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7.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8.xml" ContentType="application/vnd.openxmlformats-officedocument.drawing+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uuk van Hagen\Downloads\"/>
    </mc:Choice>
  </mc:AlternateContent>
  <xr:revisionPtr revIDLastSave="0" documentId="13_ncr:1_{9986564D-4B94-4470-9D41-7838D69B8CC3}" xr6:coauthVersionLast="47" xr6:coauthVersionMax="47" xr10:uidLastSave="{00000000-0000-0000-0000-000000000000}"/>
  <bookViews>
    <workbookView xWindow="-108" yWindow="-108" windowWidth="23256" windowHeight="12576" tabRatio="751" firstSheet="1" activeTab="6" xr2:uid="{F678FD30-C2F8-4109-8EB8-8E8C0C89961F}"/>
  </bookViews>
  <sheets>
    <sheet name="AWE" sheetId="5" r:id="rId1"/>
    <sheet name="HAWT" sheetId="10" r:id="rId2"/>
    <sheet name="Collective imput" sheetId="2" r:id="rId3"/>
    <sheet name="OEL impact settings" sheetId="4" r:id="rId4"/>
    <sheet name="Impact settings" sheetId="7" r:id="rId5"/>
    <sheet name="Cables" sheetId="8" r:id="rId6"/>
    <sheet name="Draft Calculations" sheetId="9" r:id="rId7"/>
    <sheet name="HAWTmas" sheetId="12" r:id="rId8"/>
    <sheet name="Communication to latex" sheetId="19" r:id="rId9"/>
    <sheet name="For Graphics1" sheetId="11" r:id="rId10"/>
    <sheet name="For Graphics" sheetId="2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055" i="19" l="1"/>
  <c r="U1055" i="19"/>
  <c r="S1056" i="19"/>
  <c r="U1056" i="19"/>
  <c r="U1057" i="19" s="1"/>
  <c r="W1056" i="19"/>
  <c r="S1057" i="19"/>
  <c r="V1063" i="19"/>
  <c r="S1064" i="19"/>
  <c r="V1064" i="19"/>
  <c r="V1067" i="19"/>
  <c r="V1070" i="19"/>
  <c r="V1071" i="19"/>
  <c r="V1081" i="19"/>
  <c r="Y1056" i="19"/>
  <c r="AJ13" i="8"/>
  <c r="G22" i="5"/>
  <c r="Q86" i="10"/>
  <c r="S94" i="10"/>
  <c r="S93" i="10"/>
  <c r="K109" i="10"/>
  <c r="I108" i="10" s="1"/>
  <c r="G107" i="10" s="1"/>
  <c r="I107" i="10" s="1"/>
  <c r="AH179" i="21" a="1"/>
  <c r="AH179" i="21" s="1"/>
  <c r="Y480" i="9"/>
  <c r="W480" i="9"/>
  <c r="U480" i="9"/>
  <c r="S480" i="9"/>
  <c r="Y476" i="9"/>
  <c r="W476" i="9"/>
  <c r="U476" i="9"/>
  <c r="S476" i="9"/>
  <c r="T466" i="9"/>
  <c r="T465" i="9"/>
  <c r="T464" i="9"/>
  <c r="T463" i="9"/>
  <c r="S463" i="9"/>
  <c r="S466" i="9"/>
  <c r="S465" i="9"/>
  <c r="S464" i="9"/>
  <c r="S1007" i="19"/>
  <c r="W1010" i="19"/>
  <c r="W1009" i="19"/>
  <c r="U1010" i="19"/>
  <c r="U1009" i="19"/>
  <c r="Z1007" i="19"/>
  <c r="X1007" i="19"/>
  <c r="V1007" i="19"/>
  <c r="S1010" i="19"/>
  <c r="S1009" i="19"/>
  <c r="S1006" i="19"/>
  <c r="R1000" i="19"/>
  <c r="AB1005" i="19"/>
  <c r="AB1006" i="19"/>
  <c r="AB1007" i="19"/>
  <c r="AB1008" i="19"/>
  <c r="AB1009" i="19"/>
  <c r="AB1010" i="19"/>
  <c r="Z1005" i="19"/>
  <c r="Z1006" i="19"/>
  <c r="Z1008" i="19"/>
  <c r="Z1009" i="19"/>
  <c r="Z1010" i="19"/>
  <c r="X1005" i="19"/>
  <c r="X1006" i="19"/>
  <c r="X1008" i="19"/>
  <c r="X1009" i="19"/>
  <c r="X1010" i="19"/>
  <c r="V1005" i="19"/>
  <c r="V1006" i="19"/>
  <c r="V1008" i="19"/>
  <c r="V1009" i="19"/>
  <c r="V1010" i="19"/>
  <c r="T1005" i="19"/>
  <c r="T1006" i="19"/>
  <c r="T1007" i="19"/>
  <c r="T1008" i="19"/>
  <c r="T1009" i="19"/>
  <c r="T1010" i="19"/>
  <c r="S1002" i="19"/>
  <c r="T1002" i="19"/>
  <c r="U1002" i="19"/>
  <c r="V1002" i="19"/>
  <c r="W1002" i="19"/>
  <c r="X1002" i="19"/>
  <c r="Y1002" i="19"/>
  <c r="Z1002" i="19"/>
  <c r="AA1002" i="19"/>
  <c r="AB1002" i="19"/>
  <c r="S1003" i="19"/>
  <c r="T1003" i="19"/>
  <c r="U1003" i="19"/>
  <c r="V1003" i="19"/>
  <c r="W1003" i="19"/>
  <c r="X1003" i="19"/>
  <c r="Y1003" i="19"/>
  <c r="Z1003" i="19"/>
  <c r="AA1003" i="19"/>
  <c r="AB1003" i="19"/>
  <c r="S1004" i="19"/>
  <c r="T1004" i="19"/>
  <c r="U1004" i="19"/>
  <c r="V1004" i="19"/>
  <c r="W1004" i="19"/>
  <c r="X1004" i="19"/>
  <c r="Y1004" i="19"/>
  <c r="Z1004" i="19"/>
  <c r="AA1004" i="19"/>
  <c r="AB1004" i="19"/>
  <c r="T1001" i="19"/>
  <c r="U1001" i="19"/>
  <c r="V1001" i="19"/>
  <c r="W1001" i="19"/>
  <c r="X1001" i="19"/>
  <c r="Y1001" i="19"/>
  <c r="Z1001" i="19"/>
  <c r="AA1001" i="19"/>
  <c r="AB1001" i="19"/>
  <c r="S1001" i="19"/>
  <c r="I33" i="21"/>
  <c r="D73" i="21"/>
  <c r="K77" i="21" s="1"/>
  <c r="S77" i="21" s="1"/>
  <c r="E73" i="21"/>
  <c r="G73" i="21"/>
  <c r="D74" i="21"/>
  <c r="E74" i="21"/>
  <c r="F74" i="21"/>
  <c r="G74" i="21"/>
  <c r="H74" i="21"/>
  <c r="D75" i="21"/>
  <c r="Q52" i="21" s="1"/>
  <c r="AK38" i="21" s="1"/>
  <c r="E75" i="21"/>
  <c r="G75" i="21"/>
  <c r="D76" i="21"/>
  <c r="E76" i="21"/>
  <c r="F76" i="21"/>
  <c r="G76" i="21"/>
  <c r="H76" i="21"/>
  <c r="D77" i="21"/>
  <c r="K79" i="21" s="1"/>
  <c r="S79" i="21" s="1"/>
  <c r="E77" i="21"/>
  <c r="G77" i="21"/>
  <c r="D78" i="21"/>
  <c r="K80" i="21" s="1"/>
  <c r="S80" i="21" s="1"/>
  <c r="E78" i="21"/>
  <c r="G78" i="21"/>
  <c r="D79" i="21"/>
  <c r="O51" i="21" s="1"/>
  <c r="AI38" i="21" s="1"/>
  <c r="E79" i="21"/>
  <c r="G79" i="21"/>
  <c r="D80" i="21"/>
  <c r="P51" i="21" s="1"/>
  <c r="AJ38" i="21" s="1"/>
  <c r="E80" i="21"/>
  <c r="G80" i="21"/>
  <c r="D81" i="21"/>
  <c r="E81" i="21"/>
  <c r="F81" i="21"/>
  <c r="G81" i="21"/>
  <c r="H81" i="21"/>
  <c r="D82" i="21"/>
  <c r="X53" i="21" s="1"/>
  <c r="AR38" i="21" s="1"/>
  <c r="E82" i="21"/>
  <c r="G82" i="21"/>
  <c r="D83" i="21"/>
  <c r="E83" i="21"/>
  <c r="F83" i="21"/>
  <c r="G83" i="21"/>
  <c r="H83" i="21"/>
  <c r="D84" i="21"/>
  <c r="Z53" i="21" s="1"/>
  <c r="AT38" i="21" s="1"/>
  <c r="E84" i="21"/>
  <c r="G84" i="21"/>
  <c r="D85" i="21"/>
  <c r="R53" i="21" s="1"/>
  <c r="AL38" i="21" s="1"/>
  <c r="E85" i="21"/>
  <c r="G85" i="21"/>
  <c r="D86" i="21"/>
  <c r="Y53" i="21" s="1"/>
  <c r="AS38" i="21" s="1"/>
  <c r="E86" i="21"/>
  <c r="G86" i="21"/>
  <c r="D87" i="21"/>
  <c r="W53" i="21" s="1"/>
  <c r="AQ38" i="21" s="1"/>
  <c r="E87" i="21"/>
  <c r="G87" i="21"/>
  <c r="D88" i="21"/>
  <c r="K88" i="21" s="1"/>
  <c r="S88" i="21" s="1"/>
  <c r="E88" i="21"/>
  <c r="G88" i="21"/>
  <c r="D89" i="21"/>
  <c r="K89" i="21" s="1"/>
  <c r="S89" i="21" s="1"/>
  <c r="E89" i="21"/>
  <c r="G89" i="21"/>
  <c r="D90" i="21"/>
  <c r="K90" i="21" s="1"/>
  <c r="S90" i="21" s="1"/>
  <c r="E90" i="21"/>
  <c r="G90" i="21"/>
  <c r="D91" i="21"/>
  <c r="V53" i="21" s="1"/>
  <c r="AP38" i="21" s="1"/>
  <c r="E91" i="21"/>
  <c r="G91" i="21"/>
  <c r="D92" i="21"/>
  <c r="E92" i="21"/>
  <c r="F92" i="21"/>
  <c r="G92" i="21"/>
  <c r="H92" i="21"/>
  <c r="D93" i="21"/>
  <c r="K92" i="21" s="1"/>
  <c r="S92" i="21" s="1"/>
  <c r="E93" i="21"/>
  <c r="G93" i="21"/>
  <c r="D94" i="21"/>
  <c r="E94" i="21"/>
  <c r="F94" i="21"/>
  <c r="G94" i="21"/>
  <c r="H94" i="21"/>
  <c r="S94" i="21"/>
  <c r="D95" i="21"/>
  <c r="K93" i="21" s="1"/>
  <c r="S93" i="21" s="1"/>
  <c r="E95" i="21"/>
  <c r="G95" i="21"/>
  <c r="S95" i="21"/>
  <c r="D96" i="21"/>
  <c r="E96" i="21"/>
  <c r="F96" i="21"/>
  <c r="G96" i="21"/>
  <c r="H96" i="21"/>
  <c r="S96" i="21"/>
  <c r="D97" i="21"/>
  <c r="E97" i="21"/>
  <c r="F97" i="21"/>
  <c r="G97" i="21"/>
  <c r="H97" i="21"/>
  <c r="D98" i="21"/>
  <c r="E98" i="21"/>
  <c r="F98" i="21"/>
  <c r="H98" i="21"/>
  <c r="D99" i="21"/>
  <c r="K65" i="21" s="1"/>
  <c r="E99" i="21"/>
  <c r="G99" i="21"/>
  <c r="D100" i="21"/>
  <c r="K66" i="21" s="1"/>
  <c r="E100" i="21"/>
  <c r="G100" i="21"/>
  <c r="D101" i="21"/>
  <c r="K67" i="21" s="1"/>
  <c r="E101" i="21"/>
  <c r="G101" i="21"/>
  <c r="D102" i="21"/>
  <c r="E102" i="21"/>
  <c r="F102" i="21"/>
  <c r="G102" i="21"/>
  <c r="H102" i="21"/>
  <c r="D103" i="21"/>
  <c r="E103" i="21"/>
  <c r="F103" i="21"/>
  <c r="G103" i="21"/>
  <c r="H103" i="21"/>
  <c r="D104" i="21"/>
  <c r="E104" i="21"/>
  <c r="F104" i="21"/>
  <c r="H104" i="21"/>
  <c r="D105" i="21"/>
  <c r="E105" i="21"/>
  <c r="G105" i="21"/>
  <c r="D106" i="21"/>
  <c r="E106" i="21"/>
  <c r="G106" i="21"/>
  <c r="D107" i="21"/>
  <c r="E107" i="21"/>
  <c r="G107" i="21"/>
  <c r="D108" i="21"/>
  <c r="E108" i="21"/>
  <c r="F108" i="21"/>
  <c r="G108" i="21"/>
  <c r="H108" i="21"/>
  <c r="D109" i="21"/>
  <c r="E109" i="21"/>
  <c r="F109" i="21"/>
  <c r="H109" i="21"/>
  <c r="D110" i="21"/>
  <c r="K70" i="21" s="1"/>
  <c r="E110" i="21"/>
  <c r="G110" i="21"/>
  <c r="D111" i="21"/>
  <c r="K71" i="21" s="1"/>
  <c r="E111" i="21"/>
  <c r="G111" i="21"/>
  <c r="D112" i="21"/>
  <c r="K72" i="21" s="1"/>
  <c r="E112" i="21"/>
  <c r="G112" i="21"/>
  <c r="D113" i="21"/>
  <c r="E113" i="21"/>
  <c r="F113" i="21"/>
  <c r="G113" i="21"/>
  <c r="H113" i="21"/>
  <c r="D114" i="21"/>
  <c r="E114" i="21"/>
  <c r="D115" i="21"/>
  <c r="E115" i="21"/>
  <c r="F115" i="21"/>
  <c r="H115" i="21"/>
  <c r="D116" i="21"/>
  <c r="E116" i="21"/>
  <c r="F116" i="21"/>
  <c r="G116" i="21"/>
  <c r="H116" i="21"/>
  <c r="D117" i="21"/>
  <c r="E117" i="21"/>
  <c r="F117" i="21"/>
  <c r="G117" i="21"/>
  <c r="H117" i="21"/>
  <c r="D118" i="21"/>
  <c r="E118" i="21"/>
  <c r="F118" i="21"/>
  <c r="G118" i="21"/>
  <c r="H118" i="21"/>
  <c r="D119" i="21"/>
  <c r="E119" i="21"/>
  <c r="G119" i="21"/>
  <c r="D120" i="21"/>
  <c r="E120" i="21"/>
  <c r="G120" i="21"/>
  <c r="K127" i="21"/>
  <c r="L127" i="21"/>
  <c r="F129" i="21"/>
  <c r="B131" i="21"/>
  <c r="C131" i="21"/>
  <c r="E131" i="21"/>
  <c r="B132" i="21"/>
  <c r="C132" i="21"/>
  <c r="D132" i="21"/>
  <c r="E132" i="21"/>
  <c r="F132" i="21"/>
  <c r="B133" i="21"/>
  <c r="C133" i="21"/>
  <c r="E133" i="21"/>
  <c r="B134" i="21"/>
  <c r="C134" i="21"/>
  <c r="D134" i="21"/>
  <c r="H134" i="21" s="1"/>
  <c r="T139" i="21" s="1"/>
  <c r="E134" i="21"/>
  <c r="F134" i="21"/>
  <c r="B135" i="21"/>
  <c r="C135" i="21"/>
  <c r="E135" i="21"/>
  <c r="B136" i="21"/>
  <c r="C136" i="21"/>
  <c r="D136" i="21"/>
  <c r="E136" i="21"/>
  <c r="F136" i="21"/>
  <c r="I136" i="21" s="1"/>
  <c r="X141" i="21" s="1"/>
  <c r="B137" i="21"/>
  <c r="C137" i="21"/>
  <c r="D137" i="21"/>
  <c r="E137" i="21"/>
  <c r="F137" i="21"/>
  <c r="B138" i="21"/>
  <c r="S142" i="21" s="1"/>
  <c r="C138" i="21"/>
  <c r="E138" i="21"/>
  <c r="B139" i="21"/>
  <c r="C139" i="21"/>
  <c r="D139" i="21"/>
  <c r="H139" i="21" s="1"/>
  <c r="T143" i="21" s="1"/>
  <c r="E139" i="21"/>
  <c r="F139" i="21"/>
  <c r="B140" i="21"/>
  <c r="C140" i="21"/>
  <c r="D140" i="21"/>
  <c r="E140" i="21"/>
  <c r="F140" i="21"/>
  <c r="I140" i="21" s="1"/>
  <c r="X144" i="21" s="1"/>
  <c r="B141" i="21"/>
  <c r="C141" i="21"/>
  <c r="E141" i="21"/>
  <c r="B142" i="21"/>
  <c r="S146" i="21" s="1"/>
  <c r="C142" i="21"/>
  <c r="D142" i="21"/>
  <c r="H142" i="21" s="1"/>
  <c r="T146" i="21" s="1"/>
  <c r="E142" i="21"/>
  <c r="F142" i="21"/>
  <c r="I142" i="21" s="1"/>
  <c r="X146" i="21" s="1"/>
  <c r="B143" i="21"/>
  <c r="C143" i="21"/>
  <c r="D143" i="21"/>
  <c r="H143" i="21" s="1"/>
  <c r="T147" i="21" s="1"/>
  <c r="E143" i="21"/>
  <c r="F143" i="21"/>
  <c r="S143" i="21"/>
  <c r="B144" i="21"/>
  <c r="C144" i="21"/>
  <c r="D144" i="21"/>
  <c r="E144" i="21"/>
  <c r="F144" i="21"/>
  <c r="I144" i="21" s="1"/>
  <c r="X148" i="21" s="1"/>
  <c r="S144" i="21"/>
  <c r="B145" i="21"/>
  <c r="C145" i="21"/>
  <c r="D145" i="21"/>
  <c r="E145" i="21"/>
  <c r="F145" i="21"/>
  <c r="S145" i="21"/>
  <c r="B146" i="21"/>
  <c r="C146" i="21"/>
  <c r="D146" i="21"/>
  <c r="H146" i="21" s="1"/>
  <c r="E146" i="21"/>
  <c r="F146" i="21"/>
  <c r="I146" i="21" s="1"/>
  <c r="B147" i="21"/>
  <c r="C147" i="21"/>
  <c r="D147" i="21"/>
  <c r="H147" i="21" s="1"/>
  <c r="T150" i="21" s="1"/>
  <c r="E147" i="21"/>
  <c r="F147" i="21"/>
  <c r="S147" i="21"/>
  <c r="B148" i="21"/>
  <c r="S151" i="21" s="1"/>
  <c r="C148" i="21"/>
  <c r="D148" i="21"/>
  <c r="E148" i="21"/>
  <c r="F148" i="21"/>
  <c r="I148" i="21" s="1"/>
  <c r="X151" i="21" s="1"/>
  <c r="S148" i="21"/>
  <c r="B149" i="21"/>
  <c r="C149" i="21"/>
  <c r="D149" i="21"/>
  <c r="H149" i="21" s="1"/>
  <c r="T152" i="21" s="1"/>
  <c r="E149" i="21"/>
  <c r="F149" i="21"/>
  <c r="S149" i="21"/>
  <c r="B150" i="21"/>
  <c r="C150" i="21"/>
  <c r="D150" i="21"/>
  <c r="H150" i="21" s="1"/>
  <c r="E150" i="21"/>
  <c r="F150" i="21"/>
  <c r="I150" i="21" s="1"/>
  <c r="S150" i="21"/>
  <c r="B151" i="21"/>
  <c r="C151" i="21"/>
  <c r="D151" i="21"/>
  <c r="H151" i="21" s="1"/>
  <c r="T153" i="21" s="1"/>
  <c r="E151" i="21"/>
  <c r="F151" i="21"/>
  <c r="B152" i="21"/>
  <c r="C152" i="21"/>
  <c r="D152" i="21"/>
  <c r="E152" i="21"/>
  <c r="F152" i="21"/>
  <c r="S152" i="21"/>
  <c r="B153" i="21"/>
  <c r="C153" i="21"/>
  <c r="E153" i="21"/>
  <c r="B154" i="21"/>
  <c r="C154" i="21"/>
  <c r="D154" i="21"/>
  <c r="H154" i="21" s="1"/>
  <c r="E154" i="21"/>
  <c r="F154" i="21"/>
  <c r="I154" i="21" s="1"/>
  <c r="B155" i="21"/>
  <c r="C155" i="21"/>
  <c r="D155" i="21"/>
  <c r="H155" i="21" s="1"/>
  <c r="E155" i="21"/>
  <c r="F155" i="21"/>
  <c r="S155" i="21"/>
  <c r="B156" i="21"/>
  <c r="C156" i="21"/>
  <c r="D156" i="21"/>
  <c r="F156" i="21"/>
  <c r="S156" i="21"/>
  <c r="B157" i="21"/>
  <c r="C157" i="21"/>
  <c r="E157" i="21"/>
  <c r="S157" i="21"/>
  <c r="B158" i="21"/>
  <c r="M164" i="21" s="1"/>
  <c r="C158" i="21"/>
  <c r="D158" i="21"/>
  <c r="H158" i="21" s="1"/>
  <c r="E158" i="21"/>
  <c r="F158" i="21"/>
  <c r="I158" i="21" s="1"/>
  <c r="B159" i="21"/>
  <c r="C159" i="21"/>
  <c r="D159" i="21"/>
  <c r="E159" i="21"/>
  <c r="F159" i="21"/>
  <c r="I159" i="21" s="1"/>
  <c r="B160" i="21"/>
  <c r="C160" i="21"/>
  <c r="D160" i="21"/>
  <c r="H160" i="21" s="1"/>
  <c r="E160" i="21"/>
  <c r="F160" i="21"/>
  <c r="I160" i="21" s="1"/>
  <c r="B161" i="21"/>
  <c r="C161" i="21"/>
  <c r="D161" i="21"/>
  <c r="E161" i="21"/>
  <c r="F161" i="21"/>
  <c r="I161" i="21" s="1"/>
  <c r="B162" i="21"/>
  <c r="C162" i="21"/>
  <c r="D162" i="21"/>
  <c r="F162" i="21"/>
  <c r="I162" i="21" s="1"/>
  <c r="H162" i="21"/>
  <c r="B163" i="21"/>
  <c r="C163" i="21"/>
  <c r="D163" i="21"/>
  <c r="E163" i="21"/>
  <c r="F163" i="21"/>
  <c r="I163" i="21" s="1"/>
  <c r="M163" i="21"/>
  <c r="B164" i="21"/>
  <c r="C164" i="21"/>
  <c r="E164" i="21"/>
  <c r="B165" i="21"/>
  <c r="C165" i="21"/>
  <c r="D165" i="21"/>
  <c r="E165" i="21"/>
  <c r="F165" i="21"/>
  <c r="I165" i="21"/>
  <c r="M165" i="21"/>
  <c r="B166" i="21"/>
  <c r="C166" i="21"/>
  <c r="D166" i="21"/>
  <c r="E166" i="21"/>
  <c r="F166" i="21"/>
  <c r="I166" i="21" s="1"/>
  <c r="M166" i="21"/>
  <c r="B167" i="21"/>
  <c r="C167" i="21"/>
  <c r="D167" i="21"/>
  <c r="F167" i="21"/>
  <c r="I167" i="21" s="1"/>
  <c r="M167" i="21"/>
  <c r="B168" i="21"/>
  <c r="C168" i="21"/>
  <c r="E168" i="21"/>
  <c r="M168" i="21"/>
  <c r="B169" i="21"/>
  <c r="C169" i="21"/>
  <c r="E169" i="21"/>
  <c r="M169" i="21"/>
  <c r="B170" i="21"/>
  <c r="M176" i="21" s="1"/>
  <c r="C170" i="21"/>
  <c r="D170" i="21"/>
  <c r="E170" i="21"/>
  <c r="F170" i="21"/>
  <c r="I170" i="21"/>
  <c r="M170" i="21"/>
  <c r="B171" i="21"/>
  <c r="C171" i="21"/>
  <c r="D171" i="21"/>
  <c r="E171" i="21"/>
  <c r="F171" i="21"/>
  <c r="I171" i="21" s="1"/>
  <c r="M171" i="21"/>
  <c r="M172" i="21"/>
  <c r="M173" i="21"/>
  <c r="M174" i="21"/>
  <c r="M175" i="21"/>
  <c r="M177" i="21"/>
  <c r="L50" i="21" l="1"/>
  <c r="AF38" i="21" s="1"/>
  <c r="K78" i="21"/>
  <c r="S78" i="21" s="1"/>
  <c r="AB55" i="21"/>
  <c r="AV38" i="21" s="1"/>
  <c r="T53" i="21"/>
  <c r="AN38" i="21" s="1"/>
  <c r="M51" i="21"/>
  <c r="AG38" i="21" s="1"/>
  <c r="I134" i="21"/>
  <c r="X139" i="21" s="1"/>
  <c r="H145" i="21"/>
  <c r="T149" i="21" s="1"/>
  <c r="H170" i="21"/>
  <c r="K91" i="21"/>
  <c r="S91" i="21" s="1"/>
  <c r="K87" i="21"/>
  <c r="S87" i="21" s="1"/>
  <c r="K85" i="21"/>
  <c r="S85" i="21" s="1"/>
  <c r="K83" i="21"/>
  <c r="S83" i="21" s="1"/>
  <c r="K81" i="21"/>
  <c r="S81" i="21" s="1"/>
  <c r="H163" i="21"/>
  <c r="H161" i="21"/>
  <c r="H159" i="21"/>
  <c r="I149" i="21"/>
  <c r="X152" i="21" s="1"/>
  <c r="I145" i="21"/>
  <c r="X149" i="21" s="1"/>
  <c r="I137" i="21"/>
  <c r="H136" i="21"/>
  <c r="T141" i="21" s="1"/>
  <c r="U53" i="21"/>
  <c r="AO38" i="21" s="1"/>
  <c r="N51" i="21"/>
  <c r="AH38" i="21" s="1"/>
  <c r="H167" i="21"/>
  <c r="H166" i="21"/>
  <c r="I156" i="21"/>
  <c r="I152" i="21"/>
  <c r="AA54" i="21"/>
  <c r="AU38" i="21" s="1"/>
  <c r="S53" i="21"/>
  <c r="AM38" i="21" s="1"/>
  <c r="H156" i="21"/>
  <c r="H152" i="21"/>
  <c r="H148" i="21"/>
  <c r="T151" i="21" s="1"/>
  <c r="H144" i="21"/>
  <c r="T148" i="21" s="1"/>
  <c r="H140" i="21"/>
  <c r="T144" i="21" s="1"/>
  <c r="I132" i="21"/>
  <c r="K86" i="21"/>
  <c r="S86" i="21" s="1"/>
  <c r="K84" i="21"/>
  <c r="S84" i="21" s="1"/>
  <c r="K82" i="21"/>
  <c r="S82" i="21" s="1"/>
  <c r="H171" i="21"/>
  <c r="I155" i="21"/>
  <c r="I151" i="21"/>
  <c r="X153" i="21" s="1"/>
  <c r="I147" i="21"/>
  <c r="X150" i="21" s="1"/>
  <c r="I143" i="21"/>
  <c r="X147" i="21" s="1"/>
  <c r="I139" i="21"/>
  <c r="X143" i="21" s="1"/>
  <c r="H132" i="21"/>
  <c r="H137" i="21"/>
  <c r="H165" i="21"/>
  <c r="O960" i="19" l="1"/>
  <c r="P960" i="19"/>
  <c r="Q960" i="19"/>
  <c r="R960" i="19"/>
  <c r="S960" i="19"/>
  <c r="T960" i="19"/>
  <c r="U960" i="19"/>
  <c r="V960" i="19"/>
  <c r="N960" i="19"/>
  <c r="Z82" i="19"/>
  <c r="J362" i="10"/>
  <c r="U1048" i="19"/>
  <c r="S1051" i="19"/>
  <c r="U1051" i="19"/>
  <c r="W1051" i="19"/>
  <c r="Y1051" i="19"/>
  <c r="Y1050" i="19"/>
  <c r="W1050" i="19"/>
  <c r="U1050" i="19"/>
  <c r="S1050" i="19"/>
  <c r="Y1041" i="19"/>
  <c r="W1045" i="19"/>
  <c r="Y1045" i="19"/>
  <c r="Y1047" i="19"/>
  <c r="W1046" i="19"/>
  <c r="Y1046" i="19"/>
  <c r="Y1055" i="19" l="1"/>
  <c r="Y1057" i="19" s="1"/>
  <c r="Y1048" i="19" s="1"/>
  <c r="S1048" i="19"/>
  <c r="W1047" i="19"/>
  <c r="W1055" i="19" s="1"/>
  <c r="W1057" i="19" s="1"/>
  <c r="W1048" i="19" s="1"/>
  <c r="H232" i="9"/>
  <c r="F229" i="9"/>
  <c r="N52" i="19" l="1"/>
  <c r="N51" i="19"/>
  <c r="G1038" i="19"/>
  <c r="G1037" i="19"/>
  <c r="G1036" i="19"/>
  <c r="G1035" i="19"/>
  <c r="G1034" i="19"/>
  <c r="G1033" i="19"/>
  <c r="G1032" i="19"/>
  <c r="G1031" i="19"/>
  <c r="G1030" i="19"/>
  <c r="G1029" i="19"/>
  <c r="G1028" i="19"/>
  <c r="F1028" i="19"/>
  <c r="F1029" i="19" s="1"/>
  <c r="F1030" i="19" s="1"/>
  <c r="F1031" i="19" s="1"/>
  <c r="F1032" i="19" s="1"/>
  <c r="F1033" i="19" s="1"/>
  <c r="F1034" i="19" s="1"/>
  <c r="F1035" i="19" s="1"/>
  <c r="F1036" i="19" s="1"/>
  <c r="F1037" i="19" s="1"/>
  <c r="F1038" i="19" s="1"/>
  <c r="D1028" i="19"/>
  <c r="D1029" i="19" s="1"/>
  <c r="G1027" i="19"/>
  <c r="E1027" i="19"/>
  <c r="E1028" i="19" s="1"/>
  <c r="E1029" i="19" s="1"/>
  <c r="E1030" i="19" s="1"/>
  <c r="E1031" i="19" s="1"/>
  <c r="E1032" i="19" s="1"/>
  <c r="E1033" i="19" s="1"/>
  <c r="E1034" i="19" s="1"/>
  <c r="E1035" i="19" s="1"/>
  <c r="E1036" i="19" s="1"/>
  <c r="E1037" i="19" s="1"/>
  <c r="E1038" i="19" s="1"/>
  <c r="J1026" i="19"/>
  <c r="I1026" i="19"/>
  <c r="U1013" i="19"/>
  <c r="N84" i="10"/>
  <c r="N73" i="10"/>
  <c r="V93" i="10"/>
  <c r="AI1021" i="19" s="1"/>
  <c r="AA1015" i="19"/>
  <c r="AA1014" i="19"/>
  <c r="AK1021" i="19"/>
  <c r="AK1022" i="19"/>
  <c r="AK1023" i="19"/>
  <c r="AK1024" i="19"/>
  <c r="AA1017" i="19" s="1"/>
  <c r="AK1025" i="19"/>
  <c r="AA1018" i="19" s="1"/>
  <c r="Y852" i="19"/>
  <c r="U370" i="19"/>
  <c r="T370" i="19"/>
  <c r="S59" i="12"/>
  <c r="S69" i="12" s="1"/>
  <c r="Q70" i="12"/>
  <c r="Q71" i="12"/>
  <c r="AI71" i="12"/>
  <c r="Q72" i="12"/>
  <c r="Q73" i="12"/>
  <c r="Q74" i="12"/>
  <c r="V69" i="12"/>
  <c r="W69" i="12"/>
  <c r="X69" i="12"/>
  <c r="Y69" i="12"/>
  <c r="Z69" i="12"/>
  <c r="AA69" i="12"/>
  <c r="AB69" i="12"/>
  <c r="AC69" i="12"/>
  <c r="AD69" i="12"/>
  <c r="AE69" i="12"/>
  <c r="AF69" i="12"/>
  <c r="AG69" i="12"/>
  <c r="AH69" i="12"/>
  <c r="AI69" i="12"/>
  <c r="AJ69" i="12"/>
  <c r="AK69" i="12"/>
  <c r="AL69" i="12"/>
  <c r="Q69" i="12"/>
  <c r="AG1022" i="19"/>
  <c r="AH1022" i="19"/>
  <c r="AI1022" i="19"/>
  <c r="AJ1022" i="19"/>
  <c r="AG1023" i="19"/>
  <c r="AH1023" i="19"/>
  <c r="AI1023" i="19"/>
  <c r="AJ1023" i="19"/>
  <c r="AG1024" i="19"/>
  <c r="AH1024" i="19"/>
  <c r="Y1017" i="19" s="1"/>
  <c r="AI1024" i="19"/>
  <c r="U1017" i="19" s="1"/>
  <c r="AJ1024" i="19"/>
  <c r="W1017" i="19" s="1"/>
  <c r="AG1025" i="19"/>
  <c r="AH1025" i="19"/>
  <c r="Y1018" i="19" s="1"/>
  <c r="AI1025" i="19"/>
  <c r="U1018" i="19" s="1"/>
  <c r="AJ1025" i="19"/>
  <c r="W1018" i="19" s="1"/>
  <c r="AH1021" i="19"/>
  <c r="AG1021" i="19"/>
  <c r="S1013" i="19" s="1"/>
  <c r="AJ1021" i="19"/>
  <c r="W1013" i="19" s="1"/>
  <c r="S116" i="5"/>
  <c r="X109" i="5"/>
  <c r="G112" i="5"/>
  <c r="T154" i="5" s="1"/>
  <c r="T207" i="5" s="1"/>
  <c r="U989" i="19"/>
  <c r="U990" i="19"/>
  <c r="U988" i="19"/>
  <c r="Q990" i="19"/>
  <c r="Q989" i="19"/>
  <c r="Q988" i="19"/>
  <c r="Y990" i="19"/>
  <c r="Y989" i="19"/>
  <c r="W989" i="19"/>
  <c r="W988" i="19"/>
  <c r="Y983" i="19"/>
  <c r="Y982" i="19"/>
  <c r="Y981" i="19"/>
  <c r="Y988" i="19" s="1"/>
  <c r="W983" i="19"/>
  <c r="W990" i="19" s="1"/>
  <c r="W982" i="19"/>
  <c r="W981" i="19"/>
  <c r="U983" i="19"/>
  <c r="U982" i="19"/>
  <c r="U981" i="19"/>
  <c r="S983" i="19"/>
  <c r="S990" i="19" s="1"/>
  <c r="S982" i="19"/>
  <c r="S989" i="19" s="1"/>
  <c r="S981" i="19"/>
  <c r="S988" i="19" s="1"/>
  <c r="Q982" i="19"/>
  <c r="Q983" i="19"/>
  <c r="Q981" i="19"/>
  <c r="D1030" i="19" l="1"/>
  <c r="J1029" i="19"/>
  <c r="I1029" i="19" s="1"/>
  <c r="J1028" i="19"/>
  <c r="I1028" i="19" s="1"/>
  <c r="J1027" i="19"/>
  <c r="I1027" i="19" s="1"/>
  <c r="K126" i="5"/>
  <c r="J1030" i="19" l="1"/>
  <c r="I1030" i="19" s="1"/>
  <c r="D1031" i="19"/>
  <c r="D1032" i="19" l="1"/>
  <c r="J1031" i="19"/>
  <c r="I1031" i="19" s="1"/>
  <c r="D1033" i="19" l="1"/>
  <c r="J1032" i="19"/>
  <c r="I1032" i="19" s="1"/>
  <c r="J1033" i="19" l="1"/>
  <c r="I1033" i="19" s="1"/>
  <c r="D1034" i="19"/>
  <c r="J1034" i="19" l="1"/>
  <c r="I1034" i="19" s="1"/>
  <c r="D1035" i="19"/>
  <c r="E157" i="9"/>
  <c r="E155" i="9"/>
  <c r="E154" i="9"/>
  <c r="R328" i="10"/>
  <c r="D1036" i="19" l="1"/>
  <c r="J1035" i="19"/>
  <c r="I1035" i="19" s="1"/>
  <c r="P918" i="19"/>
  <c r="P919" i="19"/>
  <c r="P920" i="19"/>
  <c r="P921" i="19"/>
  <c r="D1037" i="19" l="1"/>
  <c r="J1036" i="19"/>
  <c r="I1036" i="19" s="1"/>
  <c r="AU759" i="19"/>
  <c r="AU760" i="19"/>
  <c r="AS760" i="19"/>
  <c r="AT760" i="19"/>
  <c r="AU761" i="19"/>
  <c r="AS761" i="19"/>
  <c r="AT761" i="19"/>
  <c r="AU762" i="19"/>
  <c r="AU763" i="19"/>
  <c r="AS763" i="19"/>
  <c r="AT763" i="19"/>
  <c r="AU764" i="19"/>
  <c r="AS764" i="19"/>
  <c r="AT764" i="19"/>
  <c r="AU765" i="19"/>
  <c r="AS765" i="19"/>
  <c r="AT765" i="19"/>
  <c r="AU766" i="19"/>
  <c r="AS766" i="19"/>
  <c r="AT766" i="19"/>
  <c r="AU767" i="19"/>
  <c r="AS767" i="19"/>
  <c r="AT767" i="19"/>
  <c r="AU768" i="19"/>
  <c r="AS768" i="19"/>
  <c r="AT768" i="19"/>
  <c r="AU769" i="19"/>
  <c r="AS769" i="19"/>
  <c r="AT769" i="19"/>
  <c r="AU770" i="19"/>
  <c r="AS770" i="19"/>
  <c r="AT770" i="19"/>
  <c r="J1037" i="19" l="1"/>
  <c r="I1037" i="19" s="1"/>
  <c r="D1038" i="19"/>
  <c r="J1038" i="19" s="1"/>
  <c r="I1038" i="19" s="1"/>
  <c r="F876" i="19"/>
  <c r="J876" i="19" s="1"/>
  <c r="F849" i="19"/>
  <c r="I849" i="19" s="1"/>
  <c r="D890" i="19"/>
  <c r="D863" i="19"/>
  <c r="D864" i="19" s="1"/>
  <c r="D865" i="19" s="1"/>
  <c r="H901" i="19"/>
  <c r="H900" i="19"/>
  <c r="H899" i="19"/>
  <c r="G899" i="19"/>
  <c r="H898" i="19"/>
  <c r="H897" i="19"/>
  <c r="H896" i="19"/>
  <c r="H895" i="19"/>
  <c r="H894" i="19"/>
  <c r="H893" i="19"/>
  <c r="G893" i="19"/>
  <c r="H892" i="19"/>
  <c r="H891" i="19"/>
  <c r="F891" i="19"/>
  <c r="F892" i="19" s="1"/>
  <c r="F893" i="19" s="1"/>
  <c r="F894" i="19" s="1"/>
  <c r="F895" i="19" s="1"/>
  <c r="F896" i="19" s="1"/>
  <c r="F897" i="19" s="1"/>
  <c r="F898" i="19" s="1"/>
  <c r="F899" i="19" s="1"/>
  <c r="F900" i="19" s="1"/>
  <c r="F901" i="19" s="1"/>
  <c r="D891" i="19"/>
  <c r="D892" i="19" s="1"/>
  <c r="H890" i="19"/>
  <c r="H888" i="19"/>
  <c r="H887" i="19"/>
  <c r="H886" i="19"/>
  <c r="H885" i="19"/>
  <c r="G884" i="19"/>
  <c r="H884" i="19"/>
  <c r="H883" i="19"/>
  <c r="H882" i="19"/>
  <c r="H881" i="19"/>
  <c r="G880" i="19"/>
  <c r="H880" i="19"/>
  <c r="H879" i="19"/>
  <c r="H878" i="19"/>
  <c r="F878" i="19"/>
  <c r="F879" i="19" s="1"/>
  <c r="F880" i="19" s="1"/>
  <c r="F881" i="19" s="1"/>
  <c r="F882" i="19" s="1"/>
  <c r="F883" i="19" s="1"/>
  <c r="F884" i="19" s="1"/>
  <c r="F885" i="19" s="1"/>
  <c r="F886" i="19" s="1"/>
  <c r="F887" i="19" s="1"/>
  <c r="F888" i="19" s="1"/>
  <c r="D878" i="19"/>
  <c r="H877" i="19"/>
  <c r="E877" i="19"/>
  <c r="E878" i="19" s="1"/>
  <c r="E879" i="19" s="1"/>
  <c r="I876" i="19"/>
  <c r="H874" i="19"/>
  <c r="G874" i="19"/>
  <c r="H873" i="19"/>
  <c r="H872" i="19"/>
  <c r="G871" i="19"/>
  <c r="H871" i="19"/>
  <c r="H870" i="19"/>
  <c r="H869" i="19"/>
  <c r="H868" i="19"/>
  <c r="H867" i="19"/>
  <c r="G866" i="19"/>
  <c r="H866" i="19"/>
  <c r="H865" i="19"/>
  <c r="H864" i="19"/>
  <c r="F864" i="19"/>
  <c r="F865" i="19" s="1"/>
  <c r="F866" i="19" s="1"/>
  <c r="F867" i="19" s="1"/>
  <c r="F868" i="19" s="1"/>
  <c r="F869" i="19" s="1"/>
  <c r="F870" i="19" s="1"/>
  <c r="F871" i="19" s="1"/>
  <c r="F872" i="19" s="1"/>
  <c r="F873" i="19" s="1"/>
  <c r="F874" i="19" s="1"/>
  <c r="E864" i="19"/>
  <c r="E865" i="19" s="1"/>
  <c r="E866" i="19" s="1"/>
  <c r="H863" i="19"/>
  <c r="H861" i="19"/>
  <c r="G861" i="19"/>
  <c r="H860" i="19"/>
  <c r="H859" i="19"/>
  <c r="G859" i="19"/>
  <c r="H858" i="19"/>
  <c r="H857" i="19"/>
  <c r="G857" i="19"/>
  <c r="H856" i="19"/>
  <c r="H855" i="19"/>
  <c r="H854" i="19"/>
  <c r="H853" i="19"/>
  <c r="G853" i="19"/>
  <c r="H852" i="19"/>
  <c r="H851" i="19"/>
  <c r="F851" i="19"/>
  <c r="F852" i="19" s="1"/>
  <c r="F853" i="19" s="1"/>
  <c r="F854" i="19" s="1"/>
  <c r="F855" i="19" s="1"/>
  <c r="F856" i="19" s="1"/>
  <c r="F857" i="19" s="1"/>
  <c r="F858" i="19" s="1"/>
  <c r="F859" i="19" s="1"/>
  <c r="F860" i="19" s="1"/>
  <c r="F861" i="19" s="1"/>
  <c r="E851" i="19"/>
  <c r="E852" i="19" s="1"/>
  <c r="E853" i="19" s="1"/>
  <c r="E854" i="19" s="1"/>
  <c r="E855" i="19" s="1"/>
  <c r="E856" i="19" s="1"/>
  <c r="E857" i="19" s="1"/>
  <c r="E858" i="19" s="1"/>
  <c r="E859" i="19" s="1"/>
  <c r="E860" i="19" s="1"/>
  <c r="E861" i="19" s="1"/>
  <c r="D851" i="19"/>
  <c r="J850" i="19"/>
  <c r="H850" i="19"/>
  <c r="J849" i="19"/>
  <c r="H847" i="19"/>
  <c r="H846" i="19"/>
  <c r="H845" i="19"/>
  <c r="G898" i="19"/>
  <c r="H844" i="19"/>
  <c r="G844" i="19"/>
  <c r="G897" i="19"/>
  <c r="H843" i="19"/>
  <c r="H842" i="19"/>
  <c r="G895" i="19"/>
  <c r="H841" i="19"/>
  <c r="H840" i="19"/>
  <c r="H839" i="19"/>
  <c r="G839" i="19"/>
  <c r="H838" i="19"/>
  <c r="G838" i="19"/>
  <c r="G891" i="19"/>
  <c r="H837" i="19"/>
  <c r="F837" i="19"/>
  <c r="F838" i="19" s="1"/>
  <c r="F839" i="19" s="1"/>
  <c r="F840" i="19" s="1"/>
  <c r="F841" i="19" s="1"/>
  <c r="F842" i="19" s="1"/>
  <c r="F843" i="19" s="1"/>
  <c r="F844" i="19" s="1"/>
  <c r="F845" i="19" s="1"/>
  <c r="F846" i="19" s="1"/>
  <c r="F847" i="19" s="1"/>
  <c r="H836" i="19"/>
  <c r="D836" i="19"/>
  <c r="D837" i="19" s="1"/>
  <c r="G858" i="19"/>
  <c r="G829" i="19"/>
  <c r="G882" i="19"/>
  <c r="G825" i="19"/>
  <c r="G852" i="19"/>
  <c r="G878" i="19"/>
  <c r="F823" i="19"/>
  <c r="F824" i="19" s="1"/>
  <c r="F825" i="19" s="1"/>
  <c r="F826" i="19" s="1"/>
  <c r="F827" i="19" s="1"/>
  <c r="F828" i="19" s="1"/>
  <c r="F829" i="19" s="1"/>
  <c r="F830" i="19" s="1"/>
  <c r="F831" i="19" s="1"/>
  <c r="F832" i="19" s="1"/>
  <c r="F833" i="19" s="1"/>
  <c r="D823" i="19"/>
  <c r="D824" i="19" s="1"/>
  <c r="D825" i="19" s="1"/>
  <c r="D826" i="19" s="1"/>
  <c r="D827" i="19" s="1"/>
  <c r="E822" i="19"/>
  <c r="E823" i="19" s="1"/>
  <c r="J821" i="19"/>
  <c r="I821" i="19"/>
  <c r="R719" i="19"/>
  <c r="S719" i="19"/>
  <c r="T719" i="19"/>
  <c r="U719" i="19"/>
  <c r="V719" i="19"/>
  <c r="W719" i="19"/>
  <c r="X719" i="19"/>
  <c r="Y719" i="19"/>
  <c r="Z719" i="19"/>
  <c r="AA719" i="19"/>
  <c r="AB719" i="19"/>
  <c r="AC719" i="19"/>
  <c r="AD719" i="19"/>
  <c r="AE719" i="19"/>
  <c r="AF719" i="19"/>
  <c r="AG719" i="19"/>
  <c r="AH719" i="19"/>
  <c r="AI719" i="19"/>
  <c r="AJ719" i="19"/>
  <c r="AK719" i="19"/>
  <c r="AL719" i="19"/>
  <c r="AM719" i="19"/>
  <c r="AN719" i="19"/>
  <c r="AO719" i="19"/>
  <c r="AP719" i="19"/>
  <c r="AQ719" i="19"/>
  <c r="R720" i="19"/>
  <c r="S720" i="19"/>
  <c r="T720" i="19"/>
  <c r="U720" i="19"/>
  <c r="V720" i="19"/>
  <c r="W720" i="19"/>
  <c r="X720" i="19"/>
  <c r="Y720" i="19"/>
  <c r="Z720" i="19"/>
  <c r="AA720" i="19"/>
  <c r="AB720" i="19"/>
  <c r="AC720" i="19"/>
  <c r="AD720" i="19"/>
  <c r="AE720" i="19"/>
  <c r="AF720" i="19"/>
  <c r="AG720" i="19"/>
  <c r="AH720" i="19"/>
  <c r="AI720" i="19"/>
  <c r="AJ720" i="19"/>
  <c r="AK720" i="19"/>
  <c r="AL720" i="19"/>
  <c r="AM720" i="19"/>
  <c r="AN720" i="19"/>
  <c r="AO720" i="19"/>
  <c r="AP720" i="19"/>
  <c r="AQ720" i="19"/>
  <c r="S722" i="19"/>
  <c r="AB722" i="19"/>
  <c r="AD722" i="19"/>
  <c r="S729" i="19"/>
  <c r="AB729" i="19"/>
  <c r="AD729" i="19"/>
  <c r="Z722" i="19"/>
  <c r="U722" i="19"/>
  <c r="W722" i="19"/>
  <c r="Z729" i="19"/>
  <c r="U729" i="19"/>
  <c r="W729" i="19"/>
  <c r="S723" i="19"/>
  <c r="AB723" i="19"/>
  <c r="AD723" i="19"/>
  <c r="S730" i="19"/>
  <c r="AB730" i="19"/>
  <c r="AD730" i="19"/>
  <c r="Z723" i="19"/>
  <c r="U723" i="19"/>
  <c r="W723" i="19"/>
  <c r="Z730" i="19"/>
  <c r="U730" i="19"/>
  <c r="W730" i="19"/>
  <c r="S724" i="19"/>
  <c r="AB724" i="19"/>
  <c r="AD724" i="19"/>
  <c r="S731" i="19"/>
  <c r="AB731" i="19"/>
  <c r="AD731" i="19"/>
  <c r="Z724" i="19"/>
  <c r="U724" i="19"/>
  <c r="W724" i="19"/>
  <c r="Z731" i="19"/>
  <c r="U731" i="19"/>
  <c r="W731" i="19"/>
  <c r="S725" i="19"/>
  <c r="AB725" i="19"/>
  <c r="AD725" i="19"/>
  <c r="S732" i="19"/>
  <c r="Z725" i="19"/>
  <c r="U725" i="19"/>
  <c r="W725" i="19"/>
  <c r="R726" i="19"/>
  <c r="S726" i="19"/>
  <c r="AB726" i="19"/>
  <c r="AD726" i="19"/>
  <c r="S733" i="19"/>
  <c r="AB732" i="19"/>
  <c r="AD732" i="19"/>
  <c r="Z726" i="19"/>
  <c r="U726" i="19"/>
  <c r="W726" i="19"/>
  <c r="Z732" i="19"/>
  <c r="U732" i="19"/>
  <c r="W732" i="19"/>
  <c r="R727" i="19"/>
  <c r="S727" i="19"/>
  <c r="AB727" i="19"/>
  <c r="AD727" i="19"/>
  <c r="S734" i="19"/>
  <c r="AB733" i="19"/>
  <c r="AD733" i="19"/>
  <c r="Z727" i="19"/>
  <c r="U727" i="19"/>
  <c r="W727" i="19"/>
  <c r="Z733" i="19"/>
  <c r="U733" i="19"/>
  <c r="W733" i="19"/>
  <c r="S721" i="19"/>
  <c r="AB721" i="19"/>
  <c r="AD721" i="19"/>
  <c r="S728" i="19"/>
  <c r="AB728" i="19"/>
  <c r="AD728" i="19"/>
  <c r="Z721" i="19"/>
  <c r="U721" i="19"/>
  <c r="W721" i="19"/>
  <c r="Z728" i="19"/>
  <c r="U728" i="19"/>
  <c r="W728" i="19"/>
  <c r="AI508" i="9"/>
  <c r="AJ541" i="9"/>
  <c r="AG538" i="9"/>
  <c r="AG541" i="9"/>
  <c r="AG533" i="9"/>
  <c r="AE538" i="9"/>
  <c r="AE541" i="9"/>
  <c r="K504" i="9"/>
  <c r="R507" i="9"/>
  <c r="AH522" i="9"/>
  <c r="P786" i="19"/>
  <c r="AD785" i="19"/>
  <c r="AE785" i="19"/>
  <c r="AC785" i="19"/>
  <c r="Q569" i="9"/>
  <c r="O569" i="9"/>
  <c r="K569" i="9"/>
  <c r="I569" i="9"/>
  <c r="I566" i="9"/>
  <c r="K566" i="9"/>
  <c r="Q566" i="9"/>
  <c r="O566" i="9"/>
  <c r="R501" i="9"/>
  <c r="R504" i="9"/>
  <c r="O505" i="9"/>
  <c r="O508" i="9"/>
  <c r="O502" i="9"/>
  <c r="F497" i="9"/>
  <c r="O499" i="9"/>
  <c r="J877" i="19" l="1"/>
  <c r="J851" i="19"/>
  <c r="J878" i="19"/>
  <c r="I878" i="19" s="1"/>
  <c r="D879" i="19"/>
  <c r="D880" i="19" s="1"/>
  <c r="D881" i="19" s="1"/>
  <c r="D882" i="19" s="1"/>
  <c r="J865" i="19"/>
  <c r="D866" i="19"/>
  <c r="D867" i="19" s="1"/>
  <c r="J863" i="19"/>
  <c r="G894" i="19"/>
  <c r="G867" i="19"/>
  <c r="G840" i="19"/>
  <c r="E824" i="19"/>
  <c r="J823" i="19"/>
  <c r="D838" i="19"/>
  <c r="D828" i="19"/>
  <c r="E867" i="19"/>
  <c r="E868" i="19" s="1"/>
  <c r="E869" i="19" s="1"/>
  <c r="E870" i="19" s="1"/>
  <c r="E871" i="19" s="1"/>
  <c r="E872" i="19" s="1"/>
  <c r="E873" i="19" s="1"/>
  <c r="E874" i="19" s="1"/>
  <c r="E880" i="19"/>
  <c r="E881" i="19" s="1"/>
  <c r="E882" i="19" s="1"/>
  <c r="E883" i="19" s="1"/>
  <c r="E884" i="19" s="1"/>
  <c r="E885" i="19" s="1"/>
  <c r="E886" i="19" s="1"/>
  <c r="E887" i="19" s="1"/>
  <c r="E888" i="19" s="1"/>
  <c r="G837" i="19"/>
  <c r="G872" i="19"/>
  <c r="G886" i="19"/>
  <c r="G851" i="19"/>
  <c r="I851" i="19" s="1"/>
  <c r="G831" i="19"/>
  <c r="J822" i="19"/>
  <c r="G845" i="19"/>
  <c r="G865" i="19"/>
  <c r="G885" i="19"/>
  <c r="J864" i="19"/>
  <c r="G824" i="19"/>
  <c r="G830" i="19"/>
  <c r="G864" i="19"/>
  <c r="G892" i="19"/>
  <c r="D852" i="19"/>
  <c r="D893" i="19"/>
  <c r="G823" i="19"/>
  <c r="G843" i="19"/>
  <c r="G870" i="19"/>
  <c r="G879" i="19"/>
  <c r="J867" i="19" l="1"/>
  <c r="I867" i="19" s="1"/>
  <c r="J879" i="19"/>
  <c r="I879" i="19" s="1"/>
  <c r="J866" i="19"/>
  <c r="I866" i="19" s="1"/>
  <c r="D868" i="19"/>
  <c r="J868" i="19" s="1"/>
  <c r="I865" i="19"/>
  <c r="I823" i="19"/>
  <c r="I864" i="19"/>
  <c r="J852" i="19"/>
  <c r="I852" i="19" s="1"/>
  <c r="D853" i="19"/>
  <c r="D839" i="19"/>
  <c r="E825" i="19"/>
  <c r="J824" i="19"/>
  <c r="I824" i="19" s="1"/>
  <c r="G856" i="19"/>
  <c r="G883" i="19"/>
  <c r="G828" i="19"/>
  <c r="D829" i="19"/>
  <c r="G901" i="19"/>
  <c r="G847" i="19"/>
  <c r="J880" i="19"/>
  <c r="I880" i="19" s="1"/>
  <c r="G896" i="19"/>
  <c r="G869" i="19"/>
  <c r="G842" i="19"/>
  <c r="G854" i="19"/>
  <c r="G826" i="19"/>
  <c r="G881" i="19"/>
  <c r="J881" i="19"/>
  <c r="J882" i="19"/>
  <c r="I882" i="19" s="1"/>
  <c r="D883" i="19"/>
  <c r="D869" i="19"/>
  <c r="D894" i="19"/>
  <c r="N742" i="19"/>
  <c r="AJ747" i="19" s="1"/>
  <c r="AJ760" i="19" s="1"/>
  <c r="AJ770" i="19" s="1"/>
  <c r="Q742" i="19"/>
  <c r="S742" i="19"/>
  <c r="U742" i="19"/>
  <c r="W742" i="19"/>
  <c r="Y742" i="19"/>
  <c r="N743" i="19"/>
  <c r="AJ748" i="19" s="1"/>
  <c r="AJ761" i="19" s="1"/>
  <c r="AJ771" i="19" s="1"/>
  <c r="Q743" i="19"/>
  <c r="S743" i="19"/>
  <c r="U743" i="19"/>
  <c r="W743" i="19"/>
  <c r="Y743" i="19"/>
  <c r="N744" i="19"/>
  <c r="AJ749" i="19" s="1"/>
  <c r="AJ762" i="19" s="1"/>
  <c r="AJ772" i="19" s="1"/>
  <c r="Q744" i="19"/>
  <c r="S744" i="19"/>
  <c r="U744" i="19"/>
  <c r="W744" i="19"/>
  <c r="Y744" i="19"/>
  <c r="N745" i="19"/>
  <c r="AJ750" i="19" s="1"/>
  <c r="AJ763" i="19" s="1"/>
  <c r="AJ773" i="19" s="1"/>
  <c r="Q745" i="19"/>
  <c r="S745" i="19"/>
  <c r="U745" i="19"/>
  <c r="W745" i="19"/>
  <c r="Y745" i="19"/>
  <c r="N746" i="19"/>
  <c r="AJ751" i="19" s="1"/>
  <c r="AJ764" i="19" s="1"/>
  <c r="AJ774" i="19" s="1"/>
  <c r="Q746" i="19"/>
  <c r="S746" i="19"/>
  <c r="U746" i="19"/>
  <c r="W746" i="19"/>
  <c r="Y746" i="19"/>
  <c r="N747" i="19"/>
  <c r="AJ752" i="19" s="1"/>
  <c r="AJ765" i="19" s="1"/>
  <c r="AJ775" i="19" s="1"/>
  <c r="Q747" i="19"/>
  <c r="S747" i="19"/>
  <c r="U747" i="19"/>
  <c r="W747" i="19"/>
  <c r="Y747" i="19"/>
  <c r="N748" i="19"/>
  <c r="AJ753" i="19" s="1"/>
  <c r="AJ766" i="19" s="1"/>
  <c r="AJ776" i="19" s="1"/>
  <c r="Q748" i="19"/>
  <c r="S748" i="19"/>
  <c r="U748" i="19"/>
  <c r="W748" i="19"/>
  <c r="Y748" i="19"/>
  <c r="N749" i="19"/>
  <c r="AJ754" i="19" s="1"/>
  <c r="AJ767" i="19" s="1"/>
  <c r="AJ777" i="19" s="1"/>
  <c r="Q749" i="19"/>
  <c r="S749" i="19"/>
  <c r="U749" i="19"/>
  <c r="W749" i="19"/>
  <c r="Y749" i="19"/>
  <c r="N750" i="19"/>
  <c r="AJ755" i="19" s="1"/>
  <c r="AJ768" i="19" s="1"/>
  <c r="AJ778" i="19" s="1"/>
  <c r="Q750" i="19"/>
  <c r="S750" i="19"/>
  <c r="U750" i="19"/>
  <c r="W750" i="19"/>
  <c r="Y750" i="19"/>
  <c r="Q751" i="19"/>
  <c r="S751" i="19"/>
  <c r="U751" i="19"/>
  <c r="W751" i="19"/>
  <c r="Y751" i="19"/>
  <c r="F712" i="19"/>
  <c r="I712" i="19" s="1"/>
  <c r="N686" i="19"/>
  <c r="N676" i="19"/>
  <c r="P671" i="19"/>
  <c r="P672" i="19"/>
  <c r="R674" i="19"/>
  <c r="S674" i="19"/>
  <c r="T674" i="19"/>
  <c r="U674" i="19"/>
  <c r="V674" i="19"/>
  <c r="P675" i="19"/>
  <c r="P676" i="19"/>
  <c r="R670" i="19"/>
  <c r="S670" i="19"/>
  <c r="T670" i="19"/>
  <c r="U670" i="19"/>
  <c r="V670" i="19"/>
  <c r="D724" i="19"/>
  <c r="D725" i="19" s="1"/>
  <c r="D726" i="19" s="1"/>
  <c r="D727" i="19" s="1"/>
  <c r="D701" i="19"/>
  <c r="D702" i="19" s="1"/>
  <c r="H733" i="19"/>
  <c r="G733" i="19"/>
  <c r="H732" i="19"/>
  <c r="H731" i="19"/>
  <c r="H730" i="19"/>
  <c r="E730" i="19"/>
  <c r="E731" i="19" s="1"/>
  <c r="E732" i="19" s="1"/>
  <c r="E733" i="19" s="1"/>
  <c r="H729" i="19"/>
  <c r="H728" i="19"/>
  <c r="G728" i="19"/>
  <c r="H727" i="19"/>
  <c r="H726" i="19"/>
  <c r="H725" i="19"/>
  <c r="F725" i="19"/>
  <c r="F726" i="19" s="1"/>
  <c r="F727" i="19" s="1"/>
  <c r="F728" i="19" s="1"/>
  <c r="F729" i="19" s="1"/>
  <c r="F730" i="19" s="1"/>
  <c r="F731" i="19" s="1"/>
  <c r="F732" i="19" s="1"/>
  <c r="F733" i="19" s="1"/>
  <c r="H724" i="19"/>
  <c r="H722" i="19"/>
  <c r="G722" i="19"/>
  <c r="H721" i="19"/>
  <c r="H720" i="19"/>
  <c r="H719" i="19"/>
  <c r="E719" i="19"/>
  <c r="E720" i="19" s="1"/>
  <c r="E721" i="19" s="1"/>
  <c r="E722" i="19" s="1"/>
  <c r="H718" i="19"/>
  <c r="H717" i="19"/>
  <c r="G717" i="19"/>
  <c r="H716" i="19"/>
  <c r="H715" i="19"/>
  <c r="H714" i="19"/>
  <c r="F714" i="19"/>
  <c r="F715" i="19" s="1"/>
  <c r="F716" i="19" s="1"/>
  <c r="F717" i="19" s="1"/>
  <c r="F718" i="19" s="1"/>
  <c r="F719" i="19" s="1"/>
  <c r="F720" i="19" s="1"/>
  <c r="F721" i="19" s="1"/>
  <c r="F722" i="19" s="1"/>
  <c r="D714" i="19"/>
  <c r="D715" i="19" s="1"/>
  <c r="D716" i="19" s="1"/>
  <c r="H713" i="19"/>
  <c r="E713" i="19"/>
  <c r="J713" i="19" s="1"/>
  <c r="AI657" i="19" s="1"/>
  <c r="G710" i="19"/>
  <c r="H709" i="19"/>
  <c r="H708" i="19"/>
  <c r="H707" i="19"/>
  <c r="E707" i="19"/>
  <c r="E708" i="19" s="1"/>
  <c r="E709" i="19" s="1"/>
  <c r="E710" i="19" s="1"/>
  <c r="H706" i="19"/>
  <c r="H705" i="19"/>
  <c r="G705" i="19"/>
  <c r="H704" i="19"/>
  <c r="H703" i="19"/>
  <c r="E703" i="19"/>
  <c r="E704" i="19" s="1"/>
  <c r="E705" i="19" s="1"/>
  <c r="H702" i="19"/>
  <c r="F702" i="19"/>
  <c r="F703" i="19" s="1"/>
  <c r="F704" i="19" s="1"/>
  <c r="F705" i="19" s="1"/>
  <c r="F706" i="19" s="1"/>
  <c r="F707" i="19" s="1"/>
  <c r="F708" i="19" s="1"/>
  <c r="F709" i="19" s="1"/>
  <c r="F710" i="19" s="1"/>
  <c r="E702" i="19"/>
  <c r="H701" i="19"/>
  <c r="H699" i="19"/>
  <c r="G699" i="19"/>
  <c r="H698" i="19"/>
  <c r="H697" i="19"/>
  <c r="H696" i="19"/>
  <c r="E696" i="19"/>
  <c r="E697" i="19" s="1"/>
  <c r="E698" i="19" s="1"/>
  <c r="E699" i="19" s="1"/>
  <c r="H695" i="19"/>
  <c r="H694" i="19"/>
  <c r="G694" i="19"/>
  <c r="H693" i="19"/>
  <c r="H692" i="19"/>
  <c r="H691" i="19"/>
  <c r="F691" i="19"/>
  <c r="F692" i="19" s="1"/>
  <c r="F693" i="19" s="1"/>
  <c r="F694" i="19" s="1"/>
  <c r="F695" i="19" s="1"/>
  <c r="F696" i="19" s="1"/>
  <c r="F697" i="19" s="1"/>
  <c r="F698" i="19" s="1"/>
  <c r="F699" i="19" s="1"/>
  <c r="E691" i="19"/>
  <c r="E692" i="19" s="1"/>
  <c r="D691" i="19"/>
  <c r="D692" i="19" s="1"/>
  <c r="D693" i="19" s="1"/>
  <c r="J690" i="19"/>
  <c r="AG657" i="19" s="1"/>
  <c r="H690" i="19"/>
  <c r="J689" i="19"/>
  <c r="I689" i="19"/>
  <c r="H687" i="19"/>
  <c r="H686" i="19"/>
  <c r="H685" i="19"/>
  <c r="E685" i="19"/>
  <c r="E686" i="19" s="1"/>
  <c r="E687" i="19" s="1"/>
  <c r="H684" i="19"/>
  <c r="H683" i="19"/>
  <c r="G683" i="19"/>
  <c r="H682" i="19"/>
  <c r="H681" i="19"/>
  <c r="H680" i="19"/>
  <c r="F680" i="19"/>
  <c r="F681" i="19" s="1"/>
  <c r="F682" i="19" s="1"/>
  <c r="F683" i="19" s="1"/>
  <c r="F684" i="19" s="1"/>
  <c r="F685" i="19" s="1"/>
  <c r="F686" i="19" s="1"/>
  <c r="F687" i="19" s="1"/>
  <c r="H679" i="19"/>
  <c r="D679" i="19"/>
  <c r="E675" i="19"/>
  <c r="E676" i="19" s="1"/>
  <c r="E677" i="19" s="1"/>
  <c r="G673" i="19"/>
  <c r="F670" i="19"/>
  <c r="F671" i="19" s="1"/>
  <c r="F672" i="19" s="1"/>
  <c r="F673" i="19" s="1"/>
  <c r="F674" i="19" s="1"/>
  <c r="F675" i="19" s="1"/>
  <c r="F676" i="19" s="1"/>
  <c r="F677" i="19" s="1"/>
  <c r="D670" i="19"/>
  <c r="D671" i="19" s="1"/>
  <c r="E669" i="19"/>
  <c r="J669" i="19" s="1"/>
  <c r="AE657" i="19" s="1"/>
  <c r="J668" i="19"/>
  <c r="I668" i="19"/>
  <c r="G577" i="19"/>
  <c r="G578" i="19"/>
  <c r="K455" i="9"/>
  <c r="H456" i="9" s="1"/>
  <c r="I459" i="9"/>
  <c r="I462" i="9"/>
  <c r="I465" i="9"/>
  <c r="K473" i="9"/>
  <c r="H474" i="9"/>
  <c r="I477" i="9"/>
  <c r="I480" i="9"/>
  <c r="I483" i="9"/>
  <c r="F64" i="10"/>
  <c r="S445" i="9"/>
  <c r="S446" i="9"/>
  <c r="S447" i="9"/>
  <c r="S448" i="9"/>
  <c r="S444" i="9"/>
  <c r="R447" i="9"/>
  <c r="R448" i="9"/>
  <c r="R444" i="9"/>
  <c r="R445" i="9"/>
  <c r="Q448" i="9"/>
  <c r="Q447" i="9"/>
  <c r="Q445" i="9"/>
  <c r="Q444" i="9"/>
  <c r="R446" i="9"/>
  <c r="M448" i="9"/>
  <c r="M447" i="9"/>
  <c r="M446" i="9"/>
  <c r="M445" i="9"/>
  <c r="M444" i="9"/>
  <c r="V207" i="5"/>
  <c r="W207" i="5"/>
  <c r="H477" i="9" l="1"/>
  <c r="P524" i="9"/>
  <c r="G860" i="19"/>
  <c r="G887" i="19"/>
  <c r="G832" i="19"/>
  <c r="D870" i="19"/>
  <c r="J869" i="19"/>
  <c r="I869" i="19" s="1"/>
  <c r="E826" i="19"/>
  <c r="J825" i="19"/>
  <c r="I825" i="19" s="1"/>
  <c r="G833" i="19"/>
  <c r="G888" i="19"/>
  <c r="D895" i="19"/>
  <c r="G900" i="19"/>
  <c r="G873" i="19"/>
  <c r="G846" i="19"/>
  <c r="D830" i="19"/>
  <c r="I881" i="19"/>
  <c r="D840" i="19"/>
  <c r="J853" i="19"/>
  <c r="I853" i="19" s="1"/>
  <c r="D854" i="19"/>
  <c r="J883" i="19"/>
  <c r="I883" i="19" s="1"/>
  <c r="D884" i="19"/>
  <c r="J712" i="19"/>
  <c r="J702" i="19"/>
  <c r="AM658" i="19" s="1"/>
  <c r="D703" i="19"/>
  <c r="J701" i="19"/>
  <c r="AM657" i="19" s="1"/>
  <c r="E693" i="19"/>
  <c r="E694" i="19" s="1"/>
  <c r="J692" i="19"/>
  <c r="AG659" i="19" s="1"/>
  <c r="D728" i="19"/>
  <c r="D694" i="19"/>
  <c r="D672" i="19"/>
  <c r="D717" i="19"/>
  <c r="E670" i="19"/>
  <c r="E671" i="19" s="1"/>
  <c r="E672" i="19" s="1"/>
  <c r="E673" i="19" s="1"/>
  <c r="D680" i="19"/>
  <c r="E679" i="19"/>
  <c r="J691" i="19"/>
  <c r="AG658" i="19" s="1"/>
  <c r="E714" i="19"/>
  <c r="H480" i="9"/>
  <c r="H465" i="9"/>
  <c r="H459" i="9"/>
  <c r="H483" i="9"/>
  <c r="H462" i="9"/>
  <c r="P525" i="9" l="1"/>
  <c r="P527" i="9"/>
  <c r="P526" i="9"/>
  <c r="J670" i="19"/>
  <c r="AE658" i="19" s="1"/>
  <c r="J693" i="19"/>
  <c r="AG656" i="19" s="1"/>
  <c r="D841" i="19"/>
  <c r="D885" i="19"/>
  <c r="J884" i="19"/>
  <c r="I884" i="19" s="1"/>
  <c r="D831" i="19"/>
  <c r="E827" i="19"/>
  <c r="J826" i="19"/>
  <c r="I826" i="19" s="1"/>
  <c r="J854" i="19"/>
  <c r="I854" i="19" s="1"/>
  <c r="D855" i="19"/>
  <c r="J870" i="19"/>
  <c r="I870" i="19" s="1"/>
  <c r="D871" i="19"/>
  <c r="D896" i="19"/>
  <c r="J703" i="19"/>
  <c r="AM659" i="19" s="1"/>
  <c r="D704" i="19"/>
  <c r="E680" i="19"/>
  <c r="E681" i="19" s="1"/>
  <c r="E682" i="19" s="1"/>
  <c r="E683" i="19" s="1"/>
  <c r="J671" i="19"/>
  <c r="AE659" i="19" s="1"/>
  <c r="J672" i="19"/>
  <c r="AE656" i="19" s="1"/>
  <c r="D673" i="19"/>
  <c r="D695" i="19"/>
  <c r="J694" i="19"/>
  <c r="I694" i="19" s="1"/>
  <c r="D729" i="19"/>
  <c r="D718" i="19"/>
  <c r="J679" i="19"/>
  <c r="AK657" i="19" s="1"/>
  <c r="E715" i="19"/>
  <c r="J714" i="19"/>
  <c r="AI658" i="19" s="1"/>
  <c r="D681" i="19"/>
  <c r="N614" i="19"/>
  <c r="N613" i="19"/>
  <c r="N604" i="19"/>
  <c r="N603" i="19"/>
  <c r="H653" i="19"/>
  <c r="H654" i="19"/>
  <c r="H655" i="19"/>
  <c r="H656" i="19"/>
  <c r="H657" i="19"/>
  <c r="H658" i="19"/>
  <c r="H659" i="19"/>
  <c r="H660" i="19"/>
  <c r="H661" i="19"/>
  <c r="H642" i="19"/>
  <c r="H643" i="19"/>
  <c r="H644" i="19"/>
  <c r="H645" i="19"/>
  <c r="H646" i="19"/>
  <c r="H647" i="19"/>
  <c r="H648" i="19"/>
  <c r="H649" i="19"/>
  <c r="H650" i="19"/>
  <c r="H630" i="19"/>
  <c r="H631" i="19"/>
  <c r="H632" i="19"/>
  <c r="H633" i="19"/>
  <c r="H634" i="19"/>
  <c r="H635" i="19"/>
  <c r="H636" i="19"/>
  <c r="H637" i="19"/>
  <c r="H619" i="19"/>
  <c r="H620" i="19"/>
  <c r="H621" i="19"/>
  <c r="H622" i="19"/>
  <c r="H623" i="19"/>
  <c r="H624" i="19"/>
  <c r="H625" i="19"/>
  <c r="H626" i="19"/>
  <c r="H627" i="19"/>
  <c r="H608" i="19"/>
  <c r="H609" i="19"/>
  <c r="H610" i="19"/>
  <c r="H611" i="19"/>
  <c r="H612" i="19"/>
  <c r="H613" i="19"/>
  <c r="H614" i="19"/>
  <c r="H615" i="19"/>
  <c r="H607" i="19"/>
  <c r="G589" i="19"/>
  <c r="G588" i="19"/>
  <c r="G587" i="19"/>
  <c r="D582" i="19"/>
  <c r="J582" i="19" s="1"/>
  <c r="J581" i="19"/>
  <c r="J580" i="19"/>
  <c r="I580" i="19"/>
  <c r="G574" i="19"/>
  <c r="D569" i="19"/>
  <c r="D570" i="19" s="1"/>
  <c r="J568" i="19"/>
  <c r="J567" i="19"/>
  <c r="I567" i="19"/>
  <c r="G561" i="19"/>
  <c r="D556" i="19"/>
  <c r="D557" i="19" s="1"/>
  <c r="J555" i="19"/>
  <c r="J554" i="19"/>
  <c r="I554" i="19"/>
  <c r="G656" i="19"/>
  <c r="G645" i="19"/>
  <c r="H652" i="19"/>
  <c r="H641" i="19"/>
  <c r="H629" i="19"/>
  <c r="H618" i="19"/>
  <c r="G661" i="19"/>
  <c r="F653" i="19"/>
  <c r="F654" i="19" s="1"/>
  <c r="F655" i="19" s="1"/>
  <c r="F656" i="19" s="1"/>
  <c r="F657" i="19" s="1"/>
  <c r="F658" i="19" s="1"/>
  <c r="F659" i="19" s="1"/>
  <c r="F660" i="19" s="1"/>
  <c r="F661" i="19" s="1"/>
  <c r="D653" i="19"/>
  <c r="G650" i="19"/>
  <c r="F642" i="19"/>
  <c r="F643" i="19" s="1"/>
  <c r="F644" i="19" s="1"/>
  <c r="F645" i="19" s="1"/>
  <c r="F646" i="19" s="1"/>
  <c r="F647" i="19" s="1"/>
  <c r="F648" i="19" s="1"/>
  <c r="F649" i="19" s="1"/>
  <c r="F650" i="19" s="1"/>
  <c r="D642" i="19"/>
  <c r="D643" i="19" s="1"/>
  <c r="E641" i="19"/>
  <c r="J641" i="19" s="1"/>
  <c r="AA625" i="19" s="1"/>
  <c r="J640" i="19"/>
  <c r="I640" i="19"/>
  <c r="G638" i="19"/>
  <c r="G633" i="19"/>
  <c r="F630" i="19"/>
  <c r="F631" i="19" s="1"/>
  <c r="F632" i="19" s="1"/>
  <c r="F633" i="19" s="1"/>
  <c r="F634" i="19" s="1"/>
  <c r="F635" i="19" s="1"/>
  <c r="F636" i="19" s="1"/>
  <c r="F637" i="19" s="1"/>
  <c r="F638" i="19" s="1"/>
  <c r="E630" i="19"/>
  <c r="E631" i="19" s="1"/>
  <c r="E632" i="19" s="1"/>
  <c r="E633" i="19" s="1"/>
  <c r="E635" i="19" s="1"/>
  <c r="E636" i="19" s="1"/>
  <c r="E637" i="19" s="1"/>
  <c r="E638" i="19" s="1"/>
  <c r="D630" i="19"/>
  <c r="J629" i="19"/>
  <c r="AE625" i="19" s="1"/>
  <c r="G627" i="19"/>
  <c r="G622" i="19"/>
  <c r="F619" i="19"/>
  <c r="F620" i="19" s="1"/>
  <c r="F621" i="19" s="1"/>
  <c r="F622" i="19" s="1"/>
  <c r="F623" i="19" s="1"/>
  <c r="F624" i="19" s="1"/>
  <c r="F625" i="19" s="1"/>
  <c r="F626" i="19" s="1"/>
  <c r="F627" i="19" s="1"/>
  <c r="E619" i="19"/>
  <c r="E620" i="19" s="1"/>
  <c r="E621" i="19" s="1"/>
  <c r="E622" i="19" s="1"/>
  <c r="E624" i="19" s="1"/>
  <c r="E625" i="19" s="1"/>
  <c r="E626" i="19" s="1"/>
  <c r="E627" i="19" s="1"/>
  <c r="D619" i="19"/>
  <c r="D620" i="19" s="1"/>
  <c r="J618" i="19"/>
  <c r="Y625" i="19" s="1"/>
  <c r="J617" i="19"/>
  <c r="I617" i="19"/>
  <c r="G611" i="19"/>
  <c r="F608" i="19"/>
  <c r="F609" i="19" s="1"/>
  <c r="F610" i="19" s="1"/>
  <c r="F611" i="19" s="1"/>
  <c r="F612" i="19" s="1"/>
  <c r="F613" i="19" s="1"/>
  <c r="F614" i="19" s="1"/>
  <c r="F615" i="19" s="1"/>
  <c r="D607" i="19"/>
  <c r="D608" i="19" s="1"/>
  <c r="D609" i="19" s="1"/>
  <c r="G601" i="19"/>
  <c r="F598" i="19"/>
  <c r="F599" i="19" s="1"/>
  <c r="F600" i="19" s="1"/>
  <c r="F601" i="19" s="1"/>
  <c r="F602" i="19" s="1"/>
  <c r="F603" i="19" s="1"/>
  <c r="F604" i="19" s="1"/>
  <c r="F605" i="19" s="1"/>
  <c r="D598" i="19"/>
  <c r="D599" i="19" s="1"/>
  <c r="D600" i="19" s="1"/>
  <c r="E597" i="19"/>
  <c r="E598" i="19" s="1"/>
  <c r="E599" i="19" s="1"/>
  <c r="E600" i="19" s="1"/>
  <c r="E601" i="19" s="1"/>
  <c r="E603" i="19" s="1"/>
  <c r="J596" i="19"/>
  <c r="I596" i="19"/>
  <c r="H466" i="19"/>
  <c r="H467" i="19"/>
  <c r="H468" i="19"/>
  <c r="H469" i="19"/>
  <c r="H470" i="19"/>
  <c r="H471" i="19"/>
  <c r="H472" i="19"/>
  <c r="H473" i="19"/>
  <c r="H474" i="19"/>
  <c r="H475" i="19"/>
  <c r="H476" i="19"/>
  <c r="H465" i="19"/>
  <c r="H453" i="19"/>
  <c r="H454" i="19"/>
  <c r="H455" i="19"/>
  <c r="H456" i="19"/>
  <c r="H457" i="19"/>
  <c r="H458" i="19"/>
  <c r="H459" i="19"/>
  <c r="H460" i="19"/>
  <c r="H461" i="19"/>
  <c r="H462" i="19"/>
  <c r="H463" i="19"/>
  <c r="H452" i="19"/>
  <c r="H449" i="19"/>
  <c r="H439" i="19"/>
  <c r="H440" i="19"/>
  <c r="H441" i="19"/>
  <c r="H442" i="19"/>
  <c r="H443" i="19"/>
  <c r="H444" i="19"/>
  <c r="H445" i="19"/>
  <c r="H446" i="19"/>
  <c r="H447" i="19"/>
  <c r="H448" i="19"/>
  <c r="H438" i="19"/>
  <c r="H426" i="19"/>
  <c r="H427" i="19"/>
  <c r="H428" i="19"/>
  <c r="H429" i="19"/>
  <c r="H430" i="19"/>
  <c r="H431" i="19"/>
  <c r="H432" i="19"/>
  <c r="H433" i="19"/>
  <c r="H434" i="19"/>
  <c r="H435" i="19"/>
  <c r="H436" i="19"/>
  <c r="H425" i="19"/>
  <c r="H412" i="19"/>
  <c r="H413" i="19"/>
  <c r="H414" i="19"/>
  <c r="H415" i="19"/>
  <c r="H416" i="19"/>
  <c r="H417" i="19"/>
  <c r="H418" i="19"/>
  <c r="H419" i="19"/>
  <c r="H420" i="19"/>
  <c r="H421" i="19"/>
  <c r="H422" i="19"/>
  <c r="H411" i="19"/>
  <c r="H388" i="19"/>
  <c r="H380" i="19"/>
  <c r="J680" i="19" l="1"/>
  <c r="AK658" i="19" s="1"/>
  <c r="E828" i="19"/>
  <c r="J827" i="19"/>
  <c r="D832" i="19"/>
  <c r="D897" i="19"/>
  <c r="D872" i="19"/>
  <c r="J871" i="19"/>
  <c r="I871" i="19" s="1"/>
  <c r="D886" i="19"/>
  <c r="J885" i="19"/>
  <c r="I885" i="19" s="1"/>
  <c r="J855" i="19"/>
  <c r="D856" i="19"/>
  <c r="D842" i="19"/>
  <c r="D705" i="19"/>
  <c r="J704" i="19"/>
  <c r="AM656" i="19" s="1"/>
  <c r="D730" i="19"/>
  <c r="J729" i="19"/>
  <c r="AO661" i="19" s="1"/>
  <c r="D696" i="19"/>
  <c r="J695" i="19"/>
  <c r="AG661" i="19" s="1"/>
  <c r="D674" i="19"/>
  <c r="J673" i="19"/>
  <c r="I673" i="19" s="1"/>
  <c r="E716" i="19"/>
  <c r="J715" i="19"/>
  <c r="AI659" i="19" s="1"/>
  <c r="D682" i="19"/>
  <c r="J681" i="19"/>
  <c r="AK659" i="19" s="1"/>
  <c r="D719" i="19"/>
  <c r="J718" i="19"/>
  <c r="AI661" i="19" s="1"/>
  <c r="E725" i="19"/>
  <c r="J724" i="19"/>
  <c r="J597" i="19"/>
  <c r="W625" i="19" s="1"/>
  <c r="D583" i="19"/>
  <c r="D584" i="19" s="1"/>
  <c r="D585" i="19" s="1"/>
  <c r="J569" i="19"/>
  <c r="J570" i="19"/>
  <c r="D571" i="19"/>
  <c r="J630" i="19"/>
  <c r="AE626" i="19" s="1"/>
  <c r="D558" i="19"/>
  <c r="J557" i="19"/>
  <c r="J556" i="19"/>
  <c r="D631" i="19"/>
  <c r="J631" i="19" s="1"/>
  <c r="AE627" i="19" s="1"/>
  <c r="D644" i="19"/>
  <c r="D621" i="19"/>
  <c r="J620" i="19"/>
  <c r="Y627" i="19" s="1"/>
  <c r="E607" i="19"/>
  <c r="J607" i="19" s="1"/>
  <c r="AC625" i="19" s="1"/>
  <c r="E604" i="19"/>
  <c r="E605" i="19" s="1"/>
  <c r="J600" i="19"/>
  <c r="W624" i="19" s="1"/>
  <c r="D601" i="19"/>
  <c r="D610" i="19"/>
  <c r="J598" i="19"/>
  <c r="J619" i="19"/>
  <c r="Y626" i="19" s="1"/>
  <c r="D654" i="19"/>
  <c r="E642" i="19"/>
  <c r="E643" i="19" s="1"/>
  <c r="E644" i="19" s="1"/>
  <c r="E645" i="19" s="1"/>
  <c r="E647" i="19" s="1"/>
  <c r="E648" i="19" s="1"/>
  <c r="E649" i="19" s="1"/>
  <c r="E650" i="19" s="1"/>
  <c r="J599" i="19"/>
  <c r="I396" i="19"/>
  <c r="J114" i="19"/>
  <c r="I114" i="19"/>
  <c r="J451" i="19"/>
  <c r="I451" i="19"/>
  <c r="J424" i="19"/>
  <c r="I424" i="19"/>
  <c r="J524" i="19"/>
  <c r="I524" i="19"/>
  <c r="J501" i="19"/>
  <c r="I501" i="19"/>
  <c r="F514" i="19"/>
  <c r="F515" i="19" s="1"/>
  <c r="F516" i="19" s="1"/>
  <c r="F517" i="19" s="1"/>
  <c r="F518" i="19" s="1"/>
  <c r="F519" i="19" s="1"/>
  <c r="F520" i="19" s="1"/>
  <c r="F521" i="19" s="1"/>
  <c r="F522" i="19" s="1"/>
  <c r="E514" i="19"/>
  <c r="D514" i="19"/>
  <c r="D515" i="19" s="1"/>
  <c r="D516" i="19" s="1"/>
  <c r="J513" i="19"/>
  <c r="F503" i="19"/>
  <c r="F504" i="19" s="1"/>
  <c r="F505" i="19" s="1"/>
  <c r="F506" i="19" s="1"/>
  <c r="F507" i="19" s="1"/>
  <c r="F508" i="19" s="1"/>
  <c r="F509" i="19" s="1"/>
  <c r="F510" i="19" s="1"/>
  <c r="F511" i="19" s="1"/>
  <c r="D503" i="19"/>
  <c r="D504" i="19" s="1"/>
  <c r="D505" i="19" s="1"/>
  <c r="E503" i="19"/>
  <c r="F439" i="19"/>
  <c r="F440" i="19" s="1"/>
  <c r="F441" i="19" s="1"/>
  <c r="F442" i="19" s="1"/>
  <c r="F443" i="19" s="1"/>
  <c r="F444" i="19" s="1"/>
  <c r="F445" i="19" s="1"/>
  <c r="F446" i="19" s="1"/>
  <c r="F447" i="19" s="1"/>
  <c r="F448" i="19" s="1"/>
  <c r="F449" i="19" s="1"/>
  <c r="D439" i="19"/>
  <c r="D440" i="19" s="1"/>
  <c r="F426" i="19"/>
  <c r="F427" i="19" s="1"/>
  <c r="F428" i="19" s="1"/>
  <c r="F429" i="19" s="1"/>
  <c r="F430" i="19" s="1"/>
  <c r="F431" i="19" s="1"/>
  <c r="F432" i="19" s="1"/>
  <c r="F433" i="19" s="1"/>
  <c r="F434" i="19" s="1"/>
  <c r="F435" i="19" s="1"/>
  <c r="F436" i="19" s="1"/>
  <c r="D426" i="19"/>
  <c r="D427" i="19" s="1"/>
  <c r="I18" i="19"/>
  <c r="J18" i="19"/>
  <c r="D19" i="19"/>
  <c r="E19" i="19"/>
  <c r="E20" i="19" s="1"/>
  <c r="E21" i="19" s="1"/>
  <c r="E22" i="19" s="1"/>
  <c r="E23" i="19" s="1"/>
  <c r="E24" i="19" s="1"/>
  <c r="E25" i="19" s="1"/>
  <c r="E26" i="19" s="1"/>
  <c r="G29" i="19"/>
  <c r="O30" i="19"/>
  <c r="I32" i="19"/>
  <c r="J32" i="19"/>
  <c r="D33" i="19"/>
  <c r="E33" i="19"/>
  <c r="E34" i="19" s="1"/>
  <c r="E35" i="19" s="1"/>
  <c r="E36" i="19" s="1"/>
  <c r="E37" i="19" s="1"/>
  <c r="E38" i="19" s="1"/>
  <c r="E39" i="19" s="1"/>
  <c r="E40" i="19" s="1"/>
  <c r="L33" i="19"/>
  <c r="G33" i="19" s="1"/>
  <c r="E4" i="19" s="1"/>
  <c r="O9" i="19" s="1"/>
  <c r="AE787" i="19" s="1"/>
  <c r="G43" i="19"/>
  <c r="O44" i="19"/>
  <c r="I47" i="19"/>
  <c r="J47" i="19"/>
  <c r="D48" i="19"/>
  <c r="E48" i="19"/>
  <c r="E49" i="19" s="1"/>
  <c r="G55" i="19"/>
  <c r="G56" i="19"/>
  <c r="G57" i="19"/>
  <c r="G58" i="19"/>
  <c r="O59" i="19"/>
  <c r="I72" i="19"/>
  <c r="J72" i="19"/>
  <c r="E73" i="19"/>
  <c r="E74" i="19" s="1"/>
  <c r="E75" i="19" s="1"/>
  <c r="E76" i="19" s="1"/>
  <c r="E77" i="19" s="1"/>
  <c r="E79" i="19" s="1"/>
  <c r="D74" i="19"/>
  <c r="F74" i="19"/>
  <c r="F75" i="19" s="1"/>
  <c r="F76" i="19" s="1"/>
  <c r="F77" i="19" s="1"/>
  <c r="F79" i="19" s="1"/>
  <c r="F80" i="19" s="1"/>
  <c r="F81" i="19" s="1"/>
  <c r="F82" i="19" s="1"/>
  <c r="F83" i="19" s="1"/>
  <c r="D80" i="19"/>
  <c r="E85" i="19"/>
  <c r="E86" i="19" s="1"/>
  <c r="E87" i="19" s="1"/>
  <c r="E88" i="19" s="1"/>
  <c r="E89" i="19" s="1"/>
  <c r="E91" i="19" s="1"/>
  <c r="D86" i="19"/>
  <c r="D87" i="19" s="1"/>
  <c r="F86" i="19"/>
  <c r="F87" i="19" s="1"/>
  <c r="F88" i="19" s="1"/>
  <c r="F89" i="19" s="1"/>
  <c r="F91" i="19" s="1"/>
  <c r="F92" i="19" s="1"/>
  <c r="F93" i="19" s="1"/>
  <c r="F94" i="19" s="1"/>
  <c r="F95" i="19" s="1"/>
  <c r="D92" i="19"/>
  <c r="D93" i="19" s="1"/>
  <c r="I101" i="19"/>
  <c r="J101" i="19"/>
  <c r="E102" i="19"/>
  <c r="E103" i="19" s="1"/>
  <c r="D103" i="19"/>
  <c r="D104" i="19" s="1"/>
  <c r="F103" i="19"/>
  <c r="F104" i="19" s="1"/>
  <c r="F105" i="19" s="1"/>
  <c r="F106" i="19" s="1"/>
  <c r="F108" i="19" s="1"/>
  <c r="F109" i="19" s="1"/>
  <c r="F110" i="19" s="1"/>
  <c r="F111" i="19" s="1"/>
  <c r="F112" i="19" s="1"/>
  <c r="D109" i="19"/>
  <c r="E115" i="19"/>
  <c r="E116" i="19" s="1"/>
  <c r="E117" i="19" s="1"/>
  <c r="E118" i="19" s="1"/>
  <c r="E119" i="19" s="1"/>
  <c r="E121" i="19" s="1"/>
  <c r="D116" i="19"/>
  <c r="D117" i="19" s="1"/>
  <c r="F116" i="19"/>
  <c r="F117" i="19" s="1"/>
  <c r="F118" i="19" s="1"/>
  <c r="F119" i="19" s="1"/>
  <c r="F121" i="19" s="1"/>
  <c r="F122" i="19" s="1"/>
  <c r="F123" i="19" s="1"/>
  <c r="F124" i="19" s="1"/>
  <c r="F125" i="19" s="1"/>
  <c r="D122" i="19"/>
  <c r="D123" i="19" s="1"/>
  <c r="I136" i="19"/>
  <c r="J136" i="19"/>
  <c r="E137" i="19"/>
  <c r="J137" i="19" s="1"/>
  <c r="T710" i="19" s="1"/>
  <c r="AA722" i="19" s="1"/>
  <c r="D138" i="19"/>
  <c r="D139" i="19" s="1"/>
  <c r="D140" i="19" s="1"/>
  <c r="D146" i="19"/>
  <c r="E153" i="19"/>
  <c r="J153" i="19" s="1"/>
  <c r="D155" i="19"/>
  <c r="F155" i="19"/>
  <c r="F156" i="19" s="1"/>
  <c r="F157" i="19" s="1"/>
  <c r="F158" i="19" s="1"/>
  <c r="F159" i="19" s="1"/>
  <c r="F160" i="19" s="1"/>
  <c r="D163" i="19"/>
  <c r="F163" i="19"/>
  <c r="F164" i="19" s="1"/>
  <c r="F165" i="19" s="1"/>
  <c r="F166" i="19" s="1"/>
  <c r="F167" i="19" s="1"/>
  <c r="F168" i="19" s="1"/>
  <c r="D172" i="19"/>
  <c r="F172" i="19"/>
  <c r="F173" i="19" s="1"/>
  <c r="F174" i="19" s="1"/>
  <c r="F175" i="19" s="1"/>
  <c r="F176" i="19" s="1"/>
  <c r="F177" i="19" s="1"/>
  <c r="F179" i="19" s="1"/>
  <c r="F180" i="19" s="1"/>
  <c r="F181" i="19" s="1"/>
  <c r="F182" i="19" s="1"/>
  <c r="F183" i="19" s="1"/>
  <c r="F184" i="19" s="1"/>
  <c r="F185" i="19" s="1"/>
  <c r="D180" i="19"/>
  <c r="D181" i="19" s="1"/>
  <c r="D182" i="19" s="1"/>
  <c r="I191" i="19"/>
  <c r="J191" i="19"/>
  <c r="E192" i="19"/>
  <c r="J192" i="19" s="1"/>
  <c r="Z710" i="19" s="1"/>
  <c r="AA729" i="19" s="1"/>
  <c r="D193" i="19"/>
  <c r="D194" i="19" s="1"/>
  <c r="L195" i="19"/>
  <c r="Z699" i="19" s="1"/>
  <c r="L196" i="19"/>
  <c r="D201" i="19"/>
  <c r="D202" i="19" s="1"/>
  <c r="L203" i="19"/>
  <c r="L204" i="19"/>
  <c r="I208" i="19"/>
  <c r="J208" i="19"/>
  <c r="E209" i="19"/>
  <c r="J209" i="19" s="1"/>
  <c r="AD710" i="19" s="1"/>
  <c r="AE729" i="19" s="1"/>
  <c r="D210" i="19"/>
  <c r="D211" i="19" s="1"/>
  <c r="F210" i="19"/>
  <c r="F211" i="19" s="1"/>
  <c r="F212" i="19" s="1"/>
  <c r="F213" i="19" s="1"/>
  <c r="F214" i="19" s="1"/>
  <c r="F215" i="19" s="1"/>
  <c r="D218" i="19"/>
  <c r="D219" i="19" s="1"/>
  <c r="F218" i="19"/>
  <c r="F219" i="19" s="1"/>
  <c r="F220" i="19" s="1"/>
  <c r="F221" i="19" s="1"/>
  <c r="F222" i="19" s="1"/>
  <c r="F223" i="19" s="1"/>
  <c r="I225" i="19"/>
  <c r="J225" i="19"/>
  <c r="E226" i="19"/>
  <c r="J226" i="19" s="1"/>
  <c r="AB710" i="19" s="1"/>
  <c r="AC729" i="19" s="1"/>
  <c r="D227" i="19"/>
  <c r="D228" i="19" s="1"/>
  <c r="F227" i="19"/>
  <c r="F228" i="19" s="1"/>
  <c r="F229" i="19" s="1"/>
  <c r="F230" i="19" s="1"/>
  <c r="F231" i="19" s="1"/>
  <c r="F232" i="19" s="1"/>
  <c r="F234" i="19" s="1"/>
  <c r="F235" i="19" s="1"/>
  <c r="F236" i="19" s="1"/>
  <c r="F237" i="19" s="1"/>
  <c r="F238" i="19" s="1"/>
  <c r="F239" i="19" s="1"/>
  <c r="F240" i="19" s="1"/>
  <c r="D235" i="19"/>
  <c r="I252" i="19"/>
  <c r="J252" i="19"/>
  <c r="E253" i="19"/>
  <c r="D254" i="19"/>
  <c r="D255" i="19" s="1"/>
  <c r="D256" i="19" s="1"/>
  <c r="D257" i="19" s="1"/>
  <c r="D258" i="19" s="1"/>
  <c r="D259" i="19" s="1"/>
  <c r="D262" i="19"/>
  <c r="D263" i="19" s="1"/>
  <c r="D270" i="19"/>
  <c r="D271" i="19" s="1"/>
  <c r="F270" i="19"/>
  <c r="F271" i="19" s="1"/>
  <c r="F272" i="19" s="1"/>
  <c r="F273" i="19" s="1"/>
  <c r="F274" i="19" s="1"/>
  <c r="F275" i="19" s="1"/>
  <c r="D278" i="19"/>
  <c r="D279" i="19" s="1"/>
  <c r="F278" i="19"/>
  <c r="F279" i="19" s="1"/>
  <c r="F280" i="19" s="1"/>
  <c r="F281" i="19" s="1"/>
  <c r="F282" i="19" s="1"/>
  <c r="F283" i="19" s="1"/>
  <c r="I289" i="19"/>
  <c r="J289" i="19"/>
  <c r="E290" i="19"/>
  <c r="E291" i="19" s="1"/>
  <c r="E292" i="19" s="1"/>
  <c r="E293" i="19" s="1"/>
  <c r="E294" i="19" s="1"/>
  <c r="E295" i="19" s="1"/>
  <c r="E296" i="19" s="1"/>
  <c r="E298" i="19" s="1"/>
  <c r="D291" i="19"/>
  <c r="N293" i="19"/>
  <c r="L293" i="19" s="1"/>
  <c r="G293" i="19" s="1"/>
  <c r="D299" i="19"/>
  <c r="D307" i="19"/>
  <c r="D308" i="19" s="1"/>
  <c r="D309" i="19" s="1"/>
  <c r="D310" i="19" s="1"/>
  <c r="F307" i="19"/>
  <c r="F308" i="19" s="1"/>
  <c r="F309" i="19" s="1"/>
  <c r="F310" i="19" s="1"/>
  <c r="F311" i="19" s="1"/>
  <c r="F312" i="19" s="1"/>
  <c r="D315" i="19"/>
  <c r="D316" i="19" s="1"/>
  <c r="D317" i="19" s="1"/>
  <c r="D318" i="19" s="1"/>
  <c r="F315" i="19"/>
  <c r="F316" i="19" s="1"/>
  <c r="F317" i="19" s="1"/>
  <c r="F318" i="19" s="1"/>
  <c r="F319" i="19" s="1"/>
  <c r="F320" i="19" s="1"/>
  <c r="I329" i="19"/>
  <c r="J329" i="19"/>
  <c r="E330" i="19"/>
  <c r="J330" i="19" s="1"/>
  <c r="D331" i="19"/>
  <c r="D341" i="19"/>
  <c r="D342" i="19" s="1"/>
  <c r="D343" i="19" s="1"/>
  <c r="D344" i="19" s="1"/>
  <c r="D345" i="19" s="1"/>
  <c r="E351" i="19"/>
  <c r="J351" i="19" s="1"/>
  <c r="D352" i="19"/>
  <c r="F352" i="19"/>
  <c r="F353" i="19" s="1"/>
  <c r="F354" i="19" s="1"/>
  <c r="F355" i="19" s="1"/>
  <c r="F356" i="19" s="1"/>
  <c r="F357" i="19" s="1"/>
  <c r="F358" i="19" s="1"/>
  <c r="F359" i="19" s="1"/>
  <c r="F360" i="19" s="1"/>
  <c r="L360" i="19"/>
  <c r="G360" i="19" s="1"/>
  <c r="I367" i="19"/>
  <c r="J367" i="19"/>
  <c r="E368" i="19"/>
  <c r="E369" i="19" s="1"/>
  <c r="E370" i="19" s="1"/>
  <c r="E371" i="19" s="1"/>
  <c r="E372" i="19" s="1"/>
  <c r="E373" i="19" s="1"/>
  <c r="E374" i="19" s="1"/>
  <c r="E376" i="19" s="1"/>
  <c r="E377" i="19" s="1"/>
  <c r="D369" i="19"/>
  <c r="D377" i="19"/>
  <c r="D378" i="19" s="1"/>
  <c r="D379" i="19" s="1"/>
  <c r="D380" i="19" s="1"/>
  <c r="D381" i="19" s="1"/>
  <c r="D385" i="19"/>
  <c r="D386" i="19" s="1"/>
  <c r="F385" i="19"/>
  <c r="F386" i="19" s="1"/>
  <c r="F387" i="19" s="1"/>
  <c r="F388" i="19" s="1"/>
  <c r="F389" i="19" s="1"/>
  <c r="F390" i="19" s="1"/>
  <c r="J396" i="19"/>
  <c r="E397" i="19"/>
  <c r="J397" i="19" s="1"/>
  <c r="D398" i="19"/>
  <c r="F398" i="19"/>
  <c r="F399" i="19" s="1"/>
  <c r="F400" i="19" s="1"/>
  <c r="F401" i="19" s="1"/>
  <c r="F402" i="19" s="1"/>
  <c r="F403" i="19" s="1"/>
  <c r="F404" i="19" s="1"/>
  <c r="F405" i="19" s="1"/>
  <c r="F406" i="19" s="1"/>
  <c r="G400" i="19"/>
  <c r="D411" i="19"/>
  <c r="F412" i="19"/>
  <c r="F413" i="19" s="1"/>
  <c r="F414" i="19" s="1"/>
  <c r="F415" i="19" s="1"/>
  <c r="F416" i="19" s="1"/>
  <c r="F417" i="19" s="1"/>
  <c r="G414" i="19"/>
  <c r="E452" i="19"/>
  <c r="J452" i="19" s="1"/>
  <c r="D453" i="19"/>
  <c r="D454" i="19" s="1"/>
  <c r="F453" i="19"/>
  <c r="F454" i="19" s="1"/>
  <c r="F455" i="19" s="1"/>
  <c r="F456" i="19" s="1"/>
  <c r="F457" i="19" s="1"/>
  <c r="F458" i="19" s="1"/>
  <c r="F459" i="19" s="1"/>
  <c r="F460" i="19" s="1"/>
  <c r="F461" i="19" s="1"/>
  <c r="F462" i="19" s="1"/>
  <c r="F463" i="19" s="1"/>
  <c r="D466" i="19"/>
  <c r="F466" i="19"/>
  <c r="F467" i="19" s="1"/>
  <c r="F468" i="19" s="1"/>
  <c r="F469" i="19" s="1"/>
  <c r="F470" i="19" s="1"/>
  <c r="F471" i="19" s="1"/>
  <c r="F472" i="19" s="1"/>
  <c r="F473" i="19" s="1"/>
  <c r="F474" i="19" s="1"/>
  <c r="F475" i="19" s="1"/>
  <c r="F476" i="19" s="1"/>
  <c r="I480" i="19"/>
  <c r="J480" i="19"/>
  <c r="E481" i="19"/>
  <c r="E482" i="19" s="1"/>
  <c r="D482" i="19"/>
  <c r="D483" i="19" s="1"/>
  <c r="F482" i="19"/>
  <c r="F483" i="19" s="1"/>
  <c r="F484" i="19" s="1"/>
  <c r="F485" i="19" s="1"/>
  <c r="F486" i="19" s="1"/>
  <c r="F487" i="19" s="1"/>
  <c r="F488" i="19" s="1"/>
  <c r="F489" i="19" s="1"/>
  <c r="S486" i="19"/>
  <c r="T486" i="19"/>
  <c r="S487" i="19"/>
  <c r="T487" i="19"/>
  <c r="G489" i="19"/>
  <c r="S489" i="19"/>
  <c r="T489" i="19"/>
  <c r="D491" i="19"/>
  <c r="D492" i="19" s="1"/>
  <c r="F492" i="19"/>
  <c r="F493" i="19" s="1"/>
  <c r="F494" i="19" s="1"/>
  <c r="F495" i="19" s="1"/>
  <c r="F496" i="19" s="1"/>
  <c r="F497" i="19" s="1"/>
  <c r="F498" i="19" s="1"/>
  <c r="F499" i="19" s="1"/>
  <c r="G499" i="19"/>
  <c r="E525" i="19"/>
  <c r="E526" i="19" s="1"/>
  <c r="E527" i="19" s="1"/>
  <c r="E528" i="19" s="1"/>
  <c r="E529" i="19" s="1"/>
  <c r="E530" i="19" s="1"/>
  <c r="E531" i="19" s="1"/>
  <c r="E532" i="19" s="1"/>
  <c r="E533" i="19" s="1"/>
  <c r="E534" i="19" s="1"/>
  <c r="D526" i="19"/>
  <c r="D527" i="19" s="1"/>
  <c r="F526" i="19"/>
  <c r="F527" i="19" s="1"/>
  <c r="F528" i="19" s="1"/>
  <c r="F529" i="19" s="1"/>
  <c r="F530" i="19" s="1"/>
  <c r="F531" i="19" s="1"/>
  <c r="F532" i="19" s="1"/>
  <c r="F533" i="19" s="1"/>
  <c r="F534" i="19" s="1"/>
  <c r="D537" i="19"/>
  <c r="D538" i="19" s="1"/>
  <c r="F537" i="19"/>
  <c r="F538" i="19" s="1"/>
  <c r="F539" i="19" s="1"/>
  <c r="F540" i="19" s="1"/>
  <c r="F541" i="19" s="1"/>
  <c r="F542" i="19" s="1"/>
  <c r="F543" i="19" s="1"/>
  <c r="F544" i="19" s="1"/>
  <c r="F545" i="19" s="1"/>
  <c r="M362" i="10"/>
  <c r="P506" i="10"/>
  <c r="P507" i="10"/>
  <c r="P508" i="10"/>
  <c r="P509" i="10"/>
  <c r="P510" i="10"/>
  <c r="P511" i="10"/>
  <c r="P512" i="10"/>
  <c r="P513" i="10"/>
  <c r="P514" i="10"/>
  <c r="P515" i="10"/>
  <c r="P505" i="10"/>
  <c r="Q506" i="10"/>
  <c r="U506" i="10"/>
  <c r="Q507" i="10"/>
  <c r="U507" i="10"/>
  <c r="Q509" i="10"/>
  <c r="U509" i="10"/>
  <c r="Q510" i="10"/>
  <c r="U510" i="10"/>
  <c r="Q511" i="10"/>
  <c r="U511" i="10"/>
  <c r="Q512" i="10"/>
  <c r="U512" i="10"/>
  <c r="Q513" i="10"/>
  <c r="U513" i="10"/>
  <c r="Q514" i="10"/>
  <c r="U514" i="10"/>
  <c r="Q515" i="10"/>
  <c r="U515" i="10"/>
  <c r="Q491" i="10"/>
  <c r="P491" i="10"/>
  <c r="R494" i="10"/>
  <c r="R495" i="10"/>
  <c r="R497" i="10"/>
  <c r="R498" i="10"/>
  <c r="R499" i="10"/>
  <c r="R500" i="10"/>
  <c r="R501" i="10"/>
  <c r="R502" i="10"/>
  <c r="R503" i="10"/>
  <c r="Q494" i="10"/>
  <c r="Q495" i="10"/>
  <c r="Q497" i="10"/>
  <c r="Q498" i="10"/>
  <c r="Q499" i="10"/>
  <c r="Q500" i="10"/>
  <c r="Q501" i="10"/>
  <c r="Q502" i="10"/>
  <c r="Q503" i="10"/>
  <c r="Q452" i="10"/>
  <c r="R452" i="10"/>
  <c r="Q453" i="10"/>
  <c r="R453" i="10"/>
  <c r="P447" i="10"/>
  <c r="R444" i="10"/>
  <c r="Q444" i="10"/>
  <c r="H483" i="10"/>
  <c r="F483" i="10"/>
  <c r="F93" i="10"/>
  <c r="AO657" i="19" l="1"/>
  <c r="D873" i="19"/>
  <c r="J872" i="19"/>
  <c r="I872" i="19" s="1"/>
  <c r="D843" i="19"/>
  <c r="D898" i="19"/>
  <c r="J856" i="19"/>
  <c r="I856" i="19" s="1"/>
  <c r="D857" i="19"/>
  <c r="D833" i="19"/>
  <c r="D887" i="19"/>
  <c r="J886" i="19"/>
  <c r="I886" i="19" s="1"/>
  <c r="E829" i="19"/>
  <c r="E836" i="19"/>
  <c r="J828" i="19"/>
  <c r="I828" i="19" s="1"/>
  <c r="J705" i="19"/>
  <c r="I705" i="19" s="1"/>
  <c r="D706" i="19"/>
  <c r="E726" i="19"/>
  <c r="J725" i="19"/>
  <c r="AO658" i="19" s="1"/>
  <c r="J674" i="19"/>
  <c r="AE661" i="19" s="1"/>
  <c r="D675" i="19"/>
  <c r="D720" i="19"/>
  <c r="J719" i="19"/>
  <c r="AI662" i="19" s="1"/>
  <c r="D683" i="19"/>
  <c r="J682" i="19"/>
  <c r="AK656" i="19" s="1"/>
  <c r="D697" i="19"/>
  <c r="J696" i="19"/>
  <c r="AG662" i="19" s="1"/>
  <c r="E717" i="19"/>
  <c r="J717" i="19" s="1"/>
  <c r="I717" i="19" s="1"/>
  <c r="J716" i="19"/>
  <c r="AI656" i="19" s="1"/>
  <c r="D731" i="19"/>
  <c r="J730" i="19"/>
  <c r="AO662" i="19" s="1"/>
  <c r="J583" i="19"/>
  <c r="W626" i="19"/>
  <c r="W627" i="19"/>
  <c r="J584" i="19"/>
  <c r="D586" i="19"/>
  <c r="J585" i="19"/>
  <c r="D632" i="19"/>
  <c r="D572" i="19"/>
  <c r="J571" i="19"/>
  <c r="D559" i="19"/>
  <c r="J558" i="19"/>
  <c r="G195" i="19"/>
  <c r="O962" i="19" s="1"/>
  <c r="G203" i="19"/>
  <c r="O939" i="19" s="1"/>
  <c r="J643" i="19"/>
  <c r="AA627" i="19" s="1"/>
  <c r="G196" i="19"/>
  <c r="R962" i="19" s="1"/>
  <c r="AL700" i="19"/>
  <c r="J642" i="19"/>
  <c r="AA626" i="19" s="1"/>
  <c r="D633" i="19"/>
  <c r="J632" i="19"/>
  <c r="AE624" i="19" s="1"/>
  <c r="D655" i="19"/>
  <c r="E608" i="19"/>
  <c r="D622" i="19"/>
  <c r="J621" i="19"/>
  <c r="Y624" i="19" s="1"/>
  <c r="D611" i="19"/>
  <c r="D602" i="19"/>
  <c r="J601" i="19"/>
  <c r="I601" i="19" s="1"/>
  <c r="D645" i="19"/>
  <c r="J644" i="19"/>
  <c r="AA624" i="19" s="1"/>
  <c r="AL699" i="19"/>
  <c r="J514" i="19"/>
  <c r="E154" i="19"/>
  <c r="J154" i="19" s="1"/>
  <c r="X710" i="19" s="1"/>
  <c r="AE722" i="19" s="1"/>
  <c r="E398" i="19"/>
  <c r="E399" i="19" s="1"/>
  <c r="E400" i="19" s="1"/>
  <c r="E401" i="19" s="1"/>
  <c r="E402" i="19" s="1"/>
  <c r="E403" i="19" s="1"/>
  <c r="E411" i="19" s="1"/>
  <c r="J411" i="19" s="1"/>
  <c r="D412" i="19"/>
  <c r="D413" i="19" s="1"/>
  <c r="D414" i="19" s="1"/>
  <c r="D415" i="19" s="1"/>
  <c r="J19" i="19"/>
  <c r="J85" i="19"/>
  <c r="AH106" i="19" s="1"/>
  <c r="E504" i="19"/>
  <c r="E505" i="19" s="1"/>
  <c r="E506" i="19" s="1"/>
  <c r="E507" i="19" s="1"/>
  <c r="E508" i="19" s="1"/>
  <c r="E509" i="19" s="1"/>
  <c r="E510" i="19" s="1"/>
  <c r="E511" i="19" s="1"/>
  <c r="J503" i="19"/>
  <c r="D517" i="19"/>
  <c r="D506" i="19"/>
  <c r="E515" i="19"/>
  <c r="E516" i="19" s="1"/>
  <c r="E517" i="19" s="1"/>
  <c r="E518" i="19" s="1"/>
  <c r="E519" i="19" s="1"/>
  <c r="E520" i="19" s="1"/>
  <c r="E521" i="19" s="1"/>
  <c r="E522" i="19" s="1"/>
  <c r="J502" i="19"/>
  <c r="Z700" i="19"/>
  <c r="J368" i="19"/>
  <c r="J115" i="19"/>
  <c r="Z106" i="19" s="1"/>
  <c r="E352" i="19"/>
  <c r="E353" i="19" s="1"/>
  <c r="E354" i="19" s="1"/>
  <c r="E355" i="19" s="1"/>
  <c r="E356" i="19" s="1"/>
  <c r="E357" i="19" s="1"/>
  <c r="E358" i="19" s="1"/>
  <c r="E359" i="19" s="1"/>
  <c r="E360" i="19" s="1"/>
  <c r="J48" i="19"/>
  <c r="E331" i="19"/>
  <c r="E332" i="19" s="1"/>
  <c r="E333" i="19" s="1"/>
  <c r="E334" i="19" s="1"/>
  <c r="E335" i="19" s="1"/>
  <c r="E336" i="19" s="1"/>
  <c r="E340" i="19" s="1"/>
  <c r="J73" i="19"/>
  <c r="AF106" i="19" s="1"/>
  <c r="J33" i="19"/>
  <c r="I33" i="19" s="1"/>
  <c r="E170" i="19"/>
  <c r="E171" i="19" s="1"/>
  <c r="D428" i="19"/>
  <c r="D441" i="19"/>
  <c r="E43" i="19"/>
  <c r="E41" i="19"/>
  <c r="E42" i="19" s="1"/>
  <c r="J291" i="19"/>
  <c r="J102" i="19"/>
  <c r="X106" i="19" s="1"/>
  <c r="J290" i="19"/>
  <c r="E193" i="19"/>
  <c r="E194" i="19" s="1"/>
  <c r="E195" i="19" s="1"/>
  <c r="E196" i="19" s="1"/>
  <c r="E197" i="19" s="1"/>
  <c r="E198" i="19" s="1"/>
  <c r="E200" i="19" s="1"/>
  <c r="J200" i="19" s="1"/>
  <c r="AL710" i="19" s="1"/>
  <c r="T729" i="19" s="1"/>
  <c r="I153" i="19"/>
  <c r="E210" i="19"/>
  <c r="J210" i="19" s="1"/>
  <c r="AD711" i="19" s="1"/>
  <c r="AE730" i="19" s="1"/>
  <c r="E138" i="19"/>
  <c r="E139" i="19" s="1"/>
  <c r="E140" i="19" s="1"/>
  <c r="E141" i="19" s="1"/>
  <c r="E142" i="19" s="1"/>
  <c r="E143" i="19" s="1"/>
  <c r="E145" i="19" s="1"/>
  <c r="D20" i="19"/>
  <c r="J369" i="19"/>
  <c r="L37" i="19"/>
  <c r="G37" i="19" s="1"/>
  <c r="AF787" i="19" s="1"/>
  <c r="U790" i="19" s="1"/>
  <c r="D332" i="19"/>
  <c r="D333" i="19" s="1"/>
  <c r="D334" i="19" s="1"/>
  <c r="L35" i="19"/>
  <c r="G35" i="19" s="1"/>
  <c r="E6" i="19" s="1"/>
  <c r="J116" i="19"/>
  <c r="Z107" i="19" s="1"/>
  <c r="D49" i="19"/>
  <c r="D50" i="19" s="1"/>
  <c r="D51" i="19" s="1"/>
  <c r="D34" i="19"/>
  <c r="J34" i="19" s="1"/>
  <c r="J481" i="19"/>
  <c r="D370" i="19"/>
  <c r="E227" i="19"/>
  <c r="E228" i="19" s="1"/>
  <c r="E229" i="19" s="1"/>
  <c r="E230" i="19" s="1"/>
  <c r="E231" i="19" s="1"/>
  <c r="E232" i="19" s="1"/>
  <c r="E234" i="19" s="1"/>
  <c r="E235" i="19" s="1"/>
  <c r="J74" i="19"/>
  <c r="AF107" i="19" s="1"/>
  <c r="J527" i="19"/>
  <c r="D493" i="19"/>
  <c r="D382" i="19"/>
  <c r="J526" i="19"/>
  <c r="D484" i="19"/>
  <c r="F418" i="19"/>
  <c r="F419" i="19" s="1"/>
  <c r="F420" i="19" s="1"/>
  <c r="F421" i="19" s="1"/>
  <c r="F422" i="19" s="1"/>
  <c r="J482" i="19"/>
  <c r="E483" i="19"/>
  <c r="E484" i="19" s="1"/>
  <c r="E485" i="19" s="1"/>
  <c r="E486" i="19" s="1"/>
  <c r="E487" i="19" s="1"/>
  <c r="D319" i="19"/>
  <c r="D399" i="19"/>
  <c r="D528" i="19"/>
  <c r="J525" i="19"/>
  <c r="D467" i="19"/>
  <c r="F407" i="19"/>
  <c r="F408" i="19" s="1"/>
  <c r="D195" i="19"/>
  <c r="E453" i="19"/>
  <c r="E454" i="19" s="1"/>
  <c r="E455" i="19" s="1"/>
  <c r="E456" i="19" s="1"/>
  <c r="E457" i="19" s="1"/>
  <c r="E458" i="19" s="1"/>
  <c r="E459" i="19" s="1"/>
  <c r="E460" i="19" s="1"/>
  <c r="E461" i="19" s="1"/>
  <c r="E462" i="19" s="1"/>
  <c r="E463" i="19" s="1"/>
  <c r="J376" i="19"/>
  <c r="D346" i="19"/>
  <c r="D387" i="19"/>
  <c r="D311" i="19"/>
  <c r="D539" i="19"/>
  <c r="D455" i="19"/>
  <c r="E378" i="19"/>
  <c r="E379" i="19" s="1"/>
  <c r="E380" i="19" s="1"/>
  <c r="E381" i="19" s="1"/>
  <c r="E382" i="19" s="1"/>
  <c r="E384" i="19" s="1"/>
  <c r="J377" i="19"/>
  <c r="J298" i="19"/>
  <c r="E299" i="19"/>
  <c r="E300" i="19" s="1"/>
  <c r="E301" i="19" s="1"/>
  <c r="E302" i="19" s="1"/>
  <c r="E303" i="19" s="1"/>
  <c r="E304" i="19" s="1"/>
  <c r="E306" i="19" s="1"/>
  <c r="D264" i="19"/>
  <c r="D292" i="19"/>
  <c r="D220" i="19"/>
  <c r="D183" i="19"/>
  <c r="D236" i="19"/>
  <c r="D229" i="19"/>
  <c r="G204" i="19"/>
  <c r="R939" i="19" s="1"/>
  <c r="D353" i="19"/>
  <c r="D203" i="19"/>
  <c r="D300" i="19"/>
  <c r="D212" i="19"/>
  <c r="D173" i="19"/>
  <c r="J121" i="19"/>
  <c r="V106" i="19" s="1"/>
  <c r="E122" i="19"/>
  <c r="D280" i="19"/>
  <c r="D272" i="19"/>
  <c r="J253" i="19"/>
  <c r="E254" i="19"/>
  <c r="E255" i="19" s="1"/>
  <c r="E256" i="19" s="1"/>
  <c r="E257" i="19" s="1"/>
  <c r="E258" i="19" s="1"/>
  <c r="E259" i="19" s="1"/>
  <c r="E261" i="19" s="1"/>
  <c r="E27" i="19"/>
  <c r="E28" i="19" s="1"/>
  <c r="E29" i="19"/>
  <c r="J103" i="19"/>
  <c r="X107" i="19" s="1"/>
  <c r="J86" i="19"/>
  <c r="AH107" i="19" s="1"/>
  <c r="E50" i="19"/>
  <c r="E51" i="19" s="1"/>
  <c r="E52" i="19" s="1"/>
  <c r="E53" i="19" s="1"/>
  <c r="E54" i="19" s="1"/>
  <c r="E55" i="19" s="1"/>
  <c r="J117" i="19"/>
  <c r="Z108" i="19" s="1"/>
  <c r="D118" i="19"/>
  <c r="D105" i="19"/>
  <c r="D94" i="19"/>
  <c r="D81" i="19"/>
  <c r="D141" i="19"/>
  <c r="E80" i="19"/>
  <c r="E81" i="19" s="1"/>
  <c r="E82" i="19" s="1"/>
  <c r="E83" i="19" s="1"/>
  <c r="J79" i="19"/>
  <c r="AB106" i="19" s="1"/>
  <c r="D124" i="19"/>
  <c r="J91" i="19"/>
  <c r="AD106" i="19" s="1"/>
  <c r="E92" i="19"/>
  <c r="D110" i="19"/>
  <c r="J87" i="19"/>
  <c r="AH108" i="19" s="1"/>
  <c r="D88" i="19"/>
  <c r="E104" i="19"/>
  <c r="E105" i="19" s="1"/>
  <c r="E106" i="19" s="1"/>
  <c r="E108" i="19" s="1"/>
  <c r="D147" i="19"/>
  <c r="D75" i="19"/>
  <c r="D164" i="19"/>
  <c r="D156" i="19"/>
  <c r="L34" i="19"/>
  <c r="G34" i="19" s="1"/>
  <c r="H263" i="9"/>
  <c r="E263" i="9"/>
  <c r="G263" i="9"/>
  <c r="R250" i="9"/>
  <c r="Q249" i="9"/>
  <c r="E257" i="9"/>
  <c r="E258" i="9"/>
  <c r="E256" i="9"/>
  <c r="H66" i="5"/>
  <c r="G579" i="5" s="1"/>
  <c r="H65" i="5"/>
  <c r="G578" i="5" s="1"/>
  <c r="T208" i="5"/>
  <c r="AH183" i="10"/>
  <c r="AG180" i="10"/>
  <c r="G112" i="9"/>
  <c r="I105" i="9"/>
  <c r="I56" i="9"/>
  <c r="AB67" i="8"/>
  <c r="AB62" i="8"/>
  <c r="AB61" i="8"/>
  <c r="AI40" i="8"/>
  <c r="AC47" i="8"/>
  <c r="AC45" i="8"/>
  <c r="AC46" i="8"/>
  <c r="AC44" i="8"/>
  <c r="AC42" i="8"/>
  <c r="AC43" i="8" s="1"/>
  <c r="AC41" i="8"/>
  <c r="AD23" i="8"/>
  <c r="M23" i="8"/>
  <c r="C23" i="8"/>
  <c r="D23" i="8"/>
  <c r="E23" i="8"/>
  <c r="F23" i="8" s="1"/>
  <c r="H23" i="8" s="1"/>
  <c r="L23" i="8"/>
  <c r="Y23" i="8"/>
  <c r="C25" i="8"/>
  <c r="D25" i="8"/>
  <c r="E25" i="8"/>
  <c r="F25" i="8" s="1"/>
  <c r="H25" i="8" s="1"/>
  <c r="L25" i="8"/>
  <c r="M25" i="8"/>
  <c r="AD25" i="8" s="1"/>
  <c r="Y25" i="8"/>
  <c r="C24" i="8"/>
  <c r="D24" i="8"/>
  <c r="E24" i="8"/>
  <c r="F24" i="8" s="1"/>
  <c r="H24" i="8" s="1"/>
  <c r="L24" i="8"/>
  <c r="M24" i="8"/>
  <c r="AD24" i="8" s="1"/>
  <c r="Y24" i="8"/>
  <c r="F85" i="2"/>
  <c r="V113" i="10"/>
  <c r="Y119" i="10"/>
  <c r="E404" i="19" l="1"/>
  <c r="E405" i="19" s="1"/>
  <c r="E406" i="19" s="1"/>
  <c r="W790" i="19"/>
  <c r="S790" i="19"/>
  <c r="U799" i="19"/>
  <c r="Y790" i="19"/>
  <c r="U787" i="19"/>
  <c r="U800" i="19" s="1"/>
  <c r="Q790" i="19"/>
  <c r="T596" i="19"/>
  <c r="AU756" i="19"/>
  <c r="J398" i="19"/>
  <c r="J857" i="19"/>
  <c r="I857" i="19" s="1"/>
  <c r="D858" i="19"/>
  <c r="E837" i="19"/>
  <c r="E890" i="19"/>
  <c r="J836" i="19"/>
  <c r="D899" i="19"/>
  <c r="E830" i="19"/>
  <c r="J829" i="19"/>
  <c r="I829" i="19" s="1"/>
  <c r="D844" i="19"/>
  <c r="J887" i="19"/>
  <c r="I887" i="19" s="1"/>
  <c r="D888" i="19"/>
  <c r="J888" i="19" s="1"/>
  <c r="I888" i="19" s="1"/>
  <c r="D874" i="19"/>
  <c r="J874" i="19" s="1"/>
  <c r="I874" i="19" s="1"/>
  <c r="J873" i="19"/>
  <c r="I873" i="19" s="1"/>
  <c r="J706" i="19"/>
  <c r="AM661" i="19" s="1"/>
  <c r="D707" i="19"/>
  <c r="D721" i="19"/>
  <c r="J720" i="19"/>
  <c r="AI663" i="19" s="1"/>
  <c r="J731" i="19"/>
  <c r="AO663" i="19" s="1"/>
  <c r="D732" i="19"/>
  <c r="J675" i="19"/>
  <c r="AE662" i="19" s="1"/>
  <c r="D676" i="19"/>
  <c r="J697" i="19"/>
  <c r="AG663" i="19" s="1"/>
  <c r="D698" i="19"/>
  <c r="D684" i="19"/>
  <c r="J683" i="19"/>
  <c r="I683" i="19" s="1"/>
  <c r="E727" i="19"/>
  <c r="J726" i="19"/>
  <c r="AO659" i="19" s="1"/>
  <c r="E201" i="19"/>
  <c r="J201" i="19" s="1"/>
  <c r="J193" i="19"/>
  <c r="Z711" i="19" s="1"/>
  <c r="AA730" i="19" s="1"/>
  <c r="J194" i="19"/>
  <c r="Z712" i="19" s="1"/>
  <c r="AA731" i="19" s="1"/>
  <c r="D587" i="19"/>
  <c r="J586" i="19"/>
  <c r="I170" i="19"/>
  <c r="D573" i="19"/>
  <c r="J572" i="19"/>
  <c r="D560" i="19"/>
  <c r="J559" i="19"/>
  <c r="J170" i="19"/>
  <c r="D623" i="19"/>
  <c r="J622" i="19"/>
  <c r="I622" i="19" s="1"/>
  <c r="E653" i="19"/>
  <c r="J652" i="19"/>
  <c r="AG625" i="19" s="1"/>
  <c r="J645" i="19"/>
  <c r="I645" i="19" s="1"/>
  <c r="D646" i="19"/>
  <c r="E609" i="19"/>
  <c r="J608" i="19"/>
  <c r="D603" i="19"/>
  <c r="J602" i="19"/>
  <c r="D656" i="19"/>
  <c r="D612" i="19"/>
  <c r="D634" i="19"/>
  <c r="J633" i="19"/>
  <c r="I633" i="19" s="1"/>
  <c r="D35" i="19"/>
  <c r="D36" i="19" s="1"/>
  <c r="E407" i="19"/>
  <c r="E408" i="19" s="1"/>
  <c r="J333" i="19"/>
  <c r="J228" i="19"/>
  <c r="AB712" i="19" s="1"/>
  <c r="AC731" i="19" s="1"/>
  <c r="E155" i="19"/>
  <c r="E156" i="19" s="1"/>
  <c r="E157" i="19" s="1"/>
  <c r="E158" i="19" s="1"/>
  <c r="E159" i="19" s="1"/>
  <c r="E160" i="19" s="1"/>
  <c r="E162" i="19" s="1"/>
  <c r="E163" i="19" s="1"/>
  <c r="E211" i="19"/>
  <c r="E212" i="19" s="1"/>
  <c r="E213" i="19" s="1"/>
  <c r="E214" i="19" s="1"/>
  <c r="E215" i="19" s="1"/>
  <c r="E217" i="19" s="1"/>
  <c r="E218" i="19" s="1"/>
  <c r="E337" i="19"/>
  <c r="E338" i="19" s="1"/>
  <c r="J104" i="19"/>
  <c r="X108" i="19" s="1"/>
  <c r="J256" i="19"/>
  <c r="J259" i="19"/>
  <c r="J515" i="19"/>
  <c r="J504" i="19"/>
  <c r="J505" i="19"/>
  <c r="J506" i="19"/>
  <c r="D507" i="19"/>
  <c r="J516" i="19"/>
  <c r="D518" i="19"/>
  <c r="J517" i="19"/>
  <c r="E236" i="19"/>
  <c r="E237" i="19" s="1"/>
  <c r="E238" i="19" s="1"/>
  <c r="E239" i="19" s="1"/>
  <c r="E240" i="19" s="1"/>
  <c r="J235" i="19"/>
  <c r="AN711" i="19" s="1"/>
  <c r="V730" i="19" s="1"/>
  <c r="J255" i="19"/>
  <c r="J352" i="19"/>
  <c r="L36" i="19"/>
  <c r="G36" i="19" s="1"/>
  <c r="E11" i="19" s="1"/>
  <c r="J227" i="19"/>
  <c r="AB711" i="19" s="1"/>
  <c r="AC730" i="19" s="1"/>
  <c r="J254" i="19"/>
  <c r="J234" i="19"/>
  <c r="AN710" i="19" s="1"/>
  <c r="V729" i="19" s="1"/>
  <c r="J453" i="19"/>
  <c r="J258" i="19"/>
  <c r="J331" i="19"/>
  <c r="J425" i="19"/>
  <c r="E426" i="19"/>
  <c r="J171" i="19"/>
  <c r="E172" i="19"/>
  <c r="J454" i="19"/>
  <c r="D442" i="19"/>
  <c r="D429" i="19"/>
  <c r="J145" i="19"/>
  <c r="E146" i="19"/>
  <c r="J257" i="19"/>
  <c r="J332" i="19"/>
  <c r="J139" i="19"/>
  <c r="J138" i="19"/>
  <c r="J50" i="19"/>
  <c r="J140" i="19"/>
  <c r="J299" i="19"/>
  <c r="D371" i="19"/>
  <c r="J370" i="19"/>
  <c r="S416" i="19"/>
  <c r="J20" i="19"/>
  <c r="D21" i="19"/>
  <c r="J49" i="19"/>
  <c r="E9" i="19"/>
  <c r="I34" i="19"/>
  <c r="J80" i="19"/>
  <c r="AB107" i="19" s="1"/>
  <c r="E58" i="19"/>
  <c r="E56" i="19"/>
  <c r="E57" i="19" s="1"/>
  <c r="D281" i="19"/>
  <c r="J378" i="19"/>
  <c r="D456" i="19"/>
  <c r="J455" i="19"/>
  <c r="D347" i="19"/>
  <c r="D196" i="19"/>
  <c r="J195" i="19"/>
  <c r="J484" i="19"/>
  <c r="D485" i="19"/>
  <c r="J381" i="19"/>
  <c r="I381" i="19" s="1"/>
  <c r="D111" i="19"/>
  <c r="J141" i="19"/>
  <c r="D142" i="19"/>
  <c r="J105" i="19"/>
  <c r="X109" i="19" s="1"/>
  <c r="D106" i="19"/>
  <c r="J106" i="19" s="1"/>
  <c r="X110" i="19" s="1"/>
  <c r="D540" i="19"/>
  <c r="J334" i="19"/>
  <c r="D335" i="19"/>
  <c r="D400" i="19"/>
  <c r="J399" i="19"/>
  <c r="E341" i="19"/>
  <c r="J340" i="19"/>
  <c r="J483" i="19"/>
  <c r="J306" i="19"/>
  <c r="E307" i="19"/>
  <c r="D95" i="19"/>
  <c r="D184" i="19"/>
  <c r="D388" i="19"/>
  <c r="D494" i="19"/>
  <c r="J75" i="19"/>
  <c r="D76" i="19"/>
  <c r="D125" i="19"/>
  <c r="D148" i="19"/>
  <c r="J118" i="19"/>
  <c r="Z109" i="19" s="1"/>
  <c r="D119" i="19"/>
  <c r="J119" i="19" s="1"/>
  <c r="Z110" i="19" s="1"/>
  <c r="E262" i="19"/>
  <c r="J261" i="19"/>
  <c r="D213" i="19"/>
  <c r="J229" i="19"/>
  <c r="AB713" i="19" s="1"/>
  <c r="D230" i="19"/>
  <c r="D416" i="19"/>
  <c r="D174" i="19"/>
  <c r="M297" i="19"/>
  <c r="M375" i="19"/>
  <c r="M479" i="19"/>
  <c r="J353" i="19"/>
  <c r="D354" i="19"/>
  <c r="D237" i="19"/>
  <c r="J379" i="19"/>
  <c r="J380" i="19"/>
  <c r="D468" i="19"/>
  <c r="D320" i="19"/>
  <c r="J88" i="19"/>
  <c r="AH109" i="19" s="1"/>
  <c r="D89" i="19"/>
  <c r="J89" i="19" s="1"/>
  <c r="AH110" i="19" s="1"/>
  <c r="J528" i="19"/>
  <c r="D529" i="19"/>
  <c r="D157" i="19"/>
  <c r="D165" i="19"/>
  <c r="E109" i="19"/>
  <c r="J108" i="19"/>
  <c r="T106" i="19" s="1"/>
  <c r="D273" i="19"/>
  <c r="E123" i="19"/>
  <c r="J122" i="19"/>
  <c r="V107" i="19" s="1"/>
  <c r="D204" i="19"/>
  <c r="D221" i="19"/>
  <c r="D265" i="19"/>
  <c r="D312" i="19"/>
  <c r="E412" i="19"/>
  <c r="E465" i="19"/>
  <c r="E488" i="19"/>
  <c r="E489" i="19" s="1"/>
  <c r="E491" i="19"/>
  <c r="J384" i="19"/>
  <c r="E385" i="19"/>
  <c r="D52" i="19"/>
  <c r="J51" i="19"/>
  <c r="E93" i="19"/>
  <c r="J92" i="19"/>
  <c r="AD107" i="19" s="1"/>
  <c r="J81" i="19"/>
  <c r="D82" i="19"/>
  <c r="D301" i="19"/>
  <c r="J300" i="19"/>
  <c r="D293" i="19"/>
  <c r="J292" i="19"/>
  <c r="J382" i="19"/>
  <c r="I382" i="19" s="1"/>
  <c r="V131" i="10"/>
  <c r="V140" i="10"/>
  <c r="F432" i="9"/>
  <c r="F433" i="9" s="1"/>
  <c r="S326" i="10"/>
  <c r="T326" i="10" s="1"/>
  <c r="P326" i="10"/>
  <c r="Q326" i="10" s="1"/>
  <c r="K326" i="10"/>
  <c r="H326" i="10"/>
  <c r="I326" i="10" s="1"/>
  <c r="L326" i="10"/>
  <c r="AG185" i="10"/>
  <c r="G326" i="10" s="1"/>
  <c r="AH184" i="10"/>
  <c r="W257" i="9"/>
  <c r="W255" i="9"/>
  <c r="I270" i="9"/>
  <c r="I271" i="9"/>
  <c r="I272" i="9"/>
  <c r="I273" i="9"/>
  <c r="I274" i="9"/>
  <c r="I275" i="9"/>
  <c r="I276" i="9"/>
  <c r="I277" i="9"/>
  <c r="I278" i="9"/>
  <c r="I279" i="9"/>
  <c r="I280" i="9"/>
  <c r="I281" i="9"/>
  <c r="I282" i="9"/>
  <c r="I269" i="9"/>
  <c r="O47" i="8"/>
  <c r="L287" i="9"/>
  <c r="H270" i="9"/>
  <c r="H271" i="9"/>
  <c r="H272" i="9"/>
  <c r="H273" i="9"/>
  <c r="H274" i="9"/>
  <c r="H275" i="9"/>
  <c r="H276" i="9"/>
  <c r="H277" i="9"/>
  <c r="H278" i="9"/>
  <c r="H279" i="9"/>
  <c r="H280" i="9"/>
  <c r="H281" i="9"/>
  <c r="H282" i="9"/>
  <c r="H269" i="9"/>
  <c r="I258" i="9"/>
  <c r="J258" i="9" s="1"/>
  <c r="M258" i="9" s="1"/>
  <c r="N258" i="9" s="1"/>
  <c r="I257" i="9"/>
  <c r="J257" i="9" s="1"/>
  <c r="M257" i="9" s="1"/>
  <c r="N257" i="9" s="1"/>
  <c r="N259" i="9"/>
  <c r="P47" i="8"/>
  <c r="I256" i="9"/>
  <c r="J256" i="9" s="1"/>
  <c r="M256" i="9" s="1"/>
  <c r="N256" i="9" s="1"/>
  <c r="E260" i="9"/>
  <c r="I260" i="9" s="1"/>
  <c r="J260" i="9" s="1"/>
  <c r="H40" i="8"/>
  <c r="E259" i="9"/>
  <c r="I259" i="9" s="1"/>
  <c r="J259" i="9" s="1"/>
  <c r="N84" i="5"/>
  <c r="B145" i="11"/>
  <c r="Y356" i="5"/>
  <c r="AF108" i="19" l="1"/>
  <c r="AB108" i="19"/>
  <c r="W1041" i="19"/>
  <c r="S1041" i="19"/>
  <c r="U1041" i="19" s="1"/>
  <c r="M603" i="19"/>
  <c r="L603" i="19" s="1"/>
  <c r="E202" i="19"/>
  <c r="M676" i="19"/>
  <c r="L676" i="19" s="1"/>
  <c r="M604" i="19"/>
  <c r="L604" i="19" s="1"/>
  <c r="Q787" i="19"/>
  <c r="Q800" i="19" s="1"/>
  <c r="Q799" i="19"/>
  <c r="M614" i="19"/>
  <c r="L614" i="19" s="1"/>
  <c r="G614" i="19" s="1"/>
  <c r="M686" i="19"/>
  <c r="L686" i="19" s="1"/>
  <c r="G686" i="19" s="1"/>
  <c r="M613" i="19"/>
  <c r="L613" i="19" s="1"/>
  <c r="Y799" i="19"/>
  <c r="Y787" i="19"/>
  <c r="Y800" i="19" s="1"/>
  <c r="S787" i="19"/>
  <c r="S800" i="19" s="1"/>
  <c r="S799" i="19"/>
  <c r="W787" i="19"/>
  <c r="W800" i="19" s="1"/>
  <c r="W799" i="19"/>
  <c r="AV763" i="19"/>
  <c r="AY766" i="19"/>
  <c r="AV766" i="19"/>
  <c r="AY769" i="19"/>
  <c r="AV767" i="19"/>
  <c r="AY761" i="19"/>
  <c r="AV761" i="19"/>
  <c r="AV770" i="19"/>
  <c r="AY768" i="19"/>
  <c r="AY767" i="19"/>
  <c r="AY760" i="19"/>
  <c r="AY763" i="19"/>
  <c r="AV769" i="19"/>
  <c r="AY770" i="19"/>
  <c r="AV768" i="19"/>
  <c r="AV765" i="19"/>
  <c r="AV764" i="19"/>
  <c r="AY765" i="19"/>
  <c r="AY764" i="19"/>
  <c r="AV760" i="19"/>
  <c r="D900" i="19"/>
  <c r="E831" i="19"/>
  <c r="J830" i="19"/>
  <c r="I830" i="19" s="1"/>
  <c r="J890" i="19"/>
  <c r="E891" i="19"/>
  <c r="D845" i="19"/>
  <c r="E838" i="19"/>
  <c r="J837" i="19"/>
  <c r="I837" i="19" s="1"/>
  <c r="J858" i="19"/>
  <c r="I858" i="19" s="1"/>
  <c r="D859" i="19"/>
  <c r="G676" i="19"/>
  <c r="J707" i="19"/>
  <c r="AM662" i="19" s="1"/>
  <c r="D708" i="19"/>
  <c r="J676" i="19"/>
  <c r="AE663" i="19" s="1"/>
  <c r="D677" i="19"/>
  <c r="J677" i="19" s="1"/>
  <c r="AE660" i="19" s="1"/>
  <c r="J732" i="19"/>
  <c r="AO660" i="19" s="1"/>
  <c r="D733" i="19"/>
  <c r="J733" i="19" s="1"/>
  <c r="I733" i="19" s="1"/>
  <c r="E728" i="19"/>
  <c r="J728" i="19" s="1"/>
  <c r="I728" i="19" s="1"/>
  <c r="J727" i="19"/>
  <c r="AO656" i="19" s="1"/>
  <c r="J684" i="19"/>
  <c r="AK661" i="19" s="1"/>
  <c r="D685" i="19"/>
  <c r="J698" i="19"/>
  <c r="AG660" i="19" s="1"/>
  <c r="D699" i="19"/>
  <c r="J699" i="19" s="1"/>
  <c r="I699" i="19" s="1"/>
  <c r="D722" i="19"/>
  <c r="J722" i="19" s="1"/>
  <c r="I722" i="19" s="1"/>
  <c r="J721" i="19"/>
  <c r="AI660" i="19" s="1"/>
  <c r="G603" i="19"/>
  <c r="G604" i="19"/>
  <c r="W629" i="19"/>
  <c r="W636" i="19"/>
  <c r="AC626" i="19"/>
  <c r="J587" i="19"/>
  <c r="I587" i="19" s="1"/>
  <c r="D588" i="19"/>
  <c r="D574" i="19"/>
  <c r="J573" i="19"/>
  <c r="D561" i="19"/>
  <c r="J560" i="19"/>
  <c r="AF710" i="19"/>
  <c r="T722" i="19" s="1"/>
  <c r="T713" i="19"/>
  <c r="AA725" i="19" s="1"/>
  <c r="AL711" i="19"/>
  <c r="T730" i="19" s="1"/>
  <c r="T711" i="19"/>
  <c r="AA723" i="19" s="1"/>
  <c r="T714" i="19"/>
  <c r="AA726" i="19" s="1"/>
  <c r="I195" i="19"/>
  <c r="Z713" i="19"/>
  <c r="T712" i="19"/>
  <c r="AA724" i="19" s="1"/>
  <c r="V710" i="19"/>
  <c r="AC722" i="19" s="1"/>
  <c r="D635" i="19"/>
  <c r="J634" i="19"/>
  <c r="E610" i="19"/>
  <c r="J609" i="19"/>
  <c r="D647" i="19"/>
  <c r="J646" i="19"/>
  <c r="AA629" i="19" s="1"/>
  <c r="D613" i="19"/>
  <c r="D657" i="19"/>
  <c r="E654" i="19"/>
  <c r="J653" i="19"/>
  <c r="D604" i="19"/>
  <c r="J603" i="19"/>
  <c r="D624" i="19"/>
  <c r="J623" i="19"/>
  <c r="J35" i="19"/>
  <c r="I35" i="19" s="1"/>
  <c r="J212" i="19"/>
  <c r="AD713" i="19" s="1"/>
  <c r="J162" i="19"/>
  <c r="AJ710" i="19" s="1"/>
  <c r="X722" i="19" s="1"/>
  <c r="J217" i="19"/>
  <c r="AP710" i="19" s="1"/>
  <c r="X729" i="19" s="1"/>
  <c r="J211" i="19"/>
  <c r="AD712" i="19" s="1"/>
  <c r="AE731" i="19" s="1"/>
  <c r="J156" i="19"/>
  <c r="X712" i="19" s="1"/>
  <c r="AE724" i="19" s="1"/>
  <c r="J155" i="19"/>
  <c r="X711" i="19" s="1"/>
  <c r="AE723" i="19" s="1"/>
  <c r="J236" i="19"/>
  <c r="AN712" i="19" s="1"/>
  <c r="V731" i="19" s="1"/>
  <c r="D519" i="19"/>
  <c r="J518" i="19"/>
  <c r="J507" i="19"/>
  <c r="D508" i="19"/>
  <c r="E427" i="19"/>
  <c r="J426" i="19"/>
  <c r="E173" i="19"/>
  <c r="J172" i="19"/>
  <c r="D430" i="19"/>
  <c r="D443" i="19"/>
  <c r="D372" i="19"/>
  <c r="J371" i="19"/>
  <c r="J21" i="19"/>
  <c r="D22" i="19"/>
  <c r="E147" i="19"/>
  <c r="J146" i="19"/>
  <c r="D222" i="19"/>
  <c r="L492" i="19"/>
  <c r="L482" i="19"/>
  <c r="L491" i="19"/>
  <c r="L496" i="19"/>
  <c r="L486" i="19"/>
  <c r="L481" i="19"/>
  <c r="J213" i="19"/>
  <c r="AD714" i="19" s="1"/>
  <c r="AE732" i="19" s="1"/>
  <c r="D214" i="19"/>
  <c r="D457" i="19"/>
  <c r="J456" i="19"/>
  <c r="J293" i="19"/>
  <c r="D294" i="19"/>
  <c r="E466" i="19"/>
  <c r="J465" i="19"/>
  <c r="D158" i="19"/>
  <c r="J157" i="19"/>
  <c r="X713" i="19" s="1"/>
  <c r="AE725" i="19" s="1"/>
  <c r="D238" i="19"/>
  <c r="J237" i="19"/>
  <c r="AN713" i="19" s="1"/>
  <c r="D495" i="19"/>
  <c r="E94" i="19"/>
  <c r="J93" i="19"/>
  <c r="AD108" i="19" s="1"/>
  <c r="E413" i="19"/>
  <c r="J412" i="19"/>
  <c r="E110" i="19"/>
  <c r="J109" i="19"/>
  <c r="T107" i="19" s="1"/>
  <c r="J529" i="19"/>
  <c r="D530" i="19"/>
  <c r="L301" i="19"/>
  <c r="G301" i="19" s="1"/>
  <c r="E263" i="19"/>
  <c r="J262" i="19"/>
  <c r="D185" i="19"/>
  <c r="D541" i="19"/>
  <c r="J36" i="19"/>
  <c r="I36" i="19" s="1"/>
  <c r="D37" i="19"/>
  <c r="D205" i="19"/>
  <c r="J354" i="19"/>
  <c r="D355" i="19"/>
  <c r="E164" i="19"/>
  <c r="J163" i="19"/>
  <c r="AJ711" i="19" s="1"/>
  <c r="X723" i="19" s="1"/>
  <c r="J230" i="19"/>
  <c r="AB714" i="19" s="1"/>
  <c r="AC732" i="19" s="1"/>
  <c r="D231" i="19"/>
  <c r="J341" i="19"/>
  <c r="E342" i="19"/>
  <c r="J142" i="19"/>
  <c r="D143" i="19"/>
  <c r="J143" i="19" s="1"/>
  <c r="D302" i="19"/>
  <c r="J301" i="19"/>
  <c r="J385" i="19"/>
  <c r="E386" i="19"/>
  <c r="D166" i="19"/>
  <c r="D486" i="19"/>
  <c r="J485" i="19"/>
  <c r="J196" i="19"/>
  <c r="D197" i="19"/>
  <c r="J52" i="19"/>
  <c r="D53" i="19"/>
  <c r="D266" i="19"/>
  <c r="D175" i="19"/>
  <c r="E219" i="19"/>
  <c r="J218" i="19"/>
  <c r="AP711" i="19" s="1"/>
  <c r="X730" i="19" s="1"/>
  <c r="D401" i="19"/>
  <c r="J400" i="19"/>
  <c r="I400" i="19" s="1"/>
  <c r="D112" i="19"/>
  <c r="D348" i="19"/>
  <c r="D282" i="19"/>
  <c r="J82" i="19"/>
  <c r="AB109" i="19" s="1"/>
  <c r="D83" i="19"/>
  <c r="J83" i="19" s="1"/>
  <c r="AB110" i="19" s="1"/>
  <c r="J491" i="19"/>
  <c r="E492" i="19"/>
  <c r="E536" i="19"/>
  <c r="E124" i="19"/>
  <c r="J123" i="19"/>
  <c r="V108" i="19" s="1"/>
  <c r="D469" i="19"/>
  <c r="D417" i="19"/>
  <c r="D149" i="19"/>
  <c r="J76" i="19"/>
  <c r="AF109" i="19" s="1"/>
  <c r="D77" i="19"/>
  <c r="J77" i="19" s="1"/>
  <c r="AF110" i="19" s="1"/>
  <c r="E308" i="19"/>
  <c r="J307" i="19"/>
  <c r="D274" i="19"/>
  <c r="D389" i="19"/>
  <c r="J335" i="19"/>
  <c r="D336" i="19"/>
  <c r="E203" i="19"/>
  <c r="J202" i="19"/>
  <c r="I263" i="9"/>
  <c r="J263" i="9" s="1"/>
  <c r="M263" i="9" s="1"/>
  <c r="N263" i="9" s="1"/>
  <c r="P263" i="9" s="1"/>
  <c r="J266" i="9"/>
  <c r="M260" i="9"/>
  <c r="N260" i="9" s="1"/>
  <c r="N261" i="9" s="1"/>
  <c r="J265" i="9"/>
  <c r="G613" i="19" l="1"/>
  <c r="D846" i="19"/>
  <c r="E892" i="19"/>
  <c r="J891" i="19"/>
  <c r="I891" i="19" s="1"/>
  <c r="J859" i="19"/>
  <c r="I859" i="19" s="1"/>
  <c r="D860" i="19"/>
  <c r="E832" i="19"/>
  <c r="J831" i="19"/>
  <c r="I831" i="19" s="1"/>
  <c r="D901" i="19"/>
  <c r="E839" i="19"/>
  <c r="J838" i="19"/>
  <c r="I838" i="19" s="1"/>
  <c r="I676" i="19"/>
  <c r="D709" i="19"/>
  <c r="J708" i="19"/>
  <c r="AM663" i="19" s="1"/>
  <c r="D686" i="19"/>
  <c r="J685" i="19"/>
  <c r="AK662" i="19" s="1"/>
  <c r="AE629" i="19"/>
  <c r="I603" i="19"/>
  <c r="W630" i="19"/>
  <c r="Y629" i="19"/>
  <c r="AC627" i="19"/>
  <c r="W637" i="19"/>
  <c r="AG626" i="19"/>
  <c r="D589" i="19"/>
  <c r="J589" i="19" s="1"/>
  <c r="I589" i="19" s="1"/>
  <c r="J588" i="19"/>
  <c r="I588" i="19" s="1"/>
  <c r="J574" i="19"/>
  <c r="I574" i="19" s="1"/>
  <c r="D575" i="19"/>
  <c r="J561" i="19"/>
  <c r="I561" i="19" s="1"/>
  <c r="D562" i="19"/>
  <c r="V711" i="19"/>
  <c r="AC723" i="19" s="1"/>
  <c r="AF711" i="19"/>
  <c r="T723" i="19" s="1"/>
  <c r="T716" i="19"/>
  <c r="AA721" i="19" s="1"/>
  <c r="AL712" i="19"/>
  <c r="T731" i="19" s="1"/>
  <c r="I196" i="19"/>
  <c r="Z714" i="19"/>
  <c r="AA732" i="19" s="1"/>
  <c r="T715" i="19"/>
  <c r="AA727" i="19" s="1"/>
  <c r="D625" i="19"/>
  <c r="J624" i="19"/>
  <c r="D614" i="19"/>
  <c r="D605" i="19"/>
  <c r="J605" i="19" s="1"/>
  <c r="J604" i="19"/>
  <c r="D648" i="19"/>
  <c r="J647" i="19"/>
  <c r="AA630" i="19" s="1"/>
  <c r="E655" i="19"/>
  <c r="J654" i="19"/>
  <c r="E611" i="19"/>
  <c r="J610" i="19"/>
  <c r="D658" i="19"/>
  <c r="J635" i="19"/>
  <c r="D636" i="19"/>
  <c r="I293" i="19"/>
  <c r="I301" i="19"/>
  <c r="D520" i="19"/>
  <c r="J519" i="19"/>
  <c r="D509" i="19"/>
  <c r="J508" i="19"/>
  <c r="E174" i="19"/>
  <c r="J173" i="19"/>
  <c r="E428" i="19"/>
  <c r="J427" i="19"/>
  <c r="D444" i="19"/>
  <c r="D431" i="19"/>
  <c r="E148" i="19"/>
  <c r="J147" i="19"/>
  <c r="J22" i="19"/>
  <c r="D23" i="19"/>
  <c r="J372" i="19"/>
  <c r="D373" i="19"/>
  <c r="D167" i="19"/>
  <c r="D356" i="19"/>
  <c r="J355" i="19"/>
  <c r="G492" i="19"/>
  <c r="L495" i="19"/>
  <c r="E309" i="19"/>
  <c r="J308" i="19"/>
  <c r="J197" i="19"/>
  <c r="D198" i="19"/>
  <c r="J198" i="19" s="1"/>
  <c r="E387" i="19"/>
  <c r="J386" i="19"/>
  <c r="J342" i="19"/>
  <c r="E343" i="19"/>
  <c r="D295" i="19"/>
  <c r="J294" i="19"/>
  <c r="G481" i="19"/>
  <c r="I481" i="19" s="1"/>
  <c r="D390" i="19"/>
  <c r="J336" i="19"/>
  <c r="D337" i="19"/>
  <c r="D418" i="19"/>
  <c r="D419" i="19" s="1"/>
  <c r="D283" i="19"/>
  <c r="J401" i="19"/>
  <c r="D402" i="19"/>
  <c r="J238" i="19"/>
  <c r="D239" i="19"/>
  <c r="G486" i="19"/>
  <c r="D470" i="19"/>
  <c r="D206" i="19"/>
  <c r="J37" i="19"/>
  <c r="I37" i="19" s="1"/>
  <c r="D38" i="19"/>
  <c r="E264" i="19"/>
  <c r="J263" i="19"/>
  <c r="E111" i="19"/>
  <c r="J110" i="19"/>
  <c r="T108" i="19" s="1"/>
  <c r="E125" i="19"/>
  <c r="J125" i="19" s="1"/>
  <c r="V110" i="19" s="1"/>
  <c r="J124" i="19"/>
  <c r="V109" i="19" s="1"/>
  <c r="E220" i="19"/>
  <c r="J219" i="19"/>
  <c r="AP712" i="19" s="1"/>
  <c r="X731" i="19" s="1"/>
  <c r="D267" i="19"/>
  <c r="D487" i="19"/>
  <c r="J486" i="19"/>
  <c r="D232" i="19"/>
  <c r="J232" i="19" s="1"/>
  <c r="J231" i="19"/>
  <c r="J158" i="19"/>
  <c r="X714" i="19" s="1"/>
  <c r="AE726" i="19" s="1"/>
  <c r="D159" i="19"/>
  <c r="J457" i="19"/>
  <c r="D458" i="19"/>
  <c r="G496" i="19"/>
  <c r="D275" i="19"/>
  <c r="J536" i="19"/>
  <c r="E537" i="19"/>
  <c r="J302" i="19"/>
  <c r="D303" i="19"/>
  <c r="J413" i="19"/>
  <c r="E414" i="19"/>
  <c r="D496" i="19"/>
  <c r="D223" i="19"/>
  <c r="D150" i="19"/>
  <c r="E493" i="19"/>
  <c r="J492" i="19"/>
  <c r="D176" i="19"/>
  <c r="D542" i="19"/>
  <c r="J530" i="19"/>
  <c r="D531" i="19"/>
  <c r="E467" i="19"/>
  <c r="J466" i="19"/>
  <c r="G491" i="19"/>
  <c r="I491" i="19" s="1"/>
  <c r="E204" i="19"/>
  <c r="J203" i="19"/>
  <c r="J53" i="19"/>
  <c r="D54" i="19"/>
  <c r="E165" i="19"/>
  <c r="J164" i="19"/>
  <c r="AJ712" i="19" s="1"/>
  <c r="X724" i="19" s="1"/>
  <c r="E95" i="19"/>
  <c r="J95" i="19" s="1"/>
  <c r="AD110" i="19" s="1"/>
  <c r="J94" i="19"/>
  <c r="AD109" i="19" s="1"/>
  <c r="J214" i="19"/>
  <c r="AD715" i="19" s="1"/>
  <c r="AE733" i="19" s="1"/>
  <c r="D215" i="19"/>
  <c r="J215" i="19" s="1"/>
  <c r="AD716" i="19" s="1"/>
  <c r="AE728" i="19" s="1"/>
  <c r="G482" i="19"/>
  <c r="I482" i="19" s="1"/>
  <c r="L485" i="19"/>
  <c r="E833" i="19" l="1"/>
  <c r="J833" i="19" s="1"/>
  <c r="I833" i="19" s="1"/>
  <c r="J832" i="19"/>
  <c r="I832" i="19" s="1"/>
  <c r="J860" i="19"/>
  <c r="I860" i="19" s="1"/>
  <c r="D861" i="19"/>
  <c r="J861" i="19" s="1"/>
  <c r="I861" i="19" s="1"/>
  <c r="E840" i="19"/>
  <c r="J839" i="19"/>
  <c r="I839" i="19" s="1"/>
  <c r="E893" i="19"/>
  <c r="J892" i="19"/>
  <c r="I892" i="19" s="1"/>
  <c r="D847" i="19"/>
  <c r="J709" i="19"/>
  <c r="AM660" i="19" s="1"/>
  <c r="D710" i="19"/>
  <c r="J710" i="19" s="1"/>
  <c r="I710" i="19" s="1"/>
  <c r="D687" i="19"/>
  <c r="J687" i="19" s="1"/>
  <c r="AK660" i="19" s="1"/>
  <c r="J686" i="19"/>
  <c r="Y630" i="19"/>
  <c r="AE630" i="19"/>
  <c r="I604" i="19"/>
  <c r="W631" i="19"/>
  <c r="W628" i="19"/>
  <c r="AC624" i="19"/>
  <c r="W638" i="19"/>
  <c r="AG627" i="19"/>
  <c r="D576" i="19"/>
  <c r="J575" i="19"/>
  <c r="D563" i="19"/>
  <c r="J562" i="19"/>
  <c r="AB715" i="19"/>
  <c r="AC733" i="19" s="1"/>
  <c r="AN714" i="19"/>
  <c r="V732" i="19" s="1"/>
  <c r="Z716" i="19"/>
  <c r="AA728" i="19" s="1"/>
  <c r="AF712" i="19"/>
  <c r="T724" i="19" s="1"/>
  <c r="Z715" i="19"/>
  <c r="AA733" i="19" s="1"/>
  <c r="AB716" i="19"/>
  <c r="AC728" i="19" s="1"/>
  <c r="V712" i="19"/>
  <c r="AC724" i="19" s="1"/>
  <c r="I203" i="19"/>
  <c r="AL713" i="19"/>
  <c r="D615" i="19"/>
  <c r="D649" i="19"/>
  <c r="J648" i="19"/>
  <c r="AA631" i="19" s="1"/>
  <c r="D659" i="19"/>
  <c r="J611" i="19"/>
  <c r="D637" i="19"/>
  <c r="J636" i="19"/>
  <c r="E656" i="19"/>
  <c r="J655" i="19"/>
  <c r="AG624" i="19" s="1"/>
  <c r="D626" i="19"/>
  <c r="J625" i="19"/>
  <c r="I492" i="19"/>
  <c r="D521" i="19"/>
  <c r="J520" i="19"/>
  <c r="D510" i="19"/>
  <c r="J509" i="19"/>
  <c r="E429" i="19"/>
  <c r="J428" i="19"/>
  <c r="E439" i="19"/>
  <c r="J438" i="19"/>
  <c r="E175" i="19"/>
  <c r="J174" i="19"/>
  <c r="D432" i="19"/>
  <c r="D445" i="19"/>
  <c r="J373" i="19"/>
  <c r="I373" i="19" s="1"/>
  <c r="D374" i="19"/>
  <c r="J374" i="19" s="1"/>
  <c r="I374" i="19" s="1"/>
  <c r="I486" i="19"/>
  <c r="J23" i="19"/>
  <c r="D24" i="19"/>
  <c r="E149" i="19"/>
  <c r="J148" i="19"/>
  <c r="D151" i="19"/>
  <c r="E265" i="19"/>
  <c r="J264" i="19"/>
  <c r="D296" i="19"/>
  <c r="J296" i="19" s="1"/>
  <c r="J295" i="19"/>
  <c r="G485" i="19"/>
  <c r="I485" i="19" s="1"/>
  <c r="D543" i="19"/>
  <c r="J38" i="19"/>
  <c r="D39" i="19"/>
  <c r="J337" i="19"/>
  <c r="D338" i="19"/>
  <c r="J338" i="19" s="1"/>
  <c r="J531" i="19"/>
  <c r="D532" i="19"/>
  <c r="E205" i="19"/>
  <c r="J204" i="19"/>
  <c r="J303" i="19"/>
  <c r="D304" i="19"/>
  <c r="J304" i="19" s="1"/>
  <c r="E310" i="19"/>
  <c r="J309" i="19"/>
  <c r="E494" i="19"/>
  <c r="J493" i="19"/>
  <c r="E166" i="19"/>
  <c r="J165" i="19"/>
  <c r="AJ713" i="19" s="1"/>
  <c r="X725" i="19" s="1"/>
  <c r="D488" i="19"/>
  <c r="J487" i="19"/>
  <c r="E344" i="19"/>
  <c r="J343" i="19"/>
  <c r="D357" i="19"/>
  <c r="J356" i="19"/>
  <c r="J54" i="19"/>
  <c r="D55" i="19"/>
  <c r="D177" i="19"/>
  <c r="D497" i="19"/>
  <c r="E538" i="19"/>
  <c r="J537" i="19"/>
  <c r="D420" i="19"/>
  <c r="D168" i="19"/>
  <c r="E415" i="19"/>
  <c r="J414" i="19"/>
  <c r="I414" i="19" s="1"/>
  <c r="J458" i="19"/>
  <c r="D459" i="19"/>
  <c r="D403" i="19"/>
  <c r="J402" i="19"/>
  <c r="E468" i="19"/>
  <c r="J467" i="19"/>
  <c r="E112" i="19"/>
  <c r="J112" i="19" s="1"/>
  <c r="T110" i="19" s="1"/>
  <c r="J111" i="19"/>
  <c r="T109" i="19" s="1"/>
  <c r="D471" i="19"/>
  <c r="E388" i="19"/>
  <c r="J387" i="19"/>
  <c r="J159" i="19"/>
  <c r="X715" i="19" s="1"/>
  <c r="AE727" i="19" s="1"/>
  <c r="D160" i="19"/>
  <c r="J160" i="19" s="1"/>
  <c r="X716" i="19" s="1"/>
  <c r="AE721" i="19" s="1"/>
  <c r="E221" i="19"/>
  <c r="J220" i="19"/>
  <c r="AP713" i="19" s="1"/>
  <c r="J239" i="19"/>
  <c r="D240" i="19"/>
  <c r="J240" i="19" s="1"/>
  <c r="G495" i="19"/>
  <c r="J576" i="19" l="1"/>
  <c r="D577" i="19"/>
  <c r="I686" i="19"/>
  <c r="AK663" i="19"/>
  <c r="J563" i="19"/>
  <c r="D564" i="19"/>
  <c r="E894" i="19"/>
  <c r="J893" i="19"/>
  <c r="I893" i="19" s="1"/>
  <c r="E841" i="19"/>
  <c r="J840" i="19"/>
  <c r="I840" i="19" s="1"/>
  <c r="AE631" i="19"/>
  <c r="Y631" i="19"/>
  <c r="I611" i="19"/>
  <c r="W635" i="19"/>
  <c r="V713" i="19"/>
  <c r="AC725" i="19" s="1"/>
  <c r="AN715" i="19"/>
  <c r="V733" i="19" s="1"/>
  <c r="AF713" i="19"/>
  <c r="T725" i="19" s="1"/>
  <c r="AN716" i="19"/>
  <c r="V728" i="19" s="1"/>
  <c r="I204" i="19"/>
  <c r="AL714" i="19"/>
  <c r="T732" i="19" s="1"/>
  <c r="G449" i="19"/>
  <c r="E613" i="19"/>
  <c r="J612" i="19"/>
  <c r="D627" i="19"/>
  <c r="J627" i="19" s="1"/>
  <c r="I627" i="19" s="1"/>
  <c r="J626" i="19"/>
  <c r="D660" i="19"/>
  <c r="J656" i="19"/>
  <c r="I656" i="19" s="1"/>
  <c r="J649" i="19"/>
  <c r="AA628" i="19" s="1"/>
  <c r="D650" i="19"/>
  <c r="J650" i="19" s="1"/>
  <c r="I650" i="19" s="1"/>
  <c r="D638" i="19"/>
  <c r="J638" i="19" s="1"/>
  <c r="I638" i="19" s="1"/>
  <c r="J637" i="19"/>
  <c r="G436" i="19"/>
  <c r="D511" i="19"/>
  <c r="J511" i="19" s="1"/>
  <c r="J510" i="19"/>
  <c r="J521" i="19"/>
  <c r="D522" i="19"/>
  <c r="J522" i="19" s="1"/>
  <c r="E440" i="19"/>
  <c r="J439" i="19"/>
  <c r="E430" i="19"/>
  <c r="J429" i="19"/>
  <c r="E176" i="19"/>
  <c r="J175" i="19"/>
  <c r="D446" i="19"/>
  <c r="D433" i="19"/>
  <c r="J24" i="19"/>
  <c r="D25" i="19"/>
  <c r="E150" i="19"/>
  <c r="J149" i="19"/>
  <c r="E416" i="19"/>
  <c r="J415" i="19"/>
  <c r="D421" i="19"/>
  <c r="D422" i="19" s="1"/>
  <c r="D58" i="19"/>
  <c r="J58" i="19" s="1"/>
  <c r="I58" i="19" s="1"/>
  <c r="J55" i="19"/>
  <c r="I55" i="19" s="1"/>
  <c r="D56" i="19"/>
  <c r="E495" i="19"/>
  <c r="J494" i="19"/>
  <c r="E389" i="19"/>
  <c r="J388" i="19"/>
  <c r="D544" i="19"/>
  <c r="D472" i="19"/>
  <c r="E167" i="19"/>
  <c r="J166" i="19"/>
  <c r="AJ714" i="19" s="1"/>
  <c r="X726" i="19" s="1"/>
  <c r="E206" i="19"/>
  <c r="J206" i="19" s="1"/>
  <c r="J205" i="19"/>
  <c r="E539" i="19"/>
  <c r="J538" i="19"/>
  <c r="E311" i="19"/>
  <c r="J310" i="19"/>
  <c r="D533" i="19"/>
  <c r="J532" i="19"/>
  <c r="E266" i="19"/>
  <c r="J265" i="19"/>
  <c r="D404" i="19"/>
  <c r="J403" i="19"/>
  <c r="D498" i="19"/>
  <c r="E222" i="19"/>
  <c r="J221" i="19"/>
  <c r="AP714" i="19" s="1"/>
  <c r="X732" i="19" s="1"/>
  <c r="J459" i="19"/>
  <c r="D460" i="19"/>
  <c r="J357" i="19"/>
  <c r="D358" i="19"/>
  <c r="E469" i="19"/>
  <c r="J468" i="19"/>
  <c r="E345" i="19"/>
  <c r="J344" i="19"/>
  <c r="J488" i="19"/>
  <c r="D489" i="19"/>
  <c r="J489" i="19" s="1"/>
  <c r="I489" i="19" s="1"/>
  <c r="D40" i="19"/>
  <c r="J39" i="19"/>
  <c r="D565" i="19" l="1"/>
  <c r="J565" i="19" s="1"/>
  <c r="J564" i="19"/>
  <c r="D578" i="19"/>
  <c r="J578" i="19" s="1"/>
  <c r="I578" i="19" s="1"/>
  <c r="J577" i="19"/>
  <c r="I577" i="19" s="1"/>
  <c r="E842" i="19"/>
  <c r="J841" i="19"/>
  <c r="E895" i="19"/>
  <c r="J894" i="19"/>
  <c r="I894" i="19" s="1"/>
  <c r="Y628" i="19"/>
  <c r="AE628" i="19"/>
  <c r="AC629" i="19"/>
  <c r="AL715" i="19"/>
  <c r="T733" i="19" s="1"/>
  <c r="V714" i="19"/>
  <c r="AC726" i="19" s="1"/>
  <c r="AL716" i="19"/>
  <c r="T728" i="19" s="1"/>
  <c r="AF714" i="19"/>
  <c r="T726" i="19" s="1"/>
  <c r="E658" i="19"/>
  <c r="J657" i="19"/>
  <c r="AG629" i="19" s="1"/>
  <c r="D661" i="19"/>
  <c r="E614" i="19"/>
  <c r="J613" i="19"/>
  <c r="J404" i="19"/>
  <c r="D405" i="19"/>
  <c r="D406" i="19" s="1"/>
  <c r="E177" i="19"/>
  <c r="J176" i="19"/>
  <c r="E441" i="19"/>
  <c r="J440" i="19"/>
  <c r="E431" i="19"/>
  <c r="J430" i="19"/>
  <c r="D434" i="19"/>
  <c r="D447" i="19"/>
  <c r="J25" i="19"/>
  <c r="D26" i="19"/>
  <c r="E151" i="19"/>
  <c r="J151" i="19" s="1"/>
  <c r="J150" i="19"/>
  <c r="D43" i="19"/>
  <c r="J43" i="19" s="1"/>
  <c r="I43" i="19" s="1"/>
  <c r="J40" i="19"/>
  <c r="D41" i="19"/>
  <c r="E346" i="19"/>
  <c r="J345" i="19"/>
  <c r="E168" i="19"/>
  <c r="J168" i="19" s="1"/>
  <c r="AJ716" i="19" s="1"/>
  <c r="X721" i="19" s="1"/>
  <c r="J167" i="19"/>
  <c r="AJ715" i="19" s="1"/>
  <c r="X727" i="19" s="1"/>
  <c r="E496" i="19"/>
  <c r="J495" i="19"/>
  <c r="J56" i="19"/>
  <c r="I56" i="19" s="1"/>
  <c r="D57" i="19"/>
  <c r="J57" i="19" s="1"/>
  <c r="I57" i="19" s="1"/>
  <c r="E470" i="19"/>
  <c r="J469" i="19"/>
  <c r="J358" i="19"/>
  <c r="D359" i="19"/>
  <c r="D499" i="19"/>
  <c r="D473" i="19"/>
  <c r="E267" i="19"/>
  <c r="J266" i="19"/>
  <c r="D545" i="19"/>
  <c r="J460" i="19"/>
  <c r="D461" i="19"/>
  <c r="E540" i="19"/>
  <c r="J539" i="19"/>
  <c r="D534" i="19"/>
  <c r="J534" i="19" s="1"/>
  <c r="J533" i="19"/>
  <c r="E390" i="19"/>
  <c r="J390" i="19" s="1"/>
  <c r="I390" i="19" s="1"/>
  <c r="J389" i="19"/>
  <c r="I389" i="19" s="1"/>
  <c r="E223" i="19"/>
  <c r="J223" i="19" s="1"/>
  <c r="AP716" i="19" s="1"/>
  <c r="X728" i="19" s="1"/>
  <c r="J222" i="19"/>
  <c r="AP715" i="19" s="1"/>
  <c r="X733" i="19" s="1"/>
  <c r="E312" i="19"/>
  <c r="J311" i="19"/>
  <c r="E417" i="19"/>
  <c r="J416" i="19"/>
  <c r="E896" i="19" l="1"/>
  <c r="J895" i="19"/>
  <c r="I895" i="19" s="1"/>
  <c r="E843" i="19"/>
  <c r="J842" i="19"/>
  <c r="I842" i="19" s="1"/>
  <c r="I613" i="19"/>
  <c r="AC630" i="19"/>
  <c r="AF716" i="19"/>
  <c r="T721" i="19" s="1"/>
  <c r="AF715" i="19"/>
  <c r="T727" i="19" s="1"/>
  <c r="V715" i="19"/>
  <c r="AC727" i="19" s="1"/>
  <c r="E615" i="19"/>
  <c r="J615" i="19" s="1"/>
  <c r="J614" i="19"/>
  <c r="E659" i="19"/>
  <c r="J658" i="19"/>
  <c r="AG630" i="19" s="1"/>
  <c r="J405" i="19"/>
  <c r="I495" i="19"/>
  <c r="E432" i="19"/>
  <c r="J431" i="19"/>
  <c r="E442" i="19"/>
  <c r="J441" i="19"/>
  <c r="E179" i="19"/>
  <c r="J177" i="19"/>
  <c r="D448" i="19"/>
  <c r="D449" i="19" s="1"/>
  <c r="D435" i="19"/>
  <c r="D436" i="19" s="1"/>
  <c r="J26" i="19"/>
  <c r="D27" i="19"/>
  <c r="D29" i="19"/>
  <c r="J29" i="19" s="1"/>
  <c r="I29" i="19" s="1"/>
  <c r="E541" i="19"/>
  <c r="J540" i="19"/>
  <c r="E418" i="19"/>
  <c r="J417" i="19"/>
  <c r="J461" i="19"/>
  <c r="D462" i="19"/>
  <c r="E497" i="19"/>
  <c r="J496" i="19"/>
  <c r="E314" i="19"/>
  <c r="J312" i="19"/>
  <c r="D360" i="19"/>
  <c r="J360" i="19" s="1"/>
  <c r="I360" i="19" s="1"/>
  <c r="J359" i="19"/>
  <c r="E347" i="19"/>
  <c r="J346" i="19"/>
  <c r="D407" i="19"/>
  <c r="J406" i="19"/>
  <c r="E269" i="19"/>
  <c r="J267" i="19"/>
  <c r="E471" i="19"/>
  <c r="J470" i="19"/>
  <c r="J41" i="19"/>
  <c r="D42" i="19"/>
  <c r="J42" i="19" s="1"/>
  <c r="D474" i="19"/>
  <c r="E844" i="19" l="1"/>
  <c r="J843" i="19"/>
  <c r="I843" i="19" s="1"/>
  <c r="E897" i="19"/>
  <c r="J896" i="19"/>
  <c r="I896" i="19" s="1"/>
  <c r="AC628" i="19"/>
  <c r="I614" i="19"/>
  <c r="AC631" i="19"/>
  <c r="V716" i="19"/>
  <c r="AC721" i="19" s="1"/>
  <c r="J462" i="19"/>
  <c r="D463" i="19"/>
  <c r="J463" i="19" s="1"/>
  <c r="E660" i="19"/>
  <c r="J659" i="19"/>
  <c r="AG631" i="19" s="1"/>
  <c r="J407" i="19"/>
  <c r="D408" i="19"/>
  <c r="J408" i="19" s="1"/>
  <c r="I496" i="19"/>
  <c r="J418" i="19"/>
  <c r="E419" i="19"/>
  <c r="J419" i="19" s="1"/>
  <c r="E180" i="19"/>
  <c r="J179" i="19"/>
  <c r="E443" i="19"/>
  <c r="J442" i="19"/>
  <c r="E433" i="19"/>
  <c r="J432" i="19"/>
  <c r="D28" i="19"/>
  <c r="J28" i="19" s="1"/>
  <c r="J27" i="19"/>
  <c r="E348" i="19"/>
  <c r="J348" i="19" s="1"/>
  <c r="J347" i="19"/>
  <c r="E472" i="19"/>
  <c r="J471" i="19"/>
  <c r="J269" i="19"/>
  <c r="E270" i="19"/>
  <c r="E420" i="19"/>
  <c r="D475" i="19"/>
  <c r="D476" i="19" s="1"/>
  <c r="J314" i="19"/>
  <c r="E315" i="19"/>
  <c r="E498" i="19"/>
  <c r="J497" i="19"/>
  <c r="E542" i="19"/>
  <c r="J541" i="19"/>
  <c r="E898" i="19" l="1"/>
  <c r="J897" i="19"/>
  <c r="I897" i="19" s="1"/>
  <c r="E845" i="19"/>
  <c r="J844" i="19"/>
  <c r="I844" i="19" s="1"/>
  <c r="AH710" i="19"/>
  <c r="V722" i="19" s="1"/>
  <c r="E661" i="19"/>
  <c r="J661" i="19" s="1"/>
  <c r="I661" i="19" s="1"/>
  <c r="J660" i="19"/>
  <c r="AG628" i="19" s="1"/>
  <c r="E434" i="19"/>
  <c r="J433" i="19"/>
  <c r="E444" i="19"/>
  <c r="J443" i="19"/>
  <c r="E181" i="19"/>
  <c r="J180" i="19"/>
  <c r="E543" i="19"/>
  <c r="J542" i="19"/>
  <c r="E421" i="19"/>
  <c r="J420" i="19"/>
  <c r="E271" i="19"/>
  <c r="J270" i="19"/>
  <c r="E316" i="19"/>
  <c r="J315" i="19"/>
  <c r="E499" i="19"/>
  <c r="J499" i="19" s="1"/>
  <c r="I499" i="19" s="1"/>
  <c r="J498" i="19"/>
  <c r="E473" i="19"/>
  <c r="J472" i="19"/>
  <c r="E846" i="19" l="1"/>
  <c r="J845" i="19"/>
  <c r="I845" i="19" s="1"/>
  <c r="E899" i="19"/>
  <c r="J898" i="19"/>
  <c r="I898" i="19" s="1"/>
  <c r="AH711" i="19"/>
  <c r="V723" i="19" s="1"/>
  <c r="J421" i="19"/>
  <c r="E422" i="19"/>
  <c r="J422" i="19" s="1"/>
  <c r="J181" i="19"/>
  <c r="E182" i="19"/>
  <c r="E445" i="19"/>
  <c r="J444" i="19"/>
  <c r="E435" i="19"/>
  <c r="J434" i="19"/>
  <c r="E474" i="19"/>
  <c r="J473" i="19"/>
  <c r="E317" i="19"/>
  <c r="J316" i="19"/>
  <c r="E272" i="19"/>
  <c r="J271" i="19"/>
  <c r="E544" i="19"/>
  <c r="J543" i="19"/>
  <c r="E900" i="19" l="1"/>
  <c r="J899" i="19"/>
  <c r="I899" i="19" s="1"/>
  <c r="E847" i="19"/>
  <c r="J847" i="19" s="1"/>
  <c r="I847" i="19" s="1"/>
  <c r="J846" i="19"/>
  <c r="I846" i="19" s="1"/>
  <c r="AH712" i="19"/>
  <c r="V724" i="19" s="1"/>
  <c r="J435" i="19"/>
  <c r="E436" i="19"/>
  <c r="J436" i="19" s="1"/>
  <c r="I436" i="19" s="1"/>
  <c r="E446" i="19"/>
  <c r="J445" i="19"/>
  <c r="J182" i="19"/>
  <c r="E183" i="19"/>
  <c r="E545" i="19"/>
  <c r="J545" i="19" s="1"/>
  <c r="J544" i="19"/>
  <c r="E273" i="19"/>
  <c r="J272" i="19"/>
  <c r="E318" i="19"/>
  <c r="J317" i="19"/>
  <c r="E475" i="19"/>
  <c r="J474" i="19"/>
  <c r="E901" i="19" l="1"/>
  <c r="J901" i="19" s="1"/>
  <c r="I901" i="19" s="1"/>
  <c r="J900" i="19"/>
  <c r="I900" i="19" s="1"/>
  <c r="J475" i="19"/>
  <c r="E476" i="19"/>
  <c r="J476" i="19" s="1"/>
  <c r="AH713" i="19"/>
  <c r="V725" i="19" s="1"/>
  <c r="E184" i="19"/>
  <c r="J183" i="19"/>
  <c r="E447" i="19"/>
  <c r="J446" i="19"/>
  <c r="E319" i="19"/>
  <c r="J318" i="19"/>
  <c r="E274" i="19"/>
  <c r="J273" i="19"/>
  <c r="AH714" i="19" l="1"/>
  <c r="V726" i="19" s="1"/>
  <c r="E185" i="19"/>
  <c r="J185" i="19" s="1"/>
  <c r="J184" i="19"/>
  <c r="E448" i="19"/>
  <c r="J447" i="19"/>
  <c r="E275" i="19"/>
  <c r="J274" i="19"/>
  <c r="E320" i="19"/>
  <c r="J320" i="19" s="1"/>
  <c r="J319" i="19"/>
  <c r="AH715" i="19" l="1"/>
  <c r="V727" i="19" s="1"/>
  <c r="AH716" i="19"/>
  <c r="V721" i="19" s="1"/>
  <c r="J448" i="19"/>
  <c r="E449" i="19"/>
  <c r="J449" i="19" s="1"/>
  <c r="I449" i="19" s="1"/>
  <c r="E277" i="19"/>
  <c r="J275" i="19"/>
  <c r="J277" i="19" l="1"/>
  <c r="E278" i="19"/>
  <c r="E279" i="19" l="1"/>
  <c r="J278" i="19"/>
  <c r="E280" i="19" l="1"/>
  <c r="J279" i="19"/>
  <c r="E281" i="19" l="1"/>
  <c r="J280" i="19"/>
  <c r="E282" i="19" l="1"/>
  <c r="J281" i="19"/>
  <c r="E283" i="19" l="1"/>
  <c r="J283" i="19" s="1"/>
  <c r="J282" i="19"/>
  <c r="F20" i="10" l="1"/>
  <c r="G20" i="10"/>
  <c r="F21" i="10"/>
  <c r="G21" i="10"/>
  <c r="F22" i="10"/>
  <c r="G22" i="10"/>
  <c r="F23" i="10"/>
  <c r="G23" i="10"/>
  <c r="F24" i="10"/>
  <c r="G24" i="10"/>
  <c r="F25" i="10"/>
  <c r="G25" i="10"/>
  <c r="G19" i="10"/>
  <c r="F19" i="10"/>
  <c r="G20" i="5"/>
  <c r="G21" i="5"/>
  <c r="AT356" i="5" s="1"/>
  <c r="G23" i="5"/>
  <c r="G24" i="5"/>
  <c r="G25" i="5"/>
  <c r="G19" i="5"/>
  <c r="AG356" i="5" s="1"/>
  <c r="F21" i="5"/>
  <c r="F22" i="5"/>
  <c r="F23" i="5"/>
  <c r="F24" i="5"/>
  <c r="F25" i="5"/>
  <c r="F20" i="5"/>
  <c r="F19" i="5"/>
  <c r="Z356" i="5" s="1"/>
  <c r="AI61" i="12"/>
  <c r="S73" i="12"/>
  <c r="AL59" i="12"/>
  <c r="AK59" i="12"/>
  <c r="AJ59" i="12"/>
  <c r="AI59" i="12"/>
  <c r="AH59" i="12"/>
  <c r="AG59" i="12"/>
  <c r="AF59" i="12"/>
  <c r="AE59" i="12"/>
  <c r="AD59" i="12"/>
  <c r="AC59" i="12"/>
  <c r="AB59" i="12"/>
  <c r="AA59" i="12"/>
  <c r="Z59" i="12"/>
  <c r="Y59" i="12"/>
  <c r="X59" i="12"/>
  <c r="W59" i="12"/>
  <c r="V59" i="12"/>
  <c r="U59" i="12"/>
  <c r="U69" i="12" s="1"/>
  <c r="T59" i="12"/>
  <c r="T69" i="12" s="1"/>
  <c r="R59" i="12"/>
  <c r="R69" i="12" s="1"/>
  <c r="L69" i="12"/>
  <c r="R42" i="12"/>
  <c r="S42" i="12"/>
  <c r="T42" i="12"/>
  <c r="AC42" i="12"/>
  <c r="M9" i="12"/>
  <c r="E9" i="12" s="1"/>
  <c r="S9" i="12"/>
  <c r="AG9" i="12"/>
  <c r="F9" i="12" s="1"/>
  <c r="T10" i="12"/>
  <c r="T11" i="12"/>
  <c r="T12" i="12"/>
  <c r="E13" i="12"/>
  <c r="M13" i="12"/>
  <c r="T13" i="12"/>
  <c r="M14" i="12"/>
  <c r="E14" i="12" s="1"/>
  <c r="T14" i="12"/>
  <c r="M15" i="12"/>
  <c r="E15" i="12" s="1"/>
  <c r="K15" i="12" s="1"/>
  <c r="T15" i="12"/>
  <c r="AG15" i="12"/>
  <c r="F15" i="12" s="1"/>
  <c r="M16" i="12"/>
  <c r="E16" i="12" s="1"/>
  <c r="T16" i="12"/>
  <c r="M17" i="12"/>
  <c r="E17" i="12" s="1"/>
  <c r="T17" i="12"/>
  <c r="M18" i="12"/>
  <c r="E18" i="12" s="1"/>
  <c r="T18" i="12"/>
  <c r="M19" i="12"/>
  <c r="E19" i="12" s="1"/>
  <c r="T19" i="12"/>
  <c r="AG19" i="12"/>
  <c r="F19" i="12" s="1"/>
  <c r="M20" i="12"/>
  <c r="E20" i="12" s="1"/>
  <c r="K20" i="12" s="1"/>
  <c r="S20" i="12"/>
  <c r="AG20" i="12"/>
  <c r="F20" i="12" s="1"/>
  <c r="T21" i="12"/>
  <c r="AG21" i="12"/>
  <c r="F21" i="12" s="1"/>
  <c r="T22" i="12"/>
  <c r="F23" i="12"/>
  <c r="M23" i="12"/>
  <c r="E23" i="12" s="1"/>
  <c r="T23" i="12"/>
  <c r="AG23" i="12"/>
  <c r="M24" i="12"/>
  <c r="E24" i="12" s="1"/>
  <c r="T24" i="12"/>
  <c r="E25" i="12"/>
  <c r="K25" i="12" s="1"/>
  <c r="F25" i="12"/>
  <c r="M25" i="12"/>
  <c r="T25" i="12"/>
  <c r="AG25" i="12"/>
  <c r="F26" i="12"/>
  <c r="M26" i="12"/>
  <c r="E26" i="12" s="1"/>
  <c r="K26" i="12" s="1"/>
  <c r="S26" i="12"/>
  <c r="AG26" i="12"/>
  <c r="M27" i="12"/>
  <c r="E27" i="12" s="1"/>
  <c r="T27" i="12"/>
  <c r="E28" i="12"/>
  <c r="K28" i="12" s="1"/>
  <c r="F28" i="12"/>
  <c r="M28" i="12"/>
  <c r="AG28" i="12"/>
  <c r="M29" i="12"/>
  <c r="E29" i="12" s="1"/>
  <c r="T29" i="12"/>
  <c r="F30" i="12"/>
  <c r="M30" i="12"/>
  <c r="E30" i="12" s="1"/>
  <c r="K30" i="12" s="1"/>
  <c r="T30" i="12"/>
  <c r="AG30" i="12"/>
  <c r="M31" i="12"/>
  <c r="E31" i="12" s="1"/>
  <c r="T31" i="12"/>
  <c r="AG31" i="12"/>
  <c r="F31" i="12" s="1"/>
  <c r="T32" i="12"/>
  <c r="F33" i="12"/>
  <c r="M33" i="12"/>
  <c r="E33" i="12" s="1"/>
  <c r="K33" i="12" s="1"/>
  <c r="T33" i="12"/>
  <c r="AG33" i="12"/>
  <c r="M34" i="12"/>
  <c r="E34" i="12" s="1"/>
  <c r="T34" i="12"/>
  <c r="AG34" i="12"/>
  <c r="F34" i="12" s="1"/>
  <c r="M35" i="12"/>
  <c r="E35" i="12" s="1"/>
  <c r="K35" i="12" s="1"/>
  <c r="T35" i="12"/>
  <c r="AG35" i="12"/>
  <c r="F35" i="12" s="1"/>
  <c r="E36" i="12"/>
  <c r="M36" i="12"/>
  <c r="T36" i="12"/>
  <c r="E37" i="12"/>
  <c r="M37" i="12"/>
  <c r="T37" i="12"/>
  <c r="AG37" i="12"/>
  <c r="F37" i="12" s="1"/>
  <c r="M38" i="12"/>
  <c r="E38" i="12" s="1"/>
  <c r="T38" i="12"/>
  <c r="AG38" i="12"/>
  <c r="F38" i="12" s="1"/>
  <c r="M39" i="12"/>
  <c r="E39" i="12" s="1"/>
  <c r="K39" i="12" s="1"/>
  <c r="T39" i="12"/>
  <c r="AG39" i="12"/>
  <c r="F39" i="12" s="1"/>
  <c r="E40" i="12"/>
  <c r="M40" i="12"/>
  <c r="S40" i="12"/>
  <c r="AG40" i="12"/>
  <c r="F40" i="12" s="1"/>
  <c r="E41" i="12"/>
  <c r="K41" i="12" s="1"/>
  <c r="F41" i="12"/>
  <c r="M41" i="12"/>
  <c r="S41" i="12"/>
  <c r="T41" i="12"/>
  <c r="AG41" i="12"/>
  <c r="J42" i="12"/>
  <c r="AG43" i="12"/>
  <c r="AG44" i="12"/>
  <c r="AG45" i="12"/>
  <c r="K40" i="12" l="1"/>
  <c r="K38" i="12"/>
  <c r="K34" i="12"/>
  <c r="K37" i="12"/>
  <c r="K9" i="12"/>
  <c r="T247" i="11" l="1"/>
  <c r="U231" i="9"/>
  <c r="T231" i="9"/>
  <c r="T232" i="9" s="1"/>
  <c r="S232" i="9"/>
  <c r="U228" i="9" s="1"/>
  <c r="N232" i="9"/>
  <c r="G232" i="9"/>
  <c r="F92" i="10"/>
  <c r="F92" i="5"/>
  <c r="F55" i="10"/>
  <c r="M232" i="9"/>
  <c r="L232" i="9"/>
  <c r="U232" i="9" l="1"/>
  <c r="G417" i="9" l="1"/>
  <c r="H417" i="9"/>
  <c r="G418" i="9"/>
  <c r="H418" i="9"/>
  <c r="G419" i="9"/>
  <c r="H419" i="9"/>
  <c r="G420" i="9"/>
  <c r="H420" i="9"/>
  <c r="G421" i="9"/>
  <c r="H421" i="9"/>
  <c r="G422" i="9"/>
  <c r="H422" i="9"/>
  <c r="G423" i="9"/>
  <c r="H423" i="9"/>
  <c r="H416" i="9"/>
  <c r="G416" i="9"/>
  <c r="F232" i="9"/>
  <c r="E232" i="9"/>
  <c r="C209" i="9"/>
  <c r="D209" i="9"/>
  <c r="E209" i="9"/>
  <c r="F209" i="9"/>
  <c r="G209" i="9"/>
  <c r="H209" i="9"/>
  <c r="I209" i="9"/>
  <c r="I210" i="9" s="1"/>
  <c r="J209" i="9"/>
  <c r="K209" i="9"/>
  <c r="L209" i="9"/>
  <c r="B209" i="9"/>
  <c r="N61" i="10" l="1"/>
  <c r="S508" i="5"/>
  <c r="P508" i="5"/>
  <c r="R132" i="5"/>
  <c r="U243" i="5"/>
  <c r="T218" i="5"/>
  <c r="G361" i="5" s="1"/>
  <c r="T209" i="5"/>
  <c r="T210" i="5"/>
  <c r="X292" i="9"/>
  <c r="T455" i="5"/>
  <c r="Q455" i="5"/>
  <c r="L455" i="5"/>
  <c r="I455" i="5"/>
  <c r="S372" i="5"/>
  <c r="S371" i="5"/>
  <c r="S367" i="5"/>
  <c r="S364" i="5"/>
  <c r="S362" i="5"/>
  <c r="S360" i="5"/>
  <c r="S358" i="5"/>
  <c r="P372" i="5"/>
  <c r="P371" i="5"/>
  <c r="P367" i="5"/>
  <c r="P364" i="5"/>
  <c r="P362" i="5"/>
  <c r="P360" i="5"/>
  <c r="P358" i="5"/>
  <c r="K367" i="5"/>
  <c r="H367" i="5"/>
  <c r="T365" i="5"/>
  <c r="Q365" i="5"/>
  <c r="L365" i="5"/>
  <c r="I365" i="5"/>
  <c r="T216" i="5"/>
  <c r="T217" i="5" s="1"/>
  <c r="P291" i="9"/>
  <c r="M292" i="9" s="1"/>
  <c r="M293" i="9"/>
  <c r="T220" i="5" l="1"/>
  <c r="G364" i="5"/>
  <c r="T364" i="5" s="1"/>
  <c r="T219" i="5"/>
  <c r="G362" i="5" s="1"/>
  <c r="Q362" i="5" s="1"/>
  <c r="G363" i="5"/>
  <c r="Q364" i="5" l="1"/>
  <c r="T362" i="5"/>
  <c r="B232" i="11"/>
  <c r="C232" i="11"/>
  <c r="D232" i="11"/>
  <c r="U257" i="5"/>
  <c r="U251" i="5"/>
  <c r="G474" i="5" s="1"/>
  <c r="U248" i="5" l="1"/>
  <c r="G349" i="7" l="1"/>
  <c r="N371" i="7"/>
  <c r="Q371" i="7" s="1"/>
  <c r="N372" i="7"/>
  <c r="Q370" i="7"/>
  <c r="P363" i="7"/>
  <c r="R366" i="7"/>
  <c r="Q368" i="7"/>
  <c r="K167" i="9"/>
  <c r="I172" i="9"/>
  <c r="I180" i="9" s="1"/>
  <c r="M164" i="9"/>
  <c r="K164" i="9"/>
  <c r="M165" i="9"/>
  <c r="N165" i="9" s="1"/>
  <c r="F143" i="5"/>
  <c r="F142" i="5"/>
  <c r="F138" i="5"/>
  <c r="F136" i="5"/>
  <c r="B242" i="11"/>
  <c r="C242" i="11"/>
  <c r="D242" i="11"/>
  <c r="B243" i="11"/>
  <c r="C243" i="11"/>
  <c r="D243" i="11"/>
  <c r="B244" i="11"/>
  <c r="C244" i="11"/>
  <c r="D244" i="11"/>
  <c r="H239" i="7"/>
  <c r="G239" i="7"/>
  <c r="H6" i="5"/>
  <c r="I178" i="9" l="1"/>
  <c r="G149" i="5"/>
  <c r="R371" i="7"/>
  <c r="O165" i="9"/>
  <c r="P165" i="9" s="1"/>
  <c r="Q165" i="9" s="1"/>
  <c r="L167" i="9"/>
  <c r="M167" i="9" s="1"/>
  <c r="N164" i="9"/>
  <c r="G148" i="5"/>
  <c r="N169" i="9" l="1"/>
  <c r="O164" i="9"/>
  <c r="P164" i="9" s="1"/>
  <c r="Q164" i="9" s="1"/>
  <c r="N36" i="10" l="1"/>
  <c r="O39" i="10" s="1"/>
  <c r="P59" i="10" s="1"/>
  <c r="P61" i="10" s="1"/>
  <c r="G490" i="5" l="1"/>
  <c r="G483" i="5"/>
  <c r="AT497" i="5"/>
  <c r="AG497" i="5"/>
  <c r="Z497" i="5"/>
  <c r="Y497" i="5"/>
  <c r="AT490" i="5"/>
  <c r="AG490" i="5"/>
  <c r="Z490" i="5"/>
  <c r="Y490" i="5"/>
  <c r="AT483" i="5"/>
  <c r="AG483" i="5"/>
  <c r="Z483" i="5"/>
  <c r="Y483" i="5"/>
  <c r="G508" i="5"/>
  <c r="B216" i="11"/>
  <c r="B167" i="11"/>
  <c r="F111" i="10"/>
  <c r="B197" i="11"/>
  <c r="B152" i="11"/>
  <c r="B154" i="11"/>
  <c r="B155" i="11"/>
  <c r="B156" i="11"/>
  <c r="G496" i="5" l="1"/>
  <c r="T508" i="5"/>
  <c r="Q508" i="5"/>
  <c r="G489" i="5"/>
  <c r="F170" i="5"/>
  <c r="E242" i="11" s="1"/>
  <c r="Q274" i="11" s="1"/>
  <c r="X483" i="5"/>
  <c r="X490" i="5"/>
  <c r="F171" i="5"/>
  <c r="E243" i="11" s="1"/>
  <c r="S274" i="11" s="1"/>
  <c r="H715" i="5" l="1"/>
  <c r="H716" i="5"/>
  <c r="H717" i="5"/>
  <c r="H718" i="5"/>
  <c r="H719" i="5"/>
  <c r="H720" i="5"/>
  <c r="H721" i="5"/>
  <c r="H722" i="5"/>
  <c r="H723" i="5"/>
  <c r="H724" i="5"/>
  <c r="H725" i="5"/>
  <c r="H726" i="5"/>
  <c r="H727" i="5"/>
  <c r="H728" i="5"/>
  <c r="H729" i="5"/>
  <c r="H730" i="5"/>
  <c r="H731" i="5"/>
  <c r="D730" i="5"/>
  <c r="D731" i="5"/>
  <c r="D729" i="5"/>
  <c r="D726" i="5"/>
  <c r="D727" i="5"/>
  <c r="D728" i="5"/>
  <c r="D721" i="5"/>
  <c r="D722" i="5"/>
  <c r="D723" i="5"/>
  <c r="D724" i="5"/>
  <c r="D725" i="5"/>
  <c r="D720" i="5"/>
  <c r="D718" i="5"/>
  <c r="D719" i="5"/>
  <c r="D717" i="5"/>
  <c r="D716" i="5"/>
  <c r="D715" i="5"/>
  <c r="AX133" i="5"/>
  <c r="AF121" i="5" s="1"/>
  <c r="AX132" i="5"/>
  <c r="J141" i="9"/>
  <c r="J140" i="9"/>
  <c r="L107" i="9"/>
  <c r="M107" i="9"/>
  <c r="N107" i="9"/>
  <c r="O107" i="9"/>
  <c r="M108" i="9"/>
  <c r="N108" i="9"/>
  <c r="O108" i="9"/>
  <c r="P108" i="9"/>
  <c r="Q108" i="9"/>
  <c r="R108" i="9"/>
  <c r="S108" i="9"/>
  <c r="L101" i="9"/>
  <c r="AM175" i="10"/>
  <c r="AM176" i="10"/>
  <c r="AM177" i="10"/>
  <c r="AM178" i="10"/>
  <c r="AM179" i="10"/>
  <c r="AM174" i="10"/>
  <c r="S218" i="10"/>
  <c r="P218" i="10"/>
  <c r="K218" i="10"/>
  <c r="H218" i="10"/>
  <c r="T215" i="10"/>
  <c r="Q215" i="10"/>
  <c r="L215" i="10"/>
  <c r="I215" i="10"/>
  <c r="G111" i="10"/>
  <c r="G216" i="10" s="1"/>
  <c r="N21" i="12" s="1"/>
  <c r="M21" i="12" s="1"/>
  <c r="E21" i="12" s="1"/>
  <c r="K21" i="12" s="1"/>
  <c r="H242" i="11"/>
  <c r="I242" i="11"/>
  <c r="J242" i="11"/>
  <c r="H243" i="11"/>
  <c r="I243" i="11"/>
  <c r="J243" i="11"/>
  <c r="AF118" i="10"/>
  <c r="V162" i="10"/>
  <c r="V164" i="10" s="1"/>
  <c r="V165" i="10" s="1"/>
  <c r="G313" i="10" s="1"/>
  <c r="V105" i="10"/>
  <c r="AF109" i="10"/>
  <c r="H133" i="10"/>
  <c r="S313" i="10"/>
  <c r="P313" i="10"/>
  <c r="AT311" i="10"/>
  <c r="AG311" i="10"/>
  <c r="Z311" i="10"/>
  <c r="Y311" i="10"/>
  <c r="AM180" i="10" l="1"/>
  <c r="F172" i="10"/>
  <c r="K242" i="11" s="1"/>
  <c r="G217" i="10"/>
  <c r="G218" i="10"/>
  <c r="T313" i="10"/>
  <c r="G311" i="10"/>
  <c r="X311" i="10" s="1"/>
  <c r="G312" i="10"/>
  <c r="AE16" i="12" s="1"/>
  <c r="AE42" i="12" s="1"/>
  <c r="Q313" i="10"/>
  <c r="AK61" i="12" l="1"/>
  <c r="AK71" i="12" s="1"/>
  <c r="L71" i="12"/>
  <c r="T218" i="10"/>
  <c r="L218" i="10"/>
  <c r="Q218" i="10"/>
  <c r="I218" i="10"/>
  <c r="G462" i="5"/>
  <c r="X462" i="5" s="1"/>
  <c r="T392" i="5"/>
  <c r="Q392" i="5"/>
  <c r="L392" i="5"/>
  <c r="I392" i="5"/>
  <c r="S207" i="10"/>
  <c r="P207" i="10"/>
  <c r="S337" i="5"/>
  <c r="P337" i="5"/>
  <c r="N61" i="5"/>
  <c r="S277" i="10"/>
  <c r="P277" i="10"/>
  <c r="K277" i="10"/>
  <c r="H277" i="10"/>
  <c r="S230" i="10"/>
  <c r="P230" i="10"/>
  <c r="K230" i="10"/>
  <c r="H230" i="10"/>
  <c r="S212" i="10"/>
  <c r="P212" i="10"/>
  <c r="K212" i="10"/>
  <c r="H212" i="10"/>
  <c r="S428" i="5"/>
  <c r="P428" i="5"/>
  <c r="K428" i="5"/>
  <c r="H428" i="5"/>
  <c r="S330" i="5"/>
  <c r="P330" i="5"/>
  <c r="K330" i="5"/>
  <c r="H330" i="5"/>
  <c r="X175" i="9"/>
  <c r="X176" i="9"/>
  <c r="X177" i="9"/>
  <c r="X178" i="9"/>
  <c r="X179" i="9"/>
  <c r="X180" i="9"/>
  <c r="X181" i="9"/>
  <c r="X182" i="9"/>
  <c r="X174" i="9"/>
  <c r="W179" i="9"/>
  <c r="W180" i="9"/>
  <c r="W181" i="9"/>
  <c r="W182" i="9"/>
  <c r="W176" i="9"/>
  <c r="W177" i="9"/>
  <c r="W178" i="9"/>
  <c r="W174" i="9"/>
  <c r="W175" i="9"/>
  <c r="AS568" i="5"/>
  <c r="AS566" i="5"/>
  <c r="AG568" i="5"/>
  <c r="Z568" i="5"/>
  <c r="S495" i="5"/>
  <c r="S493" i="5"/>
  <c r="S488" i="5"/>
  <c r="S486" i="5"/>
  <c r="S478" i="5"/>
  <c r="S475" i="5"/>
  <c r="S472" i="5"/>
  <c r="S469" i="5"/>
  <c r="P495" i="5"/>
  <c r="P493" i="5"/>
  <c r="P488" i="5"/>
  <c r="P486" i="5"/>
  <c r="P478" i="5"/>
  <c r="P475" i="5"/>
  <c r="P472" i="5"/>
  <c r="P469" i="5"/>
  <c r="T470" i="5"/>
  <c r="T473" i="5"/>
  <c r="T476" i="5"/>
  <c r="T484" i="5"/>
  <c r="T491" i="5"/>
  <c r="T498" i="5"/>
  <c r="T500" i="5"/>
  <c r="Q470" i="5"/>
  <c r="Q473" i="5"/>
  <c r="Q476" i="5"/>
  <c r="Q484" i="5"/>
  <c r="Q491" i="5"/>
  <c r="Q498" i="5"/>
  <c r="Q500" i="5"/>
  <c r="G233" i="10"/>
  <c r="G227" i="10"/>
  <c r="G224" i="10"/>
  <c r="G209" i="10"/>
  <c r="S206" i="10"/>
  <c r="S204" i="10"/>
  <c r="S203" i="10"/>
  <c r="S202" i="10"/>
  <c r="P206" i="10"/>
  <c r="P204" i="10"/>
  <c r="P203" i="10"/>
  <c r="P202" i="10"/>
  <c r="O92" i="10"/>
  <c r="O93" i="10" s="1"/>
  <c r="G204" i="10" s="1"/>
  <c r="S226" i="10"/>
  <c r="P226" i="10"/>
  <c r="S242" i="10"/>
  <c r="S239" i="10"/>
  <c r="S238" i="10"/>
  <c r="P242" i="10"/>
  <c r="P239" i="10"/>
  <c r="P238" i="10"/>
  <c r="G240" i="10"/>
  <c r="L240" i="10" s="1"/>
  <c r="G139" i="10"/>
  <c r="G138" i="10"/>
  <c r="H134" i="10"/>
  <c r="H141" i="10" s="1"/>
  <c r="AL242" i="5"/>
  <c r="S325" i="10"/>
  <c r="S324" i="10"/>
  <c r="P325" i="10"/>
  <c r="P324" i="10"/>
  <c r="AG181" i="10"/>
  <c r="G325" i="10" s="1"/>
  <c r="G324" i="10"/>
  <c r="AG175" i="10"/>
  <c r="G319" i="10" s="1"/>
  <c r="AF11" i="12" s="1"/>
  <c r="AG176" i="10"/>
  <c r="G320" i="10" s="1"/>
  <c r="AF13" i="12" s="1"/>
  <c r="AG177" i="10"/>
  <c r="G321" i="10" s="1"/>
  <c r="AF14" i="12" s="1"/>
  <c r="AG14" i="12" s="1"/>
  <c r="F14" i="12" s="1"/>
  <c r="AG178" i="10"/>
  <c r="G322" i="10" s="1"/>
  <c r="AF24" i="12" s="1"/>
  <c r="AG24" i="12" s="1"/>
  <c r="F24" i="12" s="1"/>
  <c r="AG179" i="10"/>
  <c r="G323" i="10" s="1"/>
  <c r="AG174" i="10"/>
  <c r="G318" i="10" s="1"/>
  <c r="AF10" i="12" s="1"/>
  <c r="AF42" i="12" s="1"/>
  <c r="S298" i="10"/>
  <c r="S297" i="10"/>
  <c r="P298" i="10"/>
  <c r="P297" i="10"/>
  <c r="S293" i="10"/>
  <c r="P293" i="10"/>
  <c r="G288" i="10"/>
  <c r="Q288" i="10" s="1"/>
  <c r="S290" i="10"/>
  <c r="S287" i="10"/>
  <c r="S286" i="10"/>
  <c r="P290" i="10"/>
  <c r="P287" i="10"/>
  <c r="P286" i="10"/>
  <c r="S268" i="10"/>
  <c r="S267" i="10"/>
  <c r="P268" i="10"/>
  <c r="P267" i="10"/>
  <c r="AF111" i="10"/>
  <c r="AN108" i="10" s="1"/>
  <c r="G266" i="10" s="1"/>
  <c r="V12" i="12" s="1"/>
  <c r="AM110" i="10"/>
  <c r="AM109" i="10"/>
  <c r="S137" i="10"/>
  <c r="S136" i="10"/>
  <c r="W132" i="10"/>
  <c r="G289" i="10" s="1"/>
  <c r="T429" i="5"/>
  <c r="T432" i="5"/>
  <c r="T435" i="5"/>
  <c r="T438" i="5"/>
  <c r="T441" i="5"/>
  <c r="T442" i="5"/>
  <c r="Q429" i="5"/>
  <c r="Q432" i="5"/>
  <c r="Q435" i="5"/>
  <c r="Q438" i="5"/>
  <c r="Q441" i="5"/>
  <c r="Q442" i="5"/>
  <c r="L429" i="5"/>
  <c r="L432" i="5"/>
  <c r="L435" i="5"/>
  <c r="L438" i="5"/>
  <c r="L441" i="5"/>
  <c r="L442" i="5"/>
  <c r="I429" i="5"/>
  <c r="I432" i="5"/>
  <c r="I435" i="5"/>
  <c r="I438" i="5"/>
  <c r="I441" i="5"/>
  <c r="I442" i="5"/>
  <c r="S440" i="5"/>
  <c r="S437" i="5"/>
  <c r="S434" i="5"/>
  <c r="S431" i="5"/>
  <c r="P440" i="5"/>
  <c r="P437" i="5"/>
  <c r="P434" i="5"/>
  <c r="P431" i="5"/>
  <c r="G439" i="5"/>
  <c r="G433" i="5"/>
  <c r="G430" i="5"/>
  <c r="G431" i="5" s="1"/>
  <c r="G426" i="5"/>
  <c r="T381" i="5"/>
  <c r="T384" i="5"/>
  <c r="T389" i="5"/>
  <c r="Q381" i="5"/>
  <c r="Q384" i="5"/>
  <c r="Q389" i="5"/>
  <c r="L381" i="5"/>
  <c r="L384" i="5"/>
  <c r="L389" i="5"/>
  <c r="I381" i="5"/>
  <c r="I384" i="5"/>
  <c r="I389" i="5"/>
  <c r="S391" i="5"/>
  <c r="S388" i="5"/>
  <c r="S387" i="5"/>
  <c r="S383" i="5"/>
  <c r="S380" i="5"/>
  <c r="S378" i="5"/>
  <c r="P391" i="5"/>
  <c r="P388" i="5"/>
  <c r="P387" i="5"/>
  <c r="P383" i="5"/>
  <c r="P380" i="5"/>
  <c r="P378" i="5"/>
  <c r="G382" i="5"/>
  <c r="G388" i="5"/>
  <c r="I347" i="5"/>
  <c r="Q347" i="5"/>
  <c r="L347" i="5"/>
  <c r="T347" i="5"/>
  <c r="S353" i="5"/>
  <c r="S352" i="5"/>
  <c r="S351" i="5"/>
  <c r="S345" i="5"/>
  <c r="P353" i="5"/>
  <c r="P352" i="5"/>
  <c r="P351" i="5"/>
  <c r="P345" i="5"/>
  <c r="S167" i="5"/>
  <c r="S166" i="5"/>
  <c r="S165" i="5"/>
  <c r="G341" i="5"/>
  <c r="Y378" i="10"/>
  <c r="Y341" i="10"/>
  <c r="Y334" i="10"/>
  <c r="Y330" i="10"/>
  <c r="Y329" i="10"/>
  <c r="Y316" i="10"/>
  <c r="Y308" i="10"/>
  <c r="Y304" i="10"/>
  <c r="Y300" i="10"/>
  <c r="Y294" i="10"/>
  <c r="Y291" i="10"/>
  <c r="Y281" i="10"/>
  <c r="Y274" i="10"/>
  <c r="Y270" i="10"/>
  <c r="Y264" i="10"/>
  <c r="Y245" i="10"/>
  <c r="Y233" i="10"/>
  <c r="Y227" i="10"/>
  <c r="Y224" i="10"/>
  <c r="Y209" i="10"/>
  <c r="Y200" i="10"/>
  <c r="Y531" i="5"/>
  <c r="Y524" i="5"/>
  <c r="Y520" i="5"/>
  <c r="Y519" i="5"/>
  <c r="Y510" i="5"/>
  <c r="Y466" i="5"/>
  <c r="Y462" i="5"/>
  <c r="Y458" i="5"/>
  <c r="Y445" i="5"/>
  <c r="Y424" i="5"/>
  <c r="Y420" i="5"/>
  <c r="Y396" i="5"/>
  <c r="Y374" i="5"/>
  <c r="Y343" i="5"/>
  <c r="Y338" i="5"/>
  <c r="Y333" i="5"/>
  <c r="Y306" i="5"/>
  <c r="Y300" i="5"/>
  <c r="Y295" i="5"/>
  <c r="G81" i="7"/>
  <c r="G80" i="7"/>
  <c r="F81" i="7"/>
  <c r="F80" i="7"/>
  <c r="AA67" i="5"/>
  <c r="H302" i="5" s="1"/>
  <c r="AD67" i="5"/>
  <c r="K297" i="5" s="1"/>
  <c r="G64" i="7"/>
  <c r="F64" i="7"/>
  <c r="I333" i="4"/>
  <c r="G333" i="4"/>
  <c r="I328" i="4"/>
  <c r="G328" i="4"/>
  <c r="I572" i="4"/>
  <c r="G572" i="4"/>
  <c r="I569" i="4"/>
  <c r="G569" i="4"/>
  <c r="H394" i="7"/>
  <c r="G394" i="7"/>
  <c r="N80" i="5"/>
  <c r="E568" i="5"/>
  <c r="AN164" i="5"/>
  <c r="AN155" i="5" s="1"/>
  <c r="AN166" i="5" s="1"/>
  <c r="G443" i="5" s="1"/>
  <c r="R192" i="5"/>
  <c r="U175" i="5"/>
  <c r="O22" i="5"/>
  <c r="T139" i="5"/>
  <c r="G339" i="5" s="1"/>
  <c r="S125" i="5"/>
  <c r="V154" i="5"/>
  <c r="T155" i="5" s="1"/>
  <c r="U176" i="5" l="1"/>
  <c r="G376" i="5" s="1"/>
  <c r="X191" i="5"/>
  <c r="U190" i="5" s="1"/>
  <c r="V191" i="5" s="1"/>
  <c r="G390" i="5" s="1"/>
  <c r="G344" i="5"/>
  <c r="AL61" i="12"/>
  <c r="AL71" i="12" s="1"/>
  <c r="L72" i="12"/>
  <c r="H142" i="10"/>
  <c r="G242" i="10" s="1"/>
  <c r="J141" i="10"/>
  <c r="G357" i="5"/>
  <c r="G358" i="5" s="1"/>
  <c r="G356" i="5"/>
  <c r="X356" i="5" s="1"/>
  <c r="G434" i="5"/>
  <c r="T434" i="5" s="1"/>
  <c r="G428" i="5"/>
  <c r="T428" i="5" s="1"/>
  <c r="G440" i="5"/>
  <c r="T440" i="5" s="1"/>
  <c r="H139" i="10"/>
  <c r="G239" i="10" s="1"/>
  <c r="T239" i="10" s="1"/>
  <c r="T431" i="5"/>
  <c r="Q431" i="5"/>
  <c r="G427" i="5"/>
  <c r="T242" i="10"/>
  <c r="O94" i="10"/>
  <c r="G203" i="10" s="1"/>
  <c r="Q242" i="10"/>
  <c r="Q204" i="10"/>
  <c r="T204" i="10"/>
  <c r="I240" i="10"/>
  <c r="T240" i="10"/>
  <c r="Q240" i="10"/>
  <c r="G241" i="10"/>
  <c r="Q325" i="10"/>
  <c r="T325" i="10"/>
  <c r="H138" i="10"/>
  <c r="G238" i="10" s="1"/>
  <c r="Q238" i="10" s="1"/>
  <c r="H135" i="10"/>
  <c r="G235" i="10" s="1"/>
  <c r="Q32" i="12" s="1"/>
  <c r="M32" i="12" s="1"/>
  <c r="E32" i="12" s="1"/>
  <c r="T324" i="10"/>
  <c r="U316" i="10" s="1"/>
  <c r="Q324" i="10"/>
  <c r="H137" i="10"/>
  <c r="G237" i="10" s="1"/>
  <c r="H136" i="10"/>
  <c r="G236" i="10" s="1"/>
  <c r="Q11" i="12" s="1"/>
  <c r="AN107" i="10"/>
  <c r="G265" i="10" s="1"/>
  <c r="V11" i="12" s="1"/>
  <c r="T288" i="10"/>
  <c r="L288" i="10"/>
  <c r="I288" i="10"/>
  <c r="AN111" i="10"/>
  <c r="G269" i="10" s="1"/>
  <c r="V27" i="12" s="1"/>
  <c r="AN110" i="10"/>
  <c r="G268" i="10" s="1"/>
  <c r="Q268" i="10" s="1"/>
  <c r="AN109" i="10"/>
  <c r="G267" i="10" s="1"/>
  <c r="T267" i="10" s="1"/>
  <c r="V133" i="10"/>
  <c r="V134" i="10"/>
  <c r="G284" i="10" s="1"/>
  <c r="Y11" i="12" s="1"/>
  <c r="V137" i="10"/>
  <c r="G287" i="10" s="1"/>
  <c r="V136" i="10"/>
  <c r="G286" i="10" s="1"/>
  <c r="T286" i="10" s="1"/>
  <c r="V135" i="10"/>
  <c r="G285" i="10" s="1"/>
  <c r="Y12" i="12" s="1"/>
  <c r="G436" i="5"/>
  <c r="Q388" i="5"/>
  <c r="T388" i="5"/>
  <c r="G424" i="5"/>
  <c r="U178" i="5"/>
  <c r="G377" i="5" s="1"/>
  <c r="U177" i="5"/>
  <c r="G379" i="5" s="1"/>
  <c r="K302" i="5"/>
  <c r="U179" i="5"/>
  <c r="S145" i="5"/>
  <c r="H297" i="5"/>
  <c r="G333" i="5"/>
  <c r="T140" i="5"/>
  <c r="T143" i="5" s="1"/>
  <c r="G342" i="5" s="1"/>
  <c r="T141" i="5"/>
  <c r="G340" i="5" s="1"/>
  <c r="G345" i="5" l="1"/>
  <c r="V192" i="5"/>
  <c r="G391" i="5" s="1"/>
  <c r="V42" i="12"/>
  <c r="X170" i="5"/>
  <c r="R316" i="10"/>
  <c r="AB61" i="12"/>
  <c r="AB71" i="12" s="1"/>
  <c r="L62" i="12"/>
  <c r="Q12" i="12"/>
  <c r="M12" i="12" s="1"/>
  <c r="E12" i="12" s="1"/>
  <c r="Q345" i="5"/>
  <c r="Q428" i="5"/>
  <c r="L428" i="5"/>
  <c r="T358" i="5"/>
  <c r="Q358" i="5"/>
  <c r="T345" i="5"/>
  <c r="I428" i="5"/>
  <c r="Q440" i="5"/>
  <c r="Q434" i="5"/>
  <c r="Q239" i="10"/>
  <c r="G378" i="5"/>
  <c r="T378" i="5" s="1"/>
  <c r="U180" i="5"/>
  <c r="G380" i="5" s="1"/>
  <c r="G437" i="5"/>
  <c r="T238" i="10"/>
  <c r="T268" i="10"/>
  <c r="T287" i="10"/>
  <c r="Q267" i="10"/>
  <c r="Q286" i="10"/>
  <c r="Q287" i="10"/>
  <c r="G338" i="5"/>
  <c r="T391" i="5" l="1"/>
  <c r="Q391" i="5"/>
  <c r="V195" i="5"/>
  <c r="G393" i="5" s="1"/>
  <c r="G374" i="5"/>
  <c r="Q42" i="12"/>
  <c r="L59" i="12" s="1"/>
  <c r="Z60" i="12" s="1"/>
  <c r="Z70" i="12" s="1"/>
  <c r="Q378" i="5"/>
  <c r="T437" i="5"/>
  <c r="Q437" i="5"/>
  <c r="T380" i="5"/>
  <c r="Q380" i="5"/>
  <c r="P555" i="7" l="1"/>
  <c r="P556" i="7"/>
  <c r="R556" i="7" s="1"/>
  <c r="P557" i="7"/>
  <c r="P554" i="7"/>
  <c r="O555" i="7"/>
  <c r="O556" i="7"/>
  <c r="Q556" i="7" s="1"/>
  <c r="O557" i="7"/>
  <c r="O554" i="7"/>
  <c r="L555" i="7"/>
  <c r="M555" i="7"/>
  <c r="L556" i="7"/>
  <c r="M556" i="7"/>
  <c r="L557" i="7"/>
  <c r="M557" i="7"/>
  <c r="M554" i="7"/>
  <c r="L554" i="7"/>
  <c r="H709" i="7"/>
  <c r="G709" i="7"/>
  <c r="Q554" i="7" l="1"/>
  <c r="Q557" i="7"/>
  <c r="R557" i="7"/>
  <c r="R555" i="7"/>
  <c r="Q555" i="7"/>
  <c r="R554" i="7"/>
  <c r="O8" i="5" l="1"/>
  <c r="R267" i="5"/>
  <c r="U267" i="5" s="1"/>
  <c r="U265" i="5"/>
  <c r="G468" i="5" l="1"/>
  <c r="U259" i="5"/>
  <c r="G466" i="5" s="1"/>
  <c r="G477" i="5"/>
  <c r="G471" i="5"/>
  <c r="F169" i="5" l="1"/>
  <c r="G480" i="5"/>
  <c r="G472" i="5"/>
  <c r="Q472" i="5" s="1"/>
  <c r="G478" i="5"/>
  <c r="Q478" i="5" s="1"/>
  <c r="T472" i="5" l="1"/>
  <c r="T478" i="5"/>
  <c r="N88" i="10"/>
  <c r="N74" i="10" s="1"/>
  <c r="Q85" i="10"/>
  <c r="Q18" i="10"/>
  <c r="Q20" i="10" s="1"/>
  <c r="O15" i="10" l="1"/>
  <c r="O16" i="10" s="1"/>
  <c r="H31" i="12" s="1"/>
  <c r="M49" i="12" l="1"/>
  <c r="K31" i="12"/>
  <c r="O17" i="10"/>
  <c r="H19" i="12" s="1"/>
  <c r="M304" i="9"/>
  <c r="M295" i="9"/>
  <c r="M303" i="9"/>
  <c r="M294" i="9"/>
  <c r="M302" i="9"/>
  <c r="Q646" i="7"/>
  <c r="Q647" i="7" s="1"/>
  <c r="Q645" i="7"/>
  <c r="K301" i="9"/>
  <c r="K308" i="9" s="1"/>
  <c r="K306" i="9"/>
  <c r="M306" i="9" s="1"/>
  <c r="K305" i="9"/>
  <c r="K298" i="9"/>
  <c r="M298" i="9" s="1"/>
  <c r="K297" i="9"/>
  <c r="M297" i="9" s="1"/>
  <c r="K296" i="9"/>
  <c r="T156" i="5"/>
  <c r="X153" i="5" s="1"/>
  <c r="L114" i="5" s="1"/>
  <c r="R158" i="5"/>
  <c r="S117" i="5"/>
  <c r="M241" i="9"/>
  <c r="M242" i="9"/>
  <c r="M243" i="9"/>
  <c r="M244" i="9"/>
  <c r="M245" i="9"/>
  <c r="M246" i="9"/>
  <c r="M247" i="9"/>
  <c r="M240" i="9"/>
  <c r="C240" i="9"/>
  <c r="O49" i="12" l="1"/>
  <c r="M48" i="12"/>
  <c r="L49" i="12" s="1"/>
  <c r="R63" i="12" s="1"/>
  <c r="R73" i="12" s="1"/>
  <c r="K19" i="12"/>
  <c r="H42" i="12"/>
  <c r="T162" i="5"/>
  <c r="G348" i="5" s="1"/>
  <c r="P306" i="9"/>
  <c r="M301" i="9"/>
  <c r="S296" i="9" s="1"/>
  <c r="M309" i="9"/>
  <c r="M305" i="9"/>
  <c r="H308" i="9"/>
  <c r="P307" i="9"/>
  <c r="M296" i="9"/>
  <c r="M308" i="9"/>
  <c r="T163" i="5"/>
  <c r="G349" i="5" s="1"/>
  <c r="T164" i="5"/>
  <c r="G350" i="5" s="1"/>
  <c r="T165" i="5"/>
  <c r="G351" i="5" s="1"/>
  <c r="T166" i="5"/>
  <c r="G352" i="5" s="1"/>
  <c r="T167" i="5"/>
  <c r="G353" i="5" s="1"/>
  <c r="G359" i="5"/>
  <c r="T158" i="5"/>
  <c r="G354" i="5" s="1"/>
  <c r="X216" i="5" l="1"/>
  <c r="X217" i="5" s="1"/>
  <c r="M114" i="5"/>
  <c r="K127" i="5" s="1"/>
  <c r="G343" i="5"/>
  <c r="O308" i="9"/>
  <c r="G360" i="5"/>
  <c r="T212" i="5"/>
  <c r="G369" i="5" s="1"/>
  <c r="T213" i="5"/>
  <c r="G370" i="5" s="1"/>
  <c r="T211" i="5"/>
  <c r="T352" i="5"/>
  <c r="Q352" i="5"/>
  <c r="Q351" i="5"/>
  <c r="T351" i="5"/>
  <c r="T353" i="5"/>
  <c r="Q353" i="5"/>
  <c r="R91" i="5"/>
  <c r="P84" i="5"/>
  <c r="N87" i="5" s="1"/>
  <c r="T242" i="5"/>
  <c r="U242" i="5" s="1"/>
  <c r="U240" i="5"/>
  <c r="G492" i="5" s="1"/>
  <c r="U241" i="5"/>
  <c r="T235" i="5"/>
  <c r="U235" i="5" s="1"/>
  <c r="U233" i="5"/>
  <c r="G485" i="5" s="1"/>
  <c r="U234" i="5"/>
  <c r="U236" i="5"/>
  <c r="C242" i="9"/>
  <c r="J242" i="9" s="1"/>
  <c r="F242" i="9"/>
  <c r="F243" i="9"/>
  <c r="F244" i="9"/>
  <c r="C244" i="9"/>
  <c r="J244" i="9" s="1"/>
  <c r="C243" i="9"/>
  <c r="J243" i="9" s="1"/>
  <c r="C247" i="9"/>
  <c r="J247" i="9" s="1"/>
  <c r="C246" i="9"/>
  <c r="J246" i="9" s="1"/>
  <c r="F241" i="9"/>
  <c r="C245" i="9"/>
  <c r="J245" i="9" s="1"/>
  <c r="J240" i="9"/>
  <c r="C241" i="9"/>
  <c r="J241" i="9" s="1"/>
  <c r="F240" i="9"/>
  <c r="U225" i="5"/>
  <c r="B153" i="11"/>
  <c r="F725" i="5"/>
  <c r="F726" i="5"/>
  <c r="AS115" i="5"/>
  <c r="AO126" i="5"/>
  <c r="G366" i="5" l="1"/>
  <c r="G368" i="5" s="1"/>
  <c r="G372" i="5"/>
  <c r="G371" i="5"/>
  <c r="Q360" i="5"/>
  <c r="T360" i="5"/>
  <c r="T221" i="5"/>
  <c r="G373" i="5" s="1"/>
  <c r="F160" i="5"/>
  <c r="E232" i="11" s="1"/>
  <c r="F275" i="11" s="1"/>
  <c r="G494" i="5"/>
  <c r="U244" i="5"/>
  <c r="G495" i="5" s="1"/>
  <c r="G487" i="5"/>
  <c r="U237" i="5"/>
  <c r="G488" i="5" s="1"/>
  <c r="AA86" i="5"/>
  <c r="AD86" i="5"/>
  <c r="AA87" i="5"/>
  <c r="AD87" i="5"/>
  <c r="L752" i="7"/>
  <c r="J750" i="7" s="1"/>
  <c r="H744" i="7"/>
  <c r="G752" i="7"/>
  <c r="G744" i="7"/>
  <c r="W41" i="4"/>
  <c r="S41" i="4"/>
  <c r="E41" i="4"/>
  <c r="F41" i="4"/>
  <c r="D41" i="4"/>
  <c r="H41" i="4" s="1"/>
  <c r="S336" i="5"/>
  <c r="P336" i="5"/>
  <c r="U187" i="5"/>
  <c r="AI196" i="5"/>
  <c r="AI195" i="5"/>
  <c r="S120" i="5"/>
  <c r="R129" i="5" s="1"/>
  <c r="H278" i="7"/>
  <c r="G31" i="7" s="1"/>
  <c r="AD31" i="5" s="1"/>
  <c r="G278" i="7"/>
  <c r="F31" i="7" s="1"/>
  <c r="AA31" i="5" s="1"/>
  <c r="E46" i="4"/>
  <c r="E51" i="4" s="1"/>
  <c r="F46" i="4"/>
  <c r="F51" i="4" s="1"/>
  <c r="W51" i="4"/>
  <c r="S51" i="4"/>
  <c r="I351" i="4"/>
  <c r="G351" i="4"/>
  <c r="I364" i="4"/>
  <c r="G364" i="4"/>
  <c r="W49" i="4"/>
  <c r="S49" i="4"/>
  <c r="I495" i="4"/>
  <c r="I434" i="4"/>
  <c r="I441" i="4"/>
  <c r="G505" i="7"/>
  <c r="I175" i="9"/>
  <c r="L175" i="9" s="1"/>
  <c r="J175" i="9"/>
  <c r="M175" i="9" s="1"/>
  <c r="I176" i="9"/>
  <c r="L176" i="9" s="1"/>
  <c r="J176" i="9"/>
  <c r="M176" i="9" s="1"/>
  <c r="I177" i="9"/>
  <c r="L177" i="9" s="1"/>
  <c r="J177" i="9"/>
  <c r="M177" i="9" s="1"/>
  <c r="L178" i="9"/>
  <c r="J178" i="9"/>
  <c r="M178" i="9" s="1"/>
  <c r="I179" i="9"/>
  <c r="L179" i="9" s="1"/>
  <c r="J179" i="9"/>
  <c r="M179" i="9" s="1"/>
  <c r="L180" i="9"/>
  <c r="J180" i="9"/>
  <c r="M180" i="9" s="1"/>
  <c r="I181" i="9"/>
  <c r="L181" i="9" s="1"/>
  <c r="J181" i="9"/>
  <c r="M181" i="9" s="1"/>
  <c r="I182" i="9"/>
  <c r="L182" i="9" s="1"/>
  <c r="J182" i="9"/>
  <c r="M182" i="9" s="1"/>
  <c r="J174" i="9"/>
  <c r="M174" i="9" s="1"/>
  <c r="I174" i="9"/>
  <c r="L174" i="9" s="1"/>
  <c r="G367" i="5" l="1"/>
  <c r="I367" i="5" s="1"/>
  <c r="H324" i="5"/>
  <c r="H372" i="5"/>
  <c r="K324" i="5"/>
  <c r="K372" i="5"/>
  <c r="I372" i="5"/>
  <c r="W189" i="9"/>
  <c r="X189" i="9"/>
  <c r="U187" i="9"/>
  <c r="V187" i="9"/>
  <c r="W187" i="9"/>
  <c r="X187" i="9"/>
  <c r="V186" i="9"/>
  <c r="X186" i="9"/>
  <c r="U186" i="9"/>
  <c r="W186" i="9"/>
  <c r="U185" i="9"/>
  <c r="V185" i="9"/>
  <c r="X185" i="9"/>
  <c r="W185" i="9"/>
  <c r="V184" i="9"/>
  <c r="X184" i="9"/>
  <c r="U184" i="9"/>
  <c r="W184" i="9"/>
  <c r="U183" i="9"/>
  <c r="V183" i="9"/>
  <c r="X183" i="9"/>
  <c r="W183" i="9"/>
  <c r="T488" i="5"/>
  <c r="Q488" i="5"/>
  <c r="T495" i="5"/>
  <c r="Q495" i="5"/>
  <c r="AG178" i="9"/>
  <c r="AI181" i="9"/>
  <c r="M41" i="4"/>
  <c r="F49" i="4"/>
  <c r="H749" i="7"/>
  <c r="H748" i="7" s="1"/>
  <c r="G82" i="7" s="1"/>
  <c r="G749" i="7"/>
  <c r="G748" i="7" s="1"/>
  <c r="AI176" i="9"/>
  <c r="AI175" i="9"/>
  <c r="AH177" i="9"/>
  <c r="AF178" i="9"/>
  <c r="AI177" i="9"/>
  <c r="AH176" i="9"/>
  <c r="AH181" i="9"/>
  <c r="AG177" i="9"/>
  <c r="AF177" i="9"/>
  <c r="AG176" i="9"/>
  <c r="AF176" i="9"/>
  <c r="AH175" i="9"/>
  <c r="AF174" i="9"/>
  <c r="AG175" i="9"/>
  <c r="AI178" i="9"/>
  <c r="AI174" i="9"/>
  <c r="AH174" i="9"/>
  <c r="AG174" i="9"/>
  <c r="AF175" i="9"/>
  <c r="AH178" i="9"/>
  <c r="V187" i="5"/>
  <c r="G387" i="5" s="1"/>
  <c r="V185" i="5"/>
  <c r="G385" i="5" s="1"/>
  <c r="V186" i="5"/>
  <c r="G386" i="5" s="1"/>
  <c r="F48" i="4"/>
  <c r="E49" i="4"/>
  <c r="E48" i="4"/>
  <c r="X190" i="9" l="1"/>
  <c r="W190" i="9"/>
  <c r="T387" i="5"/>
  <c r="Q387" i="5"/>
  <c r="O739" i="7"/>
  <c r="Q740" i="7" s="1"/>
  <c r="H739" i="7" s="1"/>
  <c r="H738" i="7" s="1"/>
  <c r="F82" i="7"/>
  <c r="P726" i="7"/>
  <c r="P727" i="7" s="1"/>
  <c r="AI185" i="9"/>
  <c r="AH185" i="9"/>
  <c r="V183" i="5"/>
  <c r="G383" i="5" s="1"/>
  <c r="Q383" i="5" l="1"/>
  <c r="T383" i="5"/>
  <c r="I317" i="4"/>
  <c r="Y41" i="4" s="1"/>
  <c r="O41" i="4" s="1"/>
  <c r="G317" i="4"/>
  <c r="U41" i="4" s="1"/>
  <c r="J41" i="4" s="1"/>
  <c r="I314" i="4"/>
  <c r="X41" i="4" s="1"/>
  <c r="N41" i="4" s="1"/>
  <c r="P41" i="4" s="1"/>
  <c r="AL56" i="5" s="1"/>
  <c r="S503" i="5" s="1"/>
  <c r="G314" i="4"/>
  <c r="T41" i="4" s="1"/>
  <c r="I41" i="4" s="1"/>
  <c r="K41" i="4" s="1"/>
  <c r="AI56" i="5" s="1"/>
  <c r="P503" i="5" s="1"/>
  <c r="H313" i="7"/>
  <c r="G53" i="7" s="1"/>
  <c r="AD56" i="5" s="1"/>
  <c r="K503" i="5" s="1"/>
  <c r="G313" i="7"/>
  <c r="F53" i="7" s="1"/>
  <c r="AA56" i="5" s="1"/>
  <c r="H503" i="5" s="1"/>
  <c r="G499" i="5"/>
  <c r="H612" i="7"/>
  <c r="G91" i="7" s="1"/>
  <c r="AD95" i="5" s="1"/>
  <c r="K508" i="5" s="1"/>
  <c r="L508" i="5" s="1"/>
  <c r="G612" i="7"/>
  <c r="F91" i="7" s="1"/>
  <c r="AA95" i="5" s="1"/>
  <c r="H508" i="5" s="1"/>
  <c r="I508" i="5" s="1"/>
  <c r="H272" i="7"/>
  <c r="G29" i="7" s="1"/>
  <c r="G272" i="7"/>
  <c r="F29" i="7" s="1"/>
  <c r="U279" i="5"/>
  <c r="U281" i="5"/>
  <c r="U277" i="5"/>
  <c r="G475" i="5"/>
  <c r="G469" i="5"/>
  <c r="W40" i="4"/>
  <c r="S40" i="4"/>
  <c r="E40" i="4"/>
  <c r="F40" i="4"/>
  <c r="D40" i="4"/>
  <c r="F14" i="5"/>
  <c r="N75" i="5" s="1"/>
  <c r="AI189" i="5"/>
  <c r="AK157" i="5" s="1"/>
  <c r="AP183" i="5"/>
  <c r="AP182" i="5"/>
  <c r="AF179" i="5"/>
  <c r="AF180" i="5" s="1"/>
  <c r="J54" i="11"/>
  <c r="B214" i="11"/>
  <c r="B207" i="11"/>
  <c r="B208" i="11"/>
  <c r="B213" i="11"/>
  <c r="B183" i="11"/>
  <c r="B184" i="11"/>
  <c r="B185" i="11"/>
  <c r="B186" i="11"/>
  <c r="B187" i="11"/>
  <c r="B188" i="11"/>
  <c r="B189" i="11"/>
  <c r="B190" i="11"/>
  <c r="B191" i="11"/>
  <c r="B192" i="11"/>
  <c r="B193" i="11"/>
  <c r="B194" i="11"/>
  <c r="B195" i="11"/>
  <c r="B196" i="11"/>
  <c r="B198" i="11"/>
  <c r="B199" i="11"/>
  <c r="B200" i="11"/>
  <c r="B182" i="11"/>
  <c r="H227" i="11"/>
  <c r="I227" i="11"/>
  <c r="J227" i="11"/>
  <c r="H228" i="11"/>
  <c r="I228" i="11"/>
  <c r="J228" i="11"/>
  <c r="H229" i="11"/>
  <c r="I229" i="11"/>
  <c r="J229" i="11"/>
  <c r="H230" i="11"/>
  <c r="I230" i="11"/>
  <c r="J230" i="11"/>
  <c r="H231" i="11"/>
  <c r="I231" i="11"/>
  <c r="J231" i="11"/>
  <c r="H232" i="11"/>
  <c r="I232" i="11"/>
  <c r="J232" i="11"/>
  <c r="H233" i="11"/>
  <c r="I233" i="11"/>
  <c r="J233" i="11"/>
  <c r="H234" i="11"/>
  <c r="I234" i="11"/>
  <c r="J234" i="11"/>
  <c r="H235" i="11"/>
  <c r="I235" i="11"/>
  <c r="J235" i="11"/>
  <c r="H236" i="11"/>
  <c r="I236" i="11"/>
  <c r="J236" i="11"/>
  <c r="H237" i="11"/>
  <c r="I237" i="11"/>
  <c r="J237" i="11"/>
  <c r="H238" i="11"/>
  <c r="I238" i="11"/>
  <c r="J238" i="11"/>
  <c r="H239" i="11"/>
  <c r="I239" i="11"/>
  <c r="J239" i="11"/>
  <c r="H240" i="11"/>
  <c r="I240" i="11"/>
  <c r="J240" i="11"/>
  <c r="H241" i="11"/>
  <c r="I241" i="11"/>
  <c r="J241" i="11"/>
  <c r="H244" i="11"/>
  <c r="I244" i="11"/>
  <c r="J244" i="11"/>
  <c r="H245" i="11"/>
  <c r="I245" i="11"/>
  <c r="J245" i="11"/>
  <c r="H246" i="11"/>
  <c r="I246" i="11"/>
  <c r="J246" i="11"/>
  <c r="H247" i="11"/>
  <c r="I247" i="11"/>
  <c r="J247" i="11"/>
  <c r="K247" i="11"/>
  <c r="H248" i="11"/>
  <c r="I248" i="11"/>
  <c r="K248" i="11"/>
  <c r="H249" i="11"/>
  <c r="I249" i="11"/>
  <c r="J249" i="11"/>
  <c r="H250" i="11"/>
  <c r="I250" i="11"/>
  <c r="K250" i="11"/>
  <c r="I226" i="11"/>
  <c r="K226" i="11"/>
  <c r="H226" i="11"/>
  <c r="B250" i="11"/>
  <c r="C250" i="11"/>
  <c r="D250" i="11"/>
  <c r="B251" i="11"/>
  <c r="C251" i="11"/>
  <c r="D251" i="11"/>
  <c r="B252" i="11"/>
  <c r="C252" i="11"/>
  <c r="D252" i="11"/>
  <c r="C253" i="11"/>
  <c r="E253" i="11"/>
  <c r="B249" i="11"/>
  <c r="C249" i="11"/>
  <c r="D249" i="11"/>
  <c r="B227" i="11"/>
  <c r="C227" i="11"/>
  <c r="D227" i="11"/>
  <c r="B228" i="11"/>
  <c r="C228" i="11"/>
  <c r="D228" i="11"/>
  <c r="B229" i="11"/>
  <c r="C229" i="11"/>
  <c r="D229" i="11"/>
  <c r="B230" i="11"/>
  <c r="C230" i="11"/>
  <c r="D230" i="11"/>
  <c r="B231" i="11"/>
  <c r="C231" i="11"/>
  <c r="D231" i="11"/>
  <c r="B233" i="11"/>
  <c r="C233" i="11"/>
  <c r="D233" i="11"/>
  <c r="B234" i="11"/>
  <c r="C234" i="11"/>
  <c r="D234" i="11"/>
  <c r="B235" i="11"/>
  <c r="C235" i="11"/>
  <c r="D235" i="11"/>
  <c r="B236" i="11"/>
  <c r="C236" i="11"/>
  <c r="D236" i="11"/>
  <c r="B237" i="11"/>
  <c r="C237" i="11"/>
  <c r="D237" i="11"/>
  <c r="B238" i="11"/>
  <c r="C238" i="11"/>
  <c r="D238" i="11"/>
  <c r="B239" i="11"/>
  <c r="C239" i="11"/>
  <c r="D239" i="11"/>
  <c r="B240" i="11"/>
  <c r="C240" i="11"/>
  <c r="D240" i="11"/>
  <c r="B241" i="11"/>
  <c r="C241" i="11"/>
  <c r="D241" i="11"/>
  <c r="B245" i="11"/>
  <c r="C245" i="11"/>
  <c r="D245" i="11"/>
  <c r="B246" i="11"/>
  <c r="C246" i="11"/>
  <c r="D246" i="11"/>
  <c r="B247" i="11"/>
  <c r="C247" i="11"/>
  <c r="D247" i="11"/>
  <c r="B248" i="11"/>
  <c r="C248" i="11"/>
  <c r="E248" i="11"/>
  <c r="C226" i="11"/>
  <c r="E226" i="11"/>
  <c r="B226" i="11"/>
  <c r="F170" i="10"/>
  <c r="K240" i="11" s="1"/>
  <c r="F168" i="5"/>
  <c r="E240" i="11" s="1"/>
  <c r="AG566" i="5"/>
  <c r="Z566" i="5"/>
  <c r="B142" i="11"/>
  <c r="B143" i="11"/>
  <c r="B144" i="11"/>
  <c r="B146" i="11"/>
  <c r="B147" i="11"/>
  <c r="B149" i="11"/>
  <c r="B150" i="11"/>
  <c r="B151" i="11"/>
  <c r="B157" i="11"/>
  <c r="B158" i="11"/>
  <c r="B163" i="11"/>
  <c r="B164" i="11"/>
  <c r="B165" i="11"/>
  <c r="B166" i="11"/>
  <c r="B141" i="11"/>
  <c r="B23" i="11"/>
  <c r="B11" i="11"/>
  <c r="B29" i="11" s="1"/>
  <c r="W51" i="11" s="1"/>
  <c r="B12" i="11"/>
  <c r="B35" i="11" s="1"/>
  <c r="B13" i="11"/>
  <c r="B36" i="11" s="1"/>
  <c r="B14" i="11"/>
  <c r="B10" i="11"/>
  <c r="B33" i="11" s="1"/>
  <c r="H597" i="7"/>
  <c r="G597" i="7"/>
  <c r="T512" i="5"/>
  <c r="Q512" i="5"/>
  <c r="I512" i="5"/>
  <c r="T511" i="5"/>
  <c r="Q511" i="5"/>
  <c r="L511" i="5"/>
  <c r="M510" i="5" s="1"/>
  <c r="I511" i="5"/>
  <c r="AT510" i="5"/>
  <c r="AG510" i="5"/>
  <c r="Z510" i="5"/>
  <c r="X510" i="5"/>
  <c r="AT466" i="5"/>
  <c r="AG466" i="5"/>
  <c r="Z466" i="5"/>
  <c r="T464" i="5"/>
  <c r="Q464" i="5"/>
  <c r="I464" i="5"/>
  <c r="AT462" i="5"/>
  <c r="AG462" i="5"/>
  <c r="Z462" i="5"/>
  <c r="N195" i="7"/>
  <c r="H465" i="7"/>
  <c r="G465" i="7"/>
  <c r="H434" i="7"/>
  <c r="G434" i="7"/>
  <c r="H418" i="7"/>
  <c r="G418" i="7"/>
  <c r="H188" i="7"/>
  <c r="G188" i="7"/>
  <c r="H181" i="7"/>
  <c r="G181" i="7"/>
  <c r="H444" i="7"/>
  <c r="G444" i="7"/>
  <c r="W50" i="4"/>
  <c r="S50" i="4"/>
  <c r="I411" i="4"/>
  <c r="Y51" i="4" s="1"/>
  <c r="G411" i="4"/>
  <c r="U51" i="4" s="1"/>
  <c r="I408" i="4"/>
  <c r="X51" i="4" s="1"/>
  <c r="G408" i="4"/>
  <c r="T51" i="4" s="1"/>
  <c r="I401" i="4"/>
  <c r="Y49" i="4" s="1"/>
  <c r="G401" i="4"/>
  <c r="U49" i="4" s="1"/>
  <c r="I398" i="4"/>
  <c r="X49" i="4" s="1"/>
  <c r="G398" i="4"/>
  <c r="T49" i="4" s="1"/>
  <c r="I391" i="4"/>
  <c r="Y50" i="4" s="1"/>
  <c r="G391" i="4"/>
  <c r="U50" i="4" s="1"/>
  <c r="I388" i="4"/>
  <c r="X50" i="4" s="1"/>
  <c r="G388" i="4"/>
  <c r="T50" i="4" s="1"/>
  <c r="E20" i="4"/>
  <c r="F20" i="4"/>
  <c r="D20" i="4"/>
  <c r="X20" i="4"/>
  <c r="W20" i="4"/>
  <c r="S20" i="4"/>
  <c r="I238" i="4"/>
  <c r="Y20" i="4" s="1"/>
  <c r="G238" i="4"/>
  <c r="U20" i="4" s="1"/>
  <c r="I235" i="4"/>
  <c r="G235" i="4"/>
  <c r="T20" i="4" s="1"/>
  <c r="H174" i="7"/>
  <c r="G16" i="7" s="1"/>
  <c r="G174" i="7"/>
  <c r="F16" i="7" s="1"/>
  <c r="E103" i="9"/>
  <c r="AM248" i="5"/>
  <c r="AF259" i="5" s="1"/>
  <c r="N98" i="9"/>
  <c r="N99" i="9"/>
  <c r="H379" i="7"/>
  <c r="H374" i="7" s="1"/>
  <c r="G379" i="7"/>
  <c r="G374" i="7" s="1"/>
  <c r="F167" i="5"/>
  <c r="E239" i="11" s="1"/>
  <c r="T460" i="5"/>
  <c r="Q460" i="5"/>
  <c r="I460" i="5"/>
  <c r="AT458" i="5"/>
  <c r="AG458" i="5"/>
  <c r="Z458" i="5"/>
  <c r="I307" i="4"/>
  <c r="Y40" i="4" s="1"/>
  <c r="G307" i="4"/>
  <c r="U40" i="4" s="1"/>
  <c r="I304" i="4"/>
  <c r="X40" i="4" s="1"/>
  <c r="G304" i="4"/>
  <c r="T40" i="4" s="1"/>
  <c r="H306" i="7"/>
  <c r="Q346" i="7" s="1"/>
  <c r="G306" i="7"/>
  <c r="P346" i="7" s="1"/>
  <c r="AF52" i="11" l="1"/>
  <c r="AJ52" i="11" s="1"/>
  <c r="AF56" i="11"/>
  <c r="W280" i="5"/>
  <c r="G503" i="5" s="1"/>
  <c r="AF250" i="5"/>
  <c r="G448" i="5" s="1"/>
  <c r="AF244" i="5"/>
  <c r="Q469" i="5"/>
  <c r="T469" i="5"/>
  <c r="Q475" i="5"/>
  <c r="T475" i="5"/>
  <c r="AF251" i="5"/>
  <c r="G449" i="5" s="1"/>
  <c r="O99" i="9"/>
  <c r="U223" i="5"/>
  <c r="G63" i="7"/>
  <c r="G52" i="7"/>
  <c r="AD55" i="5" s="1"/>
  <c r="F63" i="7"/>
  <c r="F52" i="7"/>
  <c r="AA55" i="5" s="1"/>
  <c r="W281" i="5"/>
  <c r="G504" i="5" s="1"/>
  <c r="W278" i="5"/>
  <c r="G501" i="5" s="1"/>
  <c r="W279" i="5"/>
  <c r="G502" i="5" s="1"/>
  <c r="G486" i="5"/>
  <c r="G493" i="5"/>
  <c r="R510" i="5"/>
  <c r="AH182" i="5"/>
  <c r="AH183" i="5" s="1"/>
  <c r="J510" i="5"/>
  <c r="U510" i="5"/>
  <c r="B31" i="11"/>
  <c r="W53" i="11" s="1"/>
  <c r="B34" i="11"/>
  <c r="B28" i="11"/>
  <c r="W50" i="11" s="1"/>
  <c r="B30" i="11"/>
  <c r="W52" i="11" s="1"/>
  <c r="AF249" i="5"/>
  <c r="G447" i="5" s="1"/>
  <c r="AF255" i="5"/>
  <c r="G453" i="5" s="1"/>
  <c r="AF256" i="5"/>
  <c r="G454" i="5" s="1"/>
  <c r="AF254" i="5"/>
  <c r="G452" i="5" s="1"/>
  <c r="AF253" i="5"/>
  <c r="G451" i="5" s="1"/>
  <c r="AF252" i="5"/>
  <c r="G450" i="5" s="1"/>
  <c r="X458" i="5"/>
  <c r="AJ256" i="5" l="1"/>
  <c r="AJ255" i="5"/>
  <c r="T452" i="5"/>
  <c r="Q454" i="5"/>
  <c r="T454" i="5"/>
  <c r="Q453" i="5"/>
  <c r="T453" i="5"/>
  <c r="AF53" i="11"/>
  <c r="AJ54" i="11" s="1"/>
  <c r="AF57" i="11"/>
  <c r="AF55" i="11"/>
  <c r="AF51" i="11"/>
  <c r="AJ50" i="11" s="1"/>
  <c r="I503" i="5"/>
  <c r="AF58" i="11"/>
  <c r="AF54" i="11"/>
  <c r="AJ56" i="11" s="1"/>
  <c r="Q503" i="5"/>
  <c r="L503" i="5"/>
  <c r="T503" i="5"/>
  <c r="X466" i="5"/>
  <c r="R283" i="5"/>
  <c r="T486" i="5"/>
  <c r="Q486" i="5"/>
  <c r="Q493" i="5"/>
  <c r="T493" i="5"/>
  <c r="T502" i="5"/>
  <c r="Q502" i="5"/>
  <c r="L452" i="5"/>
  <c r="I452" i="5"/>
  <c r="Q452" i="5"/>
  <c r="I459" i="5"/>
  <c r="J458" i="5" s="1"/>
  <c r="L459" i="5"/>
  <c r="M458" i="5" s="1"/>
  <c r="T459" i="5"/>
  <c r="U458" i="5" s="1"/>
  <c r="Q459" i="5"/>
  <c r="R458" i="5" s="1"/>
  <c r="G506" i="5" l="1"/>
  <c r="G497" i="5"/>
  <c r="E241" i="11"/>
  <c r="R274" i="11" s="1"/>
  <c r="Q347" i="7"/>
  <c r="P347" i="7"/>
  <c r="Q348" i="7"/>
  <c r="P348" i="7"/>
  <c r="E131" i="5"/>
  <c r="O8" i="10"/>
  <c r="F544" i="10"/>
  <c r="F556" i="10"/>
  <c r="G527" i="10"/>
  <c r="F545" i="10"/>
  <c r="F546" i="10"/>
  <c r="G547" i="10"/>
  <c r="F548" i="10"/>
  <c r="F549" i="10"/>
  <c r="F550" i="10"/>
  <c r="G551" i="10"/>
  <c r="F552" i="10"/>
  <c r="F553" i="10"/>
  <c r="F554" i="10"/>
  <c r="G555" i="10"/>
  <c r="F557" i="10"/>
  <c r="F558" i="10"/>
  <c r="V157" i="10"/>
  <c r="G305" i="10" s="1"/>
  <c r="X304" i="10"/>
  <c r="V149" i="10"/>
  <c r="G309" i="10" s="1"/>
  <c r="AD29" i="12" s="1"/>
  <c r="AT308" i="10"/>
  <c r="AG308" i="10"/>
  <c r="Z308" i="10"/>
  <c r="G308" i="10"/>
  <c r="L306" i="10"/>
  <c r="I306" i="10"/>
  <c r="AT304" i="10"/>
  <c r="AG304" i="10"/>
  <c r="Z304" i="10"/>
  <c r="S302" i="10"/>
  <c r="P302" i="10"/>
  <c r="G300" i="10"/>
  <c r="AT300" i="10"/>
  <c r="AG300" i="10"/>
  <c r="Z300" i="10"/>
  <c r="V144" i="10"/>
  <c r="V145" i="10" s="1"/>
  <c r="G302" i="10" s="1"/>
  <c r="AG29" i="12" l="1"/>
  <c r="F29" i="12" s="1"/>
  <c r="K29" i="12" s="1"/>
  <c r="AD42" i="12"/>
  <c r="F172" i="5"/>
  <c r="E244" i="11" s="1"/>
  <c r="T274" i="11" s="1"/>
  <c r="X497" i="5"/>
  <c r="O76" i="10"/>
  <c r="G201" i="10" s="1"/>
  <c r="G200" i="10"/>
  <c r="O77" i="10"/>
  <c r="X300" i="10"/>
  <c r="F169" i="10"/>
  <c r="K239" i="11" s="1"/>
  <c r="X308" i="10"/>
  <c r="F171" i="10"/>
  <c r="K241" i="11" s="1"/>
  <c r="Q351" i="7"/>
  <c r="P351" i="7"/>
  <c r="Q306" i="10"/>
  <c r="T306" i="10"/>
  <c r="G301" i="10"/>
  <c r="AB10" i="12" s="1"/>
  <c r="AB42" i="12" s="1"/>
  <c r="T302" i="10"/>
  <c r="Q302" i="10"/>
  <c r="L68" i="12" l="1"/>
  <c r="AH61" i="12"/>
  <c r="AH71" i="12" s="1"/>
  <c r="G207" i="10"/>
  <c r="G17" i="12"/>
  <c r="AJ61" i="12"/>
  <c r="AJ71" i="12" s="1"/>
  <c r="L70" i="12"/>
  <c r="Q207" i="10"/>
  <c r="T207" i="10"/>
  <c r="O78" i="10"/>
  <c r="G206" i="10" s="1"/>
  <c r="G205" i="10"/>
  <c r="G10" i="12" s="1"/>
  <c r="AT294" i="10"/>
  <c r="AG294" i="10"/>
  <c r="Z294" i="10"/>
  <c r="G294" i="10"/>
  <c r="G299" i="10" s="1"/>
  <c r="AA27" i="12" s="1"/>
  <c r="AT316" i="10"/>
  <c r="AT291" i="10"/>
  <c r="AT281" i="10"/>
  <c r="AT274" i="10"/>
  <c r="AG291" i="10"/>
  <c r="Z291" i="10"/>
  <c r="G291" i="10"/>
  <c r="G281" i="10"/>
  <c r="F166" i="10" s="1"/>
  <c r="K236" i="11" s="1"/>
  <c r="G290" i="10"/>
  <c r="G283" i="10"/>
  <c r="Y32" i="12" s="1"/>
  <c r="S279" i="10"/>
  <c r="P279" i="10"/>
  <c r="G274" i="10"/>
  <c r="V124" i="10"/>
  <c r="V123" i="10"/>
  <c r="G275" i="10" s="1"/>
  <c r="X22" i="12" s="1"/>
  <c r="V114" i="10"/>
  <c r="V115" i="10" s="1"/>
  <c r="G293" i="10" s="1"/>
  <c r="V107" i="10"/>
  <c r="V106" i="10"/>
  <c r="Z281" i="10"/>
  <c r="AG281" i="10"/>
  <c r="AT233" i="10"/>
  <c r="AG233" i="10"/>
  <c r="Z233" i="10"/>
  <c r="AT227" i="10"/>
  <c r="AG227" i="10"/>
  <c r="Z227" i="10"/>
  <c r="AT224" i="10"/>
  <c r="AG224" i="10"/>
  <c r="Z224" i="10"/>
  <c r="S232" i="10"/>
  <c r="P232" i="10"/>
  <c r="G120" i="10"/>
  <c r="G129" i="10"/>
  <c r="G231" i="10" s="1"/>
  <c r="G128" i="10"/>
  <c r="G228" i="10" s="1"/>
  <c r="P22" i="12" s="1"/>
  <c r="G109" i="10"/>
  <c r="G213" i="10" s="1"/>
  <c r="N10" i="12" s="1"/>
  <c r="G108" i="10"/>
  <c r="G202" i="10"/>
  <c r="F499" i="10"/>
  <c r="B22" i="11" s="1"/>
  <c r="F498" i="10"/>
  <c r="B21" i="11" s="1"/>
  <c r="F497" i="10"/>
  <c r="B20" i="11" s="1"/>
  <c r="F496" i="10"/>
  <c r="B19" i="11" s="1"/>
  <c r="L390" i="10"/>
  <c r="AS389" i="10"/>
  <c r="AG389" i="10"/>
  <c r="Z389" i="10"/>
  <c r="X389" i="10"/>
  <c r="AS388" i="10"/>
  <c r="AG388" i="10"/>
  <c r="Z388" i="10"/>
  <c r="X388" i="10"/>
  <c r="AG385" i="10"/>
  <c r="AS378" i="10"/>
  <c r="AG378" i="10"/>
  <c r="Z378" i="10"/>
  <c r="E378" i="10"/>
  <c r="L365" i="10"/>
  <c r="G364" i="10"/>
  <c r="F413" i="10" s="1"/>
  <c r="G363" i="10"/>
  <c r="F412" i="10" s="1"/>
  <c r="L361" i="10"/>
  <c r="AT341" i="10"/>
  <c r="AG341" i="10"/>
  <c r="Z341" i="10"/>
  <c r="AT334" i="10"/>
  <c r="AG334" i="10"/>
  <c r="Z334" i="10"/>
  <c r="Q333" i="10"/>
  <c r="AT330" i="10"/>
  <c r="AG330" i="10"/>
  <c r="Z330" i="10"/>
  <c r="AT329" i="10"/>
  <c r="AG329" i="10"/>
  <c r="Q327" i="10"/>
  <c r="I327" i="10"/>
  <c r="AG316" i="10"/>
  <c r="Z316" i="10"/>
  <c r="AG274" i="10"/>
  <c r="Z274" i="10"/>
  <c r="T273" i="10"/>
  <c r="Q273" i="10"/>
  <c r="T272" i="10"/>
  <c r="Q272" i="10"/>
  <c r="I272" i="10"/>
  <c r="AT270" i="10"/>
  <c r="AG270" i="10"/>
  <c r="Z270" i="10"/>
  <c r="AT264" i="10"/>
  <c r="AG264" i="10"/>
  <c r="Z264" i="10"/>
  <c r="S258" i="10"/>
  <c r="T258" i="10" s="1"/>
  <c r="P258" i="10"/>
  <c r="Q258" i="10" s="1"/>
  <c r="S257" i="10"/>
  <c r="T257" i="10" s="1"/>
  <c r="P257" i="10"/>
  <c r="Q257" i="10" s="1"/>
  <c r="S256" i="10"/>
  <c r="P256" i="10"/>
  <c r="S255" i="10"/>
  <c r="P255" i="10"/>
  <c r="AT245" i="10"/>
  <c r="AG245" i="10"/>
  <c r="Z245" i="10"/>
  <c r="AT209" i="10"/>
  <c r="AG209" i="10"/>
  <c r="Z209" i="10"/>
  <c r="AT200" i="10"/>
  <c r="AG200" i="10"/>
  <c r="Z200" i="10"/>
  <c r="G316" i="10"/>
  <c r="F173" i="10" s="1"/>
  <c r="K243" i="11" s="1"/>
  <c r="AL169" i="10"/>
  <c r="AE156" i="10"/>
  <c r="G245" i="10"/>
  <c r="G264" i="10"/>
  <c r="F163" i="10" s="1"/>
  <c r="K233" i="11" s="1"/>
  <c r="AD86" i="10"/>
  <c r="AA86" i="10"/>
  <c r="AD82" i="10"/>
  <c r="AA82" i="10"/>
  <c r="F75" i="10"/>
  <c r="R10" i="10" s="1"/>
  <c r="AD62" i="10"/>
  <c r="AA62" i="10"/>
  <c r="M58" i="10"/>
  <c r="F58" i="10"/>
  <c r="AD57" i="10"/>
  <c r="AA57" i="10"/>
  <c r="P57" i="10"/>
  <c r="O57" i="10"/>
  <c r="M56" i="10"/>
  <c r="M55" i="10"/>
  <c r="AD54" i="10"/>
  <c r="AA54" i="10"/>
  <c r="P54" i="10"/>
  <c r="O54" i="10"/>
  <c r="F54" i="10"/>
  <c r="F60" i="10" s="1"/>
  <c r="AD53" i="10"/>
  <c r="AA53" i="10"/>
  <c r="M53" i="10"/>
  <c r="M52" i="10"/>
  <c r="AD51" i="10"/>
  <c r="AA51" i="10"/>
  <c r="M51" i="10"/>
  <c r="M50" i="10"/>
  <c r="P49" i="10"/>
  <c r="O49" i="10"/>
  <c r="O48" i="10"/>
  <c r="M48" i="10"/>
  <c r="F48" i="10"/>
  <c r="AD46" i="10"/>
  <c r="AA46" i="10"/>
  <c r="AD39" i="10"/>
  <c r="AA39" i="10"/>
  <c r="N35" i="10"/>
  <c r="P39" i="10" s="1"/>
  <c r="O59" i="10" s="1"/>
  <c r="O61" i="10" s="1"/>
  <c r="AD29" i="10"/>
  <c r="K204" i="10" s="1"/>
  <c r="L204" i="10" s="1"/>
  <c r="AA29" i="10"/>
  <c r="H204" i="10" s="1"/>
  <c r="I204" i="10" s="1"/>
  <c r="AD19" i="10"/>
  <c r="AA19" i="10"/>
  <c r="AD18" i="10"/>
  <c r="AA18" i="10"/>
  <c r="AD17" i="10"/>
  <c r="AA17" i="10"/>
  <c r="AD16" i="10"/>
  <c r="AA16" i="10"/>
  <c r="H14" i="10"/>
  <c r="AE157" i="10" s="1"/>
  <c r="F12" i="10"/>
  <c r="R11" i="10"/>
  <c r="H6" i="10"/>
  <c r="AS915" i="5"/>
  <c r="Z915" i="5"/>
  <c r="AG915" i="5"/>
  <c r="S917" i="5"/>
  <c r="P917" i="5"/>
  <c r="J900" i="5"/>
  <c r="G916" i="5" s="1"/>
  <c r="AS907" i="5"/>
  <c r="S909" i="5"/>
  <c r="P909" i="5"/>
  <c r="Z907" i="5"/>
  <c r="AG907" i="5"/>
  <c r="G909" i="5"/>
  <c r="E898" i="5"/>
  <c r="G908" i="5" s="1"/>
  <c r="G907" i="5" s="1"/>
  <c r="X907" i="5" s="1"/>
  <c r="L910" i="5"/>
  <c r="AG32" i="12" l="1"/>
  <c r="F32" i="12" s="1"/>
  <c r="K32" i="12" s="1"/>
  <c r="Y42" i="12"/>
  <c r="G232" i="10"/>
  <c r="P10" i="12"/>
  <c r="P42" i="12" s="1"/>
  <c r="L58" i="12" s="1"/>
  <c r="Y60" i="12" s="1"/>
  <c r="Y70" i="12" s="1"/>
  <c r="F61" i="10"/>
  <c r="G42" i="12"/>
  <c r="M54" i="12" s="1"/>
  <c r="L54" i="12" s="1"/>
  <c r="F50" i="10"/>
  <c r="E385" i="10" s="1"/>
  <c r="G385" i="10" s="1"/>
  <c r="X385" i="10" s="1"/>
  <c r="K410" i="10"/>
  <c r="K409" i="10"/>
  <c r="H410" i="10"/>
  <c r="H409" i="10"/>
  <c r="G277" i="10"/>
  <c r="G276" i="10"/>
  <c r="G230" i="10"/>
  <c r="G229" i="10"/>
  <c r="T12" i="10"/>
  <c r="T206" i="10"/>
  <c r="Q206" i="10"/>
  <c r="G225" i="10"/>
  <c r="O11" i="12" s="1"/>
  <c r="G121" i="10"/>
  <c r="G226" i="10" s="1"/>
  <c r="V125" i="10"/>
  <c r="G279" i="10" s="1"/>
  <c r="G278" i="10"/>
  <c r="X10" i="12" s="1"/>
  <c r="G296" i="10"/>
  <c r="AA18" i="12" s="1"/>
  <c r="V110" i="10"/>
  <c r="G298" i="10" s="1"/>
  <c r="G295" i="10"/>
  <c r="AA11" i="12" s="1"/>
  <c r="V109" i="10"/>
  <c r="G297" i="10" s="1"/>
  <c r="Q290" i="10"/>
  <c r="T290" i="10"/>
  <c r="Q293" i="10"/>
  <c r="T293" i="10"/>
  <c r="X245" i="10"/>
  <c r="F162" i="10"/>
  <c r="K232" i="11" s="1"/>
  <c r="X227" i="10"/>
  <c r="F160" i="10"/>
  <c r="K230" i="11" s="1"/>
  <c r="S16" i="10"/>
  <c r="S17" i="10"/>
  <c r="X233" i="10"/>
  <c r="F161" i="10"/>
  <c r="K231" i="11" s="1"/>
  <c r="X294" i="10"/>
  <c r="F168" i="10"/>
  <c r="K238" i="11" s="1"/>
  <c r="X224" i="10"/>
  <c r="F159" i="10"/>
  <c r="K229" i="11" s="1"/>
  <c r="X274" i="10"/>
  <c r="F165" i="10"/>
  <c r="K235" i="11" s="1"/>
  <c r="X291" i="10"/>
  <c r="F167" i="10"/>
  <c r="K237" i="11" s="1"/>
  <c r="G199" i="10"/>
  <c r="F157" i="10"/>
  <c r="K227" i="11" s="1"/>
  <c r="R232" i="11" s="1"/>
  <c r="Q909" i="5"/>
  <c r="G917" i="5"/>
  <c r="Q917" i="5" s="1"/>
  <c r="G915" i="5"/>
  <c r="X915" i="5" s="1"/>
  <c r="T909" i="5"/>
  <c r="Q305" i="10"/>
  <c r="R304" i="10" s="1"/>
  <c r="G292" i="10"/>
  <c r="Z16" i="12" s="1"/>
  <c r="X281" i="10"/>
  <c r="T232" i="10"/>
  <c r="Q232" i="10"/>
  <c r="G210" i="10"/>
  <c r="N22" i="12" s="1"/>
  <c r="M22" i="12" s="1"/>
  <c r="E22" i="12" s="1"/>
  <c r="T202" i="10"/>
  <c r="AE158" i="10"/>
  <c r="Q202" i="10"/>
  <c r="Q203" i="10"/>
  <c r="T203" i="10"/>
  <c r="R57" i="10"/>
  <c r="R54" i="10"/>
  <c r="G378" i="10"/>
  <c r="F179" i="10" s="1"/>
  <c r="X264" i="10"/>
  <c r="Q264" i="10"/>
  <c r="I264" i="10"/>
  <c r="G214" i="10"/>
  <c r="Q245" i="10"/>
  <c r="G246" i="10"/>
  <c r="I245" i="10"/>
  <c r="X316" i="10"/>
  <c r="Q274" i="10"/>
  <c r="I910" i="5"/>
  <c r="N42" i="12" l="1"/>
  <c r="L56" i="12" s="1"/>
  <c r="W60" i="12" s="1"/>
  <c r="W70" i="12" s="1"/>
  <c r="M10" i="12"/>
  <c r="M42" i="12" s="1"/>
  <c r="N290" i="19"/>
  <c r="F62" i="10"/>
  <c r="H546" i="10" s="1"/>
  <c r="AE159" i="10"/>
  <c r="AE160" i="10" s="1"/>
  <c r="G270" i="10" s="1"/>
  <c r="AA42" i="12"/>
  <c r="E10" i="12"/>
  <c r="O42" i="12"/>
  <c r="L57" i="12" s="1"/>
  <c r="X60" i="12" s="1"/>
  <c r="X70" i="12" s="1"/>
  <c r="M11" i="12"/>
  <c r="E11" i="12" s="1"/>
  <c r="Q214" i="10"/>
  <c r="T214" i="10"/>
  <c r="J51" i="11"/>
  <c r="T244" i="11"/>
  <c r="Z247" i="11"/>
  <c r="AE61" i="12"/>
  <c r="AE71" i="12" s="1"/>
  <c r="L65" i="12"/>
  <c r="AG16" i="12"/>
  <c r="F16" i="12" s="1"/>
  <c r="K16" i="12" s="1"/>
  <c r="Z42" i="12"/>
  <c r="AG10" i="12"/>
  <c r="F10" i="12" s="1"/>
  <c r="X42" i="12"/>
  <c r="I277" i="10"/>
  <c r="L277" i="10"/>
  <c r="Q277" i="10"/>
  <c r="T277" i="10"/>
  <c r="I230" i="10"/>
  <c r="L230" i="10"/>
  <c r="Q230" i="10"/>
  <c r="T230" i="10"/>
  <c r="G212" i="10"/>
  <c r="G211" i="10"/>
  <c r="Q226" i="10"/>
  <c r="T226" i="10"/>
  <c r="Q297" i="10"/>
  <c r="T297" i="10"/>
  <c r="T298" i="10"/>
  <c r="Q298" i="10"/>
  <c r="S18" i="10"/>
  <c r="O13" i="10" s="1"/>
  <c r="Q61" i="10"/>
  <c r="G359" i="10" s="1"/>
  <c r="F407" i="10" s="1"/>
  <c r="S54" i="10"/>
  <c r="S57" i="10"/>
  <c r="K249" i="11"/>
  <c r="E178" i="10"/>
  <c r="J248" i="11" s="1"/>
  <c r="G208" i="10"/>
  <c r="T208" i="10" s="1"/>
  <c r="F158" i="10"/>
  <c r="K228" i="11" s="1"/>
  <c r="R233" i="11" s="1"/>
  <c r="H557" i="10"/>
  <c r="H558" i="10"/>
  <c r="I547" i="10"/>
  <c r="H544" i="10"/>
  <c r="H548" i="10"/>
  <c r="H550" i="10"/>
  <c r="T917" i="5"/>
  <c r="I305" i="10"/>
  <c r="J304" i="10" s="1"/>
  <c r="F452" i="10" s="1"/>
  <c r="G541" i="10" s="1"/>
  <c r="T305" i="10"/>
  <c r="U304" i="10" s="1"/>
  <c r="T279" i="10"/>
  <c r="Q279" i="10"/>
  <c r="L305" i="10"/>
  <c r="M304" i="10" s="1"/>
  <c r="H452" i="10" s="1"/>
  <c r="I209" i="10"/>
  <c r="X209" i="10"/>
  <c r="Q209" i="10"/>
  <c r="G330" i="10"/>
  <c r="G329" i="10"/>
  <c r="X378" i="10"/>
  <c r="N291" i="19" l="1"/>
  <c r="N369" i="19"/>
  <c r="L369" i="19" s="1"/>
  <c r="N368" i="19"/>
  <c r="L368" i="19" s="1"/>
  <c r="L290" i="19"/>
  <c r="L298" i="19"/>
  <c r="G298" i="19" s="1"/>
  <c r="I298" i="19" s="1"/>
  <c r="H545" i="10"/>
  <c r="H556" i="10"/>
  <c r="I551" i="10"/>
  <c r="H553" i="10"/>
  <c r="H549" i="10"/>
  <c r="H552" i="10"/>
  <c r="F27" i="11"/>
  <c r="L189" i="11" s="1"/>
  <c r="F54" i="11" s="1"/>
  <c r="I555" i="10"/>
  <c r="I541" i="10"/>
  <c r="H554" i="10"/>
  <c r="I527" i="10"/>
  <c r="F164" i="10"/>
  <c r="K234" i="11" s="1"/>
  <c r="R234" i="11" s="1"/>
  <c r="S234" i="11" s="1"/>
  <c r="G244" i="10"/>
  <c r="Q244" i="10" s="1"/>
  <c r="G271" i="10"/>
  <c r="W36" i="12" s="1"/>
  <c r="X270" i="10"/>
  <c r="AD61" i="12"/>
  <c r="AD71" i="12" s="1"/>
  <c r="L64" i="12"/>
  <c r="E42" i="12"/>
  <c r="K10" i="12"/>
  <c r="AG61" i="12"/>
  <c r="AG71" i="12" s="1"/>
  <c r="L67" i="12"/>
  <c r="L66" i="12"/>
  <c r="AF61" i="12"/>
  <c r="AF71" i="12" s="1"/>
  <c r="J52" i="11"/>
  <c r="T245" i="11"/>
  <c r="Z248" i="11"/>
  <c r="R14" i="10"/>
  <c r="G360" i="10"/>
  <c r="F408" i="10" s="1"/>
  <c r="L212" i="10"/>
  <c r="I212" i="10"/>
  <c r="Q212" i="10"/>
  <c r="T212" i="10"/>
  <c r="I208" i="10"/>
  <c r="Q208" i="10"/>
  <c r="O12" i="10"/>
  <c r="I244" i="10"/>
  <c r="G328" i="10"/>
  <c r="X329" i="10"/>
  <c r="X330" i="10"/>
  <c r="X200" i="10"/>
  <c r="N292" i="19" l="1"/>
  <c r="G368" i="19"/>
  <c r="I368" i="19" s="1"/>
  <c r="L376" i="19"/>
  <c r="G376" i="19" s="1"/>
  <c r="I376" i="19" s="1"/>
  <c r="G369" i="19"/>
  <c r="I369" i="19" s="1"/>
  <c r="L377" i="19"/>
  <c r="G377" i="19" s="1"/>
  <c r="I377" i="19" s="1"/>
  <c r="T233" i="11"/>
  <c r="L291" i="19"/>
  <c r="G291" i="19" s="1"/>
  <c r="I291" i="19" s="1"/>
  <c r="L299" i="19"/>
  <c r="G299" i="19" s="1"/>
  <c r="I299" i="19" s="1"/>
  <c r="G290" i="19"/>
  <c r="R242" i="11"/>
  <c r="M189" i="11"/>
  <c r="H54" i="11" s="1"/>
  <c r="L52" i="11"/>
  <c r="L54" i="11"/>
  <c r="F32" i="11"/>
  <c r="L51" i="11"/>
  <c r="AG36" i="12"/>
  <c r="F36" i="12" s="1"/>
  <c r="K36" i="12" s="1"/>
  <c r="W42" i="12"/>
  <c r="Z249" i="11"/>
  <c r="R246" i="11"/>
  <c r="T246" i="11"/>
  <c r="J53" i="11"/>
  <c r="I409" i="10"/>
  <c r="I410" i="10"/>
  <c r="L409" i="10"/>
  <c r="L410" i="10"/>
  <c r="I328" i="10"/>
  <c r="F174" i="10"/>
  <c r="Q328" i="10"/>
  <c r="L292" i="19" l="1"/>
  <c r="L300" i="19"/>
  <c r="G300" i="19" s="1"/>
  <c r="I300" i="19" s="1"/>
  <c r="I290" i="19"/>
  <c r="Y302" i="19"/>
  <c r="R244" i="11"/>
  <c r="R247" i="11"/>
  <c r="R245" i="11"/>
  <c r="AC61" i="12"/>
  <c r="AC71" i="12" s="1"/>
  <c r="L63" i="12"/>
  <c r="L53" i="11"/>
  <c r="K244" i="11"/>
  <c r="G292" i="19" l="1"/>
  <c r="I292" i="19" s="1"/>
  <c r="L372" i="19"/>
  <c r="R236" i="11"/>
  <c r="J55" i="11" l="1"/>
  <c r="N294" i="19"/>
  <c r="G372" i="19"/>
  <c r="I372" i="19" s="1"/>
  <c r="L380" i="19"/>
  <c r="G380" i="19" s="1"/>
  <c r="I380" i="19" s="1"/>
  <c r="L55" i="11"/>
  <c r="R248" i="11"/>
  <c r="T248" i="11"/>
  <c r="Z250" i="11"/>
  <c r="H164" i="7"/>
  <c r="G164" i="7"/>
  <c r="J47" i="2"/>
  <c r="F123" i="9"/>
  <c r="H659" i="7"/>
  <c r="G659" i="7"/>
  <c r="H731" i="7"/>
  <c r="G731" i="7"/>
  <c r="H724" i="7"/>
  <c r="G724" i="7"/>
  <c r="H674" i="7"/>
  <c r="G674" i="7"/>
  <c r="H667" i="7"/>
  <c r="G667" i="7"/>
  <c r="H702" i="7"/>
  <c r="G702" i="7"/>
  <c r="H681" i="7"/>
  <c r="G681" i="7"/>
  <c r="H688" i="7"/>
  <c r="G688" i="7"/>
  <c r="H695" i="7"/>
  <c r="G695" i="7"/>
  <c r="V427" i="7"/>
  <c r="V431" i="7"/>
  <c r="R43" i="2"/>
  <c r="R44" i="2"/>
  <c r="V428" i="7" s="1"/>
  <c r="R45" i="2"/>
  <c r="V429" i="7" s="1"/>
  <c r="R46" i="2"/>
  <c r="V430" i="7" s="1"/>
  <c r="R47" i="2"/>
  <c r="R42" i="2"/>
  <c r="S42" i="2" s="1"/>
  <c r="J44" i="2"/>
  <c r="J43" i="2" s="1"/>
  <c r="J45" i="2"/>
  <c r="O45" i="2" s="1"/>
  <c r="D28" i="2"/>
  <c r="I24" i="2" s="1"/>
  <c r="D45" i="2"/>
  <c r="J46" i="2" s="1"/>
  <c r="P46" i="2" s="1"/>
  <c r="R430" i="7" s="1"/>
  <c r="D42" i="2"/>
  <c r="J42" i="2" s="1"/>
  <c r="D41" i="2"/>
  <c r="S48" i="2"/>
  <c r="P48" i="2"/>
  <c r="R432" i="7" s="1"/>
  <c r="V408" i="7"/>
  <c r="V409" i="7"/>
  <c r="V410" i="7"/>
  <c r="V411" i="7"/>
  <c r="V412" i="7"/>
  <c r="V407" i="7"/>
  <c r="D24" i="2"/>
  <c r="D25" i="2"/>
  <c r="I25" i="2"/>
  <c r="L25" i="2" s="1"/>
  <c r="R411" i="7" s="1"/>
  <c r="I26" i="2"/>
  <c r="L26" i="2" s="1"/>
  <c r="R412" i="7" s="1"/>
  <c r="O29" i="2"/>
  <c r="L29" i="2"/>
  <c r="O26" i="2"/>
  <c r="O25" i="2"/>
  <c r="O24" i="2"/>
  <c r="O23" i="2"/>
  <c r="O22" i="2"/>
  <c r="O21" i="2"/>
  <c r="AG579" i="5"/>
  <c r="AG578" i="5"/>
  <c r="Z579" i="5"/>
  <c r="Z578" i="5"/>
  <c r="I216" i="4"/>
  <c r="Y18" i="4" s="1"/>
  <c r="G216" i="4"/>
  <c r="U18" i="4" s="1"/>
  <c r="I211" i="4"/>
  <c r="X18" i="4" s="1"/>
  <c r="G211" i="4"/>
  <c r="T18" i="4" s="1"/>
  <c r="I49" i="4"/>
  <c r="J49" i="4"/>
  <c r="I527" i="4"/>
  <c r="G527" i="4"/>
  <c r="I524" i="4"/>
  <c r="G524" i="4"/>
  <c r="I517" i="4"/>
  <c r="G517" i="4"/>
  <c r="I514" i="4"/>
  <c r="G514" i="4"/>
  <c r="I506" i="4"/>
  <c r="G506" i="4"/>
  <c r="I503" i="4"/>
  <c r="G503" i="4"/>
  <c r="I484" i="4"/>
  <c r="G484" i="4"/>
  <c r="I481" i="4"/>
  <c r="G481" i="4"/>
  <c r="I474" i="4"/>
  <c r="G474" i="4"/>
  <c r="I471" i="4"/>
  <c r="G471" i="4"/>
  <c r="I464" i="4"/>
  <c r="G464" i="4"/>
  <c r="I461" i="4"/>
  <c r="G461" i="4"/>
  <c r="I381" i="4"/>
  <c r="Y48" i="4" s="1"/>
  <c r="G381" i="4"/>
  <c r="U48" i="4" s="1"/>
  <c r="I376" i="4"/>
  <c r="X48" i="4" s="1"/>
  <c r="G376" i="4"/>
  <c r="T48" i="4" s="1"/>
  <c r="I168" i="4"/>
  <c r="X14" i="4" s="1"/>
  <c r="I171" i="4"/>
  <c r="Y14" i="4" s="1"/>
  <c r="G171" i="4"/>
  <c r="U14" i="4" s="1"/>
  <c r="G168" i="4"/>
  <c r="T14" i="4" s="1"/>
  <c r="G202" i="4"/>
  <c r="U16" i="4" s="1"/>
  <c r="I202" i="4"/>
  <c r="Y16" i="4" s="1"/>
  <c r="I199" i="4"/>
  <c r="X16" i="4" s="1"/>
  <c r="G199" i="4"/>
  <c r="T16" i="4" s="1"/>
  <c r="H324" i="7"/>
  <c r="G324" i="7"/>
  <c r="G343" i="4"/>
  <c r="I343" i="4"/>
  <c r="I337" i="4"/>
  <c r="G340" i="4"/>
  <c r="I340" i="4"/>
  <c r="H505" i="7"/>
  <c r="W48" i="4"/>
  <c r="S48" i="4"/>
  <c r="W18" i="4"/>
  <c r="S18" i="4"/>
  <c r="W17" i="4"/>
  <c r="S17" i="4"/>
  <c r="W16" i="4"/>
  <c r="S16" i="4"/>
  <c r="W14" i="4"/>
  <c r="S14" i="4"/>
  <c r="H253" i="7"/>
  <c r="G253" i="7"/>
  <c r="H259" i="7"/>
  <c r="G259" i="7"/>
  <c r="H246" i="7"/>
  <c r="G246" i="7"/>
  <c r="H211" i="7"/>
  <c r="G211" i="7"/>
  <c r="H204" i="7"/>
  <c r="G204" i="7"/>
  <c r="H225" i="7"/>
  <c r="G225" i="7"/>
  <c r="H232" i="7"/>
  <c r="G232" i="7"/>
  <c r="H266" i="7"/>
  <c r="G30" i="7" s="1"/>
  <c r="AD30" i="10" s="1"/>
  <c r="G266" i="7"/>
  <c r="F30" i="7" s="1"/>
  <c r="AA30" i="10" s="1"/>
  <c r="G445" i="5"/>
  <c r="F103" i="9"/>
  <c r="F97" i="9"/>
  <c r="U48" i="2" l="1"/>
  <c r="S45" i="2"/>
  <c r="V426" i="7"/>
  <c r="L294" i="19"/>
  <c r="L302" i="19"/>
  <c r="G302" i="19" s="1"/>
  <c r="I302" i="19" s="1"/>
  <c r="F166" i="5"/>
  <c r="E238" i="11" s="1"/>
  <c r="V274" i="11" s="1"/>
  <c r="G456" i="5"/>
  <c r="G111" i="9"/>
  <c r="I111" i="9" s="1"/>
  <c r="H98" i="9"/>
  <c r="G105" i="9"/>
  <c r="G110" i="9"/>
  <c r="G109" i="9"/>
  <c r="G107" i="9"/>
  <c r="G113" i="9"/>
  <c r="G108" i="9"/>
  <c r="G106" i="9"/>
  <c r="O49" i="4"/>
  <c r="N49" i="4"/>
  <c r="P47" i="2"/>
  <c r="R431" i="7" s="1"/>
  <c r="N47" i="2"/>
  <c r="P45" i="2"/>
  <c r="R429" i="7" s="1"/>
  <c r="O47" i="2"/>
  <c r="N42" i="2"/>
  <c r="O42" i="2" s="1"/>
  <c r="S46" i="2"/>
  <c r="U46" i="2" s="1"/>
  <c r="Z430" i="7" s="1"/>
  <c r="N45" i="2"/>
  <c r="S47" i="2"/>
  <c r="S43" i="2"/>
  <c r="S44" i="2"/>
  <c r="N46" i="2"/>
  <c r="O46" i="2"/>
  <c r="Q29" i="2"/>
  <c r="Q25" i="2"/>
  <c r="Z411" i="7" s="1"/>
  <c r="I27" i="2"/>
  <c r="J27" i="2" s="1"/>
  <c r="Q26" i="2"/>
  <c r="Z412" i="7" s="1"/>
  <c r="L24" i="2"/>
  <c r="U45" i="2" l="1"/>
  <c r="Z429" i="7" s="1"/>
  <c r="G294" i="19"/>
  <c r="I294" i="19" s="1"/>
  <c r="J111" i="9"/>
  <c r="I113" i="9"/>
  <c r="J113" i="9"/>
  <c r="J108" i="9"/>
  <c r="I108" i="9"/>
  <c r="I107" i="9"/>
  <c r="J107" i="9"/>
  <c r="I109" i="9"/>
  <c r="J109" i="9"/>
  <c r="I110" i="9"/>
  <c r="J110" i="9"/>
  <c r="J105" i="9"/>
  <c r="I112" i="9"/>
  <c r="J112" i="9"/>
  <c r="I106" i="9"/>
  <c r="J106" i="9"/>
  <c r="U47" i="2"/>
  <c r="Z431" i="7" s="1"/>
  <c r="O43" i="2"/>
  <c r="P43" i="2" s="1"/>
  <c r="P42" i="2"/>
  <c r="Q24" i="2"/>
  <c r="Z410" i="7" s="1"/>
  <c r="R410" i="7"/>
  <c r="J21" i="2"/>
  <c r="L21" i="2" s="1"/>
  <c r="F165" i="5"/>
  <c r="E237" i="11" s="1"/>
  <c r="P274" i="11" s="1"/>
  <c r="AK159" i="5"/>
  <c r="AK160" i="5"/>
  <c r="AK161" i="5"/>
  <c r="AK158" i="5"/>
  <c r="S335" i="5"/>
  <c r="P335" i="5"/>
  <c r="G306" i="5"/>
  <c r="F157" i="5" s="1"/>
  <c r="E229" i="11" s="1"/>
  <c r="N254" i="19" l="1"/>
  <c r="O273" i="11"/>
  <c r="U43" i="2"/>
  <c r="Z427" i="7" s="1"/>
  <c r="R427" i="7"/>
  <c r="U42" i="2"/>
  <c r="Z426" i="7" s="1"/>
  <c r="R426" i="7"/>
  <c r="P44" i="2"/>
  <c r="J22" i="2"/>
  <c r="K23" i="2" s="1"/>
  <c r="L23" i="2" s="1"/>
  <c r="Q21" i="2"/>
  <c r="Z407" i="7" s="1"/>
  <c r="R407" i="7"/>
  <c r="AB13" i="9"/>
  <c r="AB14" i="9"/>
  <c r="AB15" i="9"/>
  <c r="AB16" i="9"/>
  <c r="AB17" i="9"/>
  <c r="AB18" i="9"/>
  <c r="AB19" i="9"/>
  <c r="AB20" i="9"/>
  <c r="AB21" i="9"/>
  <c r="AB22" i="9"/>
  <c r="AB23" i="9"/>
  <c r="AB24" i="9"/>
  <c r="AB25" i="9"/>
  <c r="AB26" i="9"/>
  <c r="AB12" i="9"/>
  <c r="AA13" i="9"/>
  <c r="AA14" i="9"/>
  <c r="AA15" i="9"/>
  <c r="AA16" i="9"/>
  <c r="AA17" i="9"/>
  <c r="AA18" i="9"/>
  <c r="AA19" i="9"/>
  <c r="AA20" i="9"/>
  <c r="AA21" i="9"/>
  <c r="AA22" i="9"/>
  <c r="AA23" i="9"/>
  <c r="AA24" i="9"/>
  <c r="AA25" i="9"/>
  <c r="AA26" i="9"/>
  <c r="AA12" i="9"/>
  <c r="P78" i="9"/>
  <c r="K49" i="9"/>
  <c r="K46" i="9"/>
  <c r="S24" i="9"/>
  <c r="T18" i="9" s="1"/>
  <c r="AF131" i="5" s="1"/>
  <c r="G4" i="9"/>
  <c r="F66" i="9"/>
  <c r="O66" i="9" s="1"/>
  <c r="E66" i="9"/>
  <c r="N64" i="9" s="1"/>
  <c r="G65" i="9"/>
  <c r="G64" i="9"/>
  <c r="G63" i="9"/>
  <c r="G62" i="9"/>
  <c r="G61" i="9"/>
  <c r="G60" i="9"/>
  <c r="G59" i="9"/>
  <c r="G58" i="9"/>
  <c r="G57" i="9"/>
  <c r="J56" i="9"/>
  <c r="G56" i="9"/>
  <c r="H56" i="9" s="1"/>
  <c r="K48" i="9"/>
  <c r="K47" i="9"/>
  <c r="H47" i="9"/>
  <c r="M47" i="9" s="1"/>
  <c r="H48" i="9"/>
  <c r="M48" i="9" s="1"/>
  <c r="H46" i="9"/>
  <c r="M46" i="9" s="1"/>
  <c r="T40" i="9"/>
  <c r="T41" i="9"/>
  <c r="T35" i="9"/>
  <c r="T34" i="9"/>
  <c r="L254" i="19" l="1"/>
  <c r="AC12" i="9"/>
  <c r="AC19" i="9"/>
  <c r="AC21" i="9"/>
  <c r="AC17" i="9"/>
  <c r="AC24" i="9"/>
  <c r="AC16" i="9"/>
  <c r="AC25" i="9"/>
  <c r="AC20" i="9"/>
  <c r="AC14" i="9"/>
  <c r="AC15" i="9"/>
  <c r="AC22" i="9"/>
  <c r="AC13" i="9"/>
  <c r="V18" i="9"/>
  <c r="X18" i="9" s="1"/>
  <c r="AF127" i="10"/>
  <c r="AG127" i="10" s="1"/>
  <c r="G253" i="10" s="1"/>
  <c r="T253" i="10" s="1"/>
  <c r="AC26" i="9"/>
  <c r="AC18" i="9"/>
  <c r="AC23" i="9"/>
  <c r="U44" i="2"/>
  <c r="R428" i="7"/>
  <c r="Q23" i="2"/>
  <c r="Z409" i="7" s="1"/>
  <c r="R409" i="7"/>
  <c r="K22" i="2"/>
  <c r="L22" i="2" s="1"/>
  <c r="R408" i="7" s="1"/>
  <c r="AE231" i="5"/>
  <c r="AE232" i="5" s="1"/>
  <c r="AE233" i="5" s="1"/>
  <c r="T17" i="9"/>
  <c r="T24" i="9"/>
  <c r="V24" i="9" s="1"/>
  <c r="X24" i="9" s="1"/>
  <c r="T23" i="9"/>
  <c r="T26" i="9"/>
  <c r="T21" i="9"/>
  <c r="T13" i="9"/>
  <c r="T12" i="9"/>
  <c r="T25" i="9"/>
  <c r="T15" i="9"/>
  <c r="T22" i="9"/>
  <c r="T14" i="9"/>
  <c r="T19" i="9"/>
  <c r="T16" i="9"/>
  <c r="T20" i="9"/>
  <c r="K56" i="9"/>
  <c r="H59" i="9"/>
  <c r="J59" i="9" s="1"/>
  <c r="K59" i="9" s="1"/>
  <c r="H60" i="9"/>
  <c r="J60" i="9" s="1"/>
  <c r="K60" i="9" s="1"/>
  <c r="H61" i="9"/>
  <c r="J61" i="9" s="1"/>
  <c r="K61" i="9" s="1"/>
  <c r="H62" i="9"/>
  <c r="J62" i="9" s="1"/>
  <c r="K62" i="9" s="1"/>
  <c r="H63" i="9"/>
  <c r="J63" i="9" s="1"/>
  <c r="K63" i="9" s="1"/>
  <c r="H57" i="9"/>
  <c r="J57" i="9" s="1"/>
  <c r="H64" i="9"/>
  <c r="J64" i="9" s="1"/>
  <c r="K64" i="9" s="1"/>
  <c r="H58" i="9"/>
  <c r="J58" i="9" s="1"/>
  <c r="K58" i="9" s="1"/>
  <c r="H65" i="9"/>
  <c r="J65" i="9" s="1"/>
  <c r="K65" i="9" s="1"/>
  <c r="O64" i="9"/>
  <c r="O63" i="9"/>
  <c r="N61" i="9"/>
  <c r="G66" i="9"/>
  <c r="N60" i="9"/>
  <c r="O61" i="9"/>
  <c r="N63" i="9"/>
  <c r="N62" i="9"/>
  <c r="N59" i="9"/>
  <c r="O60" i="9"/>
  <c r="N58" i="9"/>
  <c r="O59" i="9"/>
  <c r="O62" i="9"/>
  <c r="N57" i="9"/>
  <c r="O58" i="9"/>
  <c r="N65" i="9"/>
  <c r="N66" i="9"/>
  <c r="O57" i="9"/>
  <c r="O65" i="9"/>
  <c r="F54" i="5"/>
  <c r="N35" i="5"/>
  <c r="U23" i="8" l="1"/>
  <c r="V23" i="8" s="1"/>
  <c r="AF40" i="8" s="1"/>
  <c r="V70" i="8"/>
  <c r="Z23" i="8"/>
  <c r="AA23" i="8" s="1"/>
  <c r="AG40" i="8" s="1"/>
  <c r="P23" i="8"/>
  <c r="Q23" i="8" s="1"/>
  <c r="P25" i="8"/>
  <c r="T70" i="8"/>
  <c r="N25" i="8"/>
  <c r="O25" i="8" s="1"/>
  <c r="AD42" i="8" s="1"/>
  <c r="AD43" i="8" s="1"/>
  <c r="R70" i="8"/>
  <c r="N23" i="8"/>
  <c r="O23" i="8" s="1"/>
  <c r="AD40" i="8" s="1"/>
  <c r="G254" i="19"/>
  <c r="I254" i="19" s="1"/>
  <c r="Z24" i="8"/>
  <c r="AA24" i="8" s="1"/>
  <c r="Z25" i="8"/>
  <c r="AA25" i="8" s="1"/>
  <c r="AG42" i="8" s="1"/>
  <c r="AG43" i="8" s="1"/>
  <c r="P24" i="8"/>
  <c r="Q24" i="8" s="1"/>
  <c r="Q25" i="8"/>
  <c r="U24" i="8"/>
  <c r="V24" i="8" s="1"/>
  <c r="U25" i="8"/>
  <c r="V25" i="8" s="1"/>
  <c r="AF42" i="8" s="1"/>
  <c r="AF43" i="8" s="1"/>
  <c r="N29" i="8"/>
  <c r="O29" i="8" s="1"/>
  <c r="N24" i="8"/>
  <c r="O24" i="8" s="1"/>
  <c r="AC11" i="9"/>
  <c r="V20" i="9"/>
  <c r="X20" i="9" s="1"/>
  <c r="AF135" i="10"/>
  <c r="AG135" i="10" s="1"/>
  <c r="AF139" i="5"/>
  <c r="V16" i="9"/>
  <c r="X16" i="9" s="1"/>
  <c r="AF125" i="10"/>
  <c r="AG125" i="10" s="1"/>
  <c r="G251" i="10" s="1"/>
  <c r="U11" i="12" s="1"/>
  <c r="AF129" i="5"/>
  <c r="V21" i="9"/>
  <c r="X21" i="9" s="1"/>
  <c r="AF136" i="10"/>
  <c r="AG136" i="10" s="1"/>
  <c r="AF140" i="5"/>
  <c r="V19" i="9"/>
  <c r="X19" i="9" s="1"/>
  <c r="AF128" i="10"/>
  <c r="AG128" i="10" s="1"/>
  <c r="G254" i="10" s="1"/>
  <c r="U27" i="12" s="1"/>
  <c r="AG27" i="12" s="1"/>
  <c r="F27" i="12" s="1"/>
  <c r="K27" i="12" s="1"/>
  <c r="AF132" i="5"/>
  <c r="V26" i="9"/>
  <c r="AF130" i="10"/>
  <c r="AF134" i="5"/>
  <c r="V25" i="9"/>
  <c r="X25" i="9" s="1"/>
  <c r="AF129" i="10"/>
  <c r="AF133" i="5"/>
  <c r="AF122" i="10"/>
  <c r="AG122" i="10" s="1"/>
  <c r="G248" i="10" s="1"/>
  <c r="U17" i="12" s="1"/>
  <c r="AG17" i="12" s="1"/>
  <c r="F17" i="12" s="1"/>
  <c r="K17" i="12" s="1"/>
  <c r="AF126" i="5"/>
  <c r="V23" i="9"/>
  <c r="X23" i="9" s="1"/>
  <c r="AF138" i="10"/>
  <c r="AG138" i="10" s="1"/>
  <c r="AF142" i="5"/>
  <c r="V22" i="9"/>
  <c r="X22" i="9" s="1"/>
  <c r="AF137" i="10"/>
  <c r="AG137" i="10" s="1"/>
  <c r="AF141" i="5"/>
  <c r="V12" i="9"/>
  <c r="X12" i="9" s="1"/>
  <c r="AF121" i="10"/>
  <c r="AG121" i="10" s="1"/>
  <c r="AF125" i="5"/>
  <c r="V14" i="9"/>
  <c r="X14" i="9" s="1"/>
  <c r="AF123" i="10"/>
  <c r="AG123" i="10" s="1"/>
  <c r="AF127" i="5"/>
  <c r="V15" i="9"/>
  <c r="X15" i="9" s="1"/>
  <c r="AF124" i="10"/>
  <c r="AG124" i="10" s="1"/>
  <c r="G250" i="10" s="1"/>
  <c r="U18" i="12" s="1"/>
  <c r="AG18" i="12" s="1"/>
  <c r="F18" i="12" s="1"/>
  <c r="K18" i="12" s="1"/>
  <c r="AF128" i="5"/>
  <c r="V17" i="9"/>
  <c r="X17" i="9" s="1"/>
  <c r="AF126" i="10"/>
  <c r="AG126" i="10" s="1"/>
  <c r="G252" i="10" s="1"/>
  <c r="U22" i="12" s="1"/>
  <c r="AG22" i="12" s="1"/>
  <c r="F22" i="12" s="1"/>
  <c r="K22" i="12" s="1"/>
  <c r="AF130" i="5"/>
  <c r="Z428" i="7"/>
  <c r="Z424" i="7" s="1"/>
  <c r="U49" i="2"/>
  <c r="AN71" i="10" s="1"/>
  <c r="Q22" i="2"/>
  <c r="L27" i="2"/>
  <c r="R413" i="7" s="1"/>
  <c r="V13" i="9"/>
  <c r="X13" i="9" s="1"/>
  <c r="T7" i="9"/>
  <c r="K57" i="9"/>
  <c r="J66" i="9"/>
  <c r="M58" i="5"/>
  <c r="M55" i="5"/>
  <c r="M56" i="5"/>
  <c r="O57" i="5"/>
  <c r="P57" i="5"/>
  <c r="O49" i="5"/>
  <c r="P49" i="5"/>
  <c r="M50" i="5"/>
  <c r="M51" i="5"/>
  <c r="M52" i="5"/>
  <c r="M53" i="5"/>
  <c r="O54" i="5"/>
  <c r="P54" i="5"/>
  <c r="O48" i="5"/>
  <c r="M48" i="5"/>
  <c r="C26" i="8"/>
  <c r="D26" i="8"/>
  <c r="C27" i="8"/>
  <c r="D27" i="8"/>
  <c r="C28" i="8"/>
  <c r="D28" i="8"/>
  <c r="C29" i="8"/>
  <c r="D29" i="8"/>
  <c r="J48" i="8" s="1"/>
  <c r="C30" i="8"/>
  <c r="D30" i="8"/>
  <c r="C31" i="8"/>
  <c r="D31" i="8"/>
  <c r="C32" i="8"/>
  <c r="D32" i="8"/>
  <c r="D33" i="8"/>
  <c r="K49" i="8" s="1"/>
  <c r="C33" i="8"/>
  <c r="O42" i="8"/>
  <c r="L44" i="8"/>
  <c r="L42" i="8"/>
  <c r="J44" i="8"/>
  <c r="J42" i="8"/>
  <c r="H44" i="8"/>
  <c r="H42" i="8"/>
  <c r="L40" i="8"/>
  <c r="J40" i="8"/>
  <c r="Y27" i="8"/>
  <c r="Z27" i="8" s="1"/>
  <c r="AA27" i="8" s="1"/>
  <c r="AG44" i="8" s="1"/>
  <c r="AG45" i="8" s="1"/>
  <c r="Y28" i="8"/>
  <c r="Z28" i="8" s="1"/>
  <c r="AA28" i="8" s="1"/>
  <c r="Y29" i="8"/>
  <c r="Z29" i="8" s="1"/>
  <c r="AA29" i="8" s="1"/>
  <c r="AG46" i="8" s="1"/>
  <c r="AG47" i="8" s="1"/>
  <c r="Y30" i="8"/>
  <c r="Z30" i="8" s="1"/>
  <c r="AA30" i="8" s="1"/>
  <c r="Y26" i="8"/>
  <c r="Z26" i="8" s="1"/>
  <c r="AA26" i="8" s="1"/>
  <c r="U27" i="8"/>
  <c r="V27" i="8" s="1"/>
  <c r="AF44" i="8" s="1"/>
  <c r="AF45" i="8" s="1"/>
  <c r="U28" i="8"/>
  <c r="V28" i="8" s="1"/>
  <c r="U29" i="8"/>
  <c r="V29" i="8" s="1"/>
  <c r="U30" i="8"/>
  <c r="V30" i="8" s="1"/>
  <c r="U31" i="8"/>
  <c r="V31" i="8" s="1"/>
  <c r="U32" i="8"/>
  <c r="V32" i="8" s="1"/>
  <c r="U33" i="8"/>
  <c r="V33" i="8" s="1"/>
  <c r="V43" i="8" s="1"/>
  <c r="U26" i="8"/>
  <c r="V26" i="8" s="1"/>
  <c r="P27" i="8"/>
  <c r="Q27" i="8" s="1"/>
  <c r="AE44" i="8" s="1"/>
  <c r="AE45" i="8" s="1"/>
  <c r="P28" i="8"/>
  <c r="Q28" i="8" s="1"/>
  <c r="P29" i="8"/>
  <c r="Q29" i="8" s="1"/>
  <c r="P30" i="8"/>
  <c r="Q30" i="8" s="1"/>
  <c r="P26" i="8"/>
  <c r="Q26" i="8" s="1"/>
  <c r="N27" i="8"/>
  <c r="O27" i="8" s="1"/>
  <c r="AD44" i="8" s="1"/>
  <c r="AD45" i="8" s="1"/>
  <c r="N28" i="8"/>
  <c r="O28" i="8" s="1"/>
  <c r="N30" i="8"/>
  <c r="O30" i="8" s="1"/>
  <c r="N31" i="8"/>
  <c r="O31" i="8" s="1"/>
  <c r="N32" i="8"/>
  <c r="O32" i="8" s="1"/>
  <c r="N33" i="8"/>
  <c r="O33" i="8" s="1"/>
  <c r="N26" i="8"/>
  <c r="O26" i="8" s="1"/>
  <c r="L26" i="8"/>
  <c r="M26" i="8"/>
  <c r="AD26" i="8" s="1"/>
  <c r="L27" i="8"/>
  <c r="M27" i="8"/>
  <c r="AD27" i="8" s="1"/>
  <c r="L28" i="8"/>
  <c r="M28" i="8"/>
  <c r="AD28" i="8" s="1"/>
  <c r="L29" i="8"/>
  <c r="M29" i="8"/>
  <c r="AD29" i="8" s="1"/>
  <c r="L30" i="8"/>
  <c r="M30" i="8"/>
  <c r="AD30" i="8" s="1"/>
  <c r="L31" i="8"/>
  <c r="M31" i="8"/>
  <c r="AD31" i="8" s="1"/>
  <c r="L32" i="8"/>
  <c r="M32" i="8"/>
  <c r="AD32" i="8" s="1"/>
  <c r="M33" i="8"/>
  <c r="AD33" i="8" s="1"/>
  <c r="L33" i="8"/>
  <c r="E30" i="8"/>
  <c r="F30" i="8" s="1"/>
  <c r="H30" i="8" s="1"/>
  <c r="E31" i="8"/>
  <c r="F31" i="8" s="1"/>
  <c r="G31" i="8" s="1"/>
  <c r="E32" i="8"/>
  <c r="F32" i="8" s="1"/>
  <c r="G32" i="8" s="1"/>
  <c r="E33" i="8"/>
  <c r="F33" i="8" s="1"/>
  <c r="G33" i="8" s="1"/>
  <c r="E26" i="8"/>
  <c r="F26" i="8" s="1"/>
  <c r="H26" i="8" s="1"/>
  <c r="E27" i="8"/>
  <c r="F27" i="8" s="1"/>
  <c r="H27" i="8" s="1"/>
  <c r="E28" i="8"/>
  <c r="F28" i="8" s="1"/>
  <c r="H28" i="8" s="1"/>
  <c r="E29" i="8"/>
  <c r="F29" i="8" s="1"/>
  <c r="H29" i="8" s="1"/>
  <c r="AA16" i="5"/>
  <c r="AD16" i="5"/>
  <c r="AA17" i="5"/>
  <c r="AD17" i="5"/>
  <c r="AA18" i="5"/>
  <c r="AD18" i="5"/>
  <c r="AA19" i="5"/>
  <c r="AD19" i="5"/>
  <c r="AA29" i="5"/>
  <c r="H336" i="5" s="1"/>
  <c r="AD29" i="5"/>
  <c r="K336" i="5" s="1"/>
  <c r="AA30" i="5"/>
  <c r="AD30" i="5"/>
  <c r="AA48" i="5"/>
  <c r="AD48" i="5"/>
  <c r="AA49" i="5"/>
  <c r="AD49" i="5"/>
  <c r="AA50" i="5"/>
  <c r="AD50" i="5"/>
  <c r="AA61" i="5"/>
  <c r="AD61" i="5"/>
  <c r="AA66" i="5"/>
  <c r="AD66" i="5"/>
  <c r="AA85" i="5"/>
  <c r="AD85" i="5"/>
  <c r="AA91" i="5"/>
  <c r="AD91" i="5"/>
  <c r="F14" i="7"/>
  <c r="G14" i="7"/>
  <c r="G23" i="7"/>
  <c r="F44" i="7"/>
  <c r="G44" i="7"/>
  <c r="G61" i="7"/>
  <c r="G76" i="7"/>
  <c r="G101" i="7"/>
  <c r="F5" i="7" s="1"/>
  <c r="H101" i="7"/>
  <c r="G5" i="7" s="1"/>
  <c r="G108" i="7"/>
  <c r="H108" i="7"/>
  <c r="G118" i="7"/>
  <c r="F7" i="7" s="1"/>
  <c r="H118" i="7"/>
  <c r="G7" i="7" s="1"/>
  <c r="G125" i="7"/>
  <c r="F8" i="7" s="1"/>
  <c r="H125" i="7"/>
  <c r="G8" i="7" s="1"/>
  <c r="G132" i="7"/>
  <c r="F9" i="7" s="1"/>
  <c r="H132" i="7"/>
  <c r="G9" i="7" s="1"/>
  <c r="G140" i="7"/>
  <c r="F10" i="7" s="1"/>
  <c r="H140" i="7"/>
  <c r="G10" i="7" s="1"/>
  <c r="G147" i="7"/>
  <c r="F11" i="7" s="1"/>
  <c r="H147" i="7"/>
  <c r="G11" i="7" s="1"/>
  <c r="G160" i="7"/>
  <c r="F13" i="7" s="1"/>
  <c r="H160" i="7"/>
  <c r="G13" i="7" s="1"/>
  <c r="G168" i="7"/>
  <c r="F15" i="7" s="1"/>
  <c r="H168" i="7"/>
  <c r="G15" i="7" s="1"/>
  <c r="F22" i="7"/>
  <c r="G22" i="7"/>
  <c r="G218" i="7"/>
  <c r="F23" i="7" s="1"/>
  <c r="F24" i="7"/>
  <c r="G24" i="7"/>
  <c r="F25" i="7"/>
  <c r="G25" i="7"/>
  <c r="F26" i="7"/>
  <c r="F28" i="7"/>
  <c r="G28" i="7"/>
  <c r="G287" i="7"/>
  <c r="F49" i="7" s="1"/>
  <c r="H287" i="7"/>
  <c r="G49" i="7" s="1"/>
  <c r="G294" i="7"/>
  <c r="F50" i="7" s="1"/>
  <c r="H294" i="7"/>
  <c r="G50" i="7" s="1"/>
  <c r="G300" i="7"/>
  <c r="F51" i="7" s="1"/>
  <c r="H300" i="7"/>
  <c r="G51" i="7" s="1"/>
  <c r="F57" i="7"/>
  <c r="G57" i="7"/>
  <c r="G360" i="7"/>
  <c r="F60" i="7" s="1"/>
  <c r="H360" i="7"/>
  <c r="G60" i="7" s="1"/>
  <c r="G363" i="7"/>
  <c r="G364" i="7"/>
  <c r="Q366" i="7"/>
  <c r="G367" i="7"/>
  <c r="H368" i="7"/>
  <c r="H367" i="7" s="1"/>
  <c r="G375" i="7"/>
  <c r="F61" i="7" s="1"/>
  <c r="H382" i="7"/>
  <c r="H409" i="7"/>
  <c r="O407" i="7"/>
  <c r="P407" i="7"/>
  <c r="G451" i="7"/>
  <c r="O428" i="7" s="1"/>
  <c r="H451" i="7"/>
  <c r="P428" i="7" s="1"/>
  <c r="G458" i="7"/>
  <c r="O429" i="7" s="1"/>
  <c r="H458" i="7"/>
  <c r="P429" i="7" s="1"/>
  <c r="G479" i="7"/>
  <c r="O432" i="7" s="1"/>
  <c r="H479" i="7"/>
  <c r="P432" i="7" s="1"/>
  <c r="G498" i="7"/>
  <c r="F34" i="7" s="1"/>
  <c r="H498" i="7"/>
  <c r="G34" i="7" s="1"/>
  <c r="F35" i="7"/>
  <c r="G35" i="7"/>
  <c r="G512" i="7"/>
  <c r="H512" i="7"/>
  <c r="G519" i="7"/>
  <c r="F37" i="7" s="1"/>
  <c r="H519" i="7"/>
  <c r="G526" i="7"/>
  <c r="F39" i="7" s="1"/>
  <c r="H526" i="7"/>
  <c r="G39" i="7" s="1"/>
  <c r="G533" i="7"/>
  <c r="F40" i="7" s="1"/>
  <c r="H533" i="7"/>
  <c r="G40" i="7" s="1"/>
  <c r="Q542" i="7"/>
  <c r="G544" i="7"/>
  <c r="G540" i="7" s="1"/>
  <c r="F41" i="7" s="1"/>
  <c r="H544" i="7"/>
  <c r="H540" i="7" s="1"/>
  <c r="G41" i="7" s="1"/>
  <c r="G547" i="7"/>
  <c r="H547" i="7"/>
  <c r="R546" i="7"/>
  <c r="G560" i="7"/>
  <c r="F42" i="7" s="1"/>
  <c r="H560" i="7"/>
  <c r="G42" i="7" s="1"/>
  <c r="G567" i="7"/>
  <c r="F43" i="7" s="1"/>
  <c r="H567" i="7"/>
  <c r="G43" i="7" s="1"/>
  <c r="G618" i="7"/>
  <c r="F89" i="7" s="1"/>
  <c r="H618" i="7"/>
  <c r="G89" i="7" s="1"/>
  <c r="G625" i="7"/>
  <c r="F90" i="7" s="1"/>
  <c r="H625" i="7"/>
  <c r="G90" i="7" s="1"/>
  <c r="G638" i="7"/>
  <c r="F86" i="7" s="1"/>
  <c r="H638" i="7"/>
  <c r="G86" i="7" s="1"/>
  <c r="F85" i="7"/>
  <c r="R367" i="7"/>
  <c r="F79" i="7"/>
  <c r="G79" i="7"/>
  <c r="F78" i="7"/>
  <c r="G78" i="7"/>
  <c r="F75" i="7"/>
  <c r="G75" i="7"/>
  <c r="F77" i="7"/>
  <c r="G77" i="7"/>
  <c r="G738" i="7"/>
  <c r="F76" i="7" s="1"/>
  <c r="G759" i="7"/>
  <c r="G766" i="7"/>
  <c r="G810" i="7"/>
  <c r="G669" i="7"/>
  <c r="H669" i="7"/>
  <c r="I669" i="7"/>
  <c r="G676" i="7"/>
  <c r="H676" i="7"/>
  <c r="I676" i="7"/>
  <c r="G882" i="7"/>
  <c r="N70" i="5"/>
  <c r="F743" i="5"/>
  <c r="F742" i="5"/>
  <c r="F741" i="5"/>
  <c r="G740" i="5"/>
  <c r="F739" i="5"/>
  <c r="F738" i="5"/>
  <c r="F737" i="5"/>
  <c r="G736" i="5"/>
  <c r="F735" i="5"/>
  <c r="F734" i="5"/>
  <c r="F733" i="5"/>
  <c r="G732" i="5"/>
  <c r="F727" i="5"/>
  <c r="F724" i="5"/>
  <c r="F723" i="5"/>
  <c r="F722" i="5"/>
  <c r="F721" i="5"/>
  <c r="F720" i="5"/>
  <c r="F719" i="5"/>
  <c r="F718" i="5"/>
  <c r="F717" i="5"/>
  <c r="F716" i="5"/>
  <c r="F715" i="5"/>
  <c r="G714" i="5"/>
  <c r="L580" i="5"/>
  <c r="AS579" i="5"/>
  <c r="X579" i="5"/>
  <c r="AS578" i="5"/>
  <c r="X578" i="5"/>
  <c r="AG575" i="5"/>
  <c r="AS567" i="5"/>
  <c r="AG567" i="5"/>
  <c r="Z567" i="5"/>
  <c r="E567" i="5"/>
  <c r="E566" i="5"/>
  <c r="AS565" i="5"/>
  <c r="AG565" i="5"/>
  <c r="Z565" i="5"/>
  <c r="E565" i="5"/>
  <c r="L555" i="5"/>
  <c r="G554" i="5"/>
  <c r="G602" i="5" s="1"/>
  <c r="G553" i="5"/>
  <c r="G601" i="5" s="1"/>
  <c r="L551" i="5"/>
  <c r="AT531" i="5"/>
  <c r="AG531" i="5"/>
  <c r="Z531" i="5"/>
  <c r="AT524" i="5"/>
  <c r="AG524" i="5"/>
  <c r="Z524" i="5"/>
  <c r="Q523" i="5"/>
  <c r="AT520" i="5"/>
  <c r="AG520" i="5"/>
  <c r="Z520" i="5"/>
  <c r="AT519" i="5"/>
  <c r="AG519" i="5"/>
  <c r="Q517" i="5"/>
  <c r="I517" i="5"/>
  <c r="AG445" i="5"/>
  <c r="Z445" i="5"/>
  <c r="AG424" i="5"/>
  <c r="Z424" i="5"/>
  <c r="T423" i="5"/>
  <c r="Q423" i="5"/>
  <c r="T422" i="5"/>
  <c r="Q422" i="5"/>
  <c r="I422" i="5"/>
  <c r="AT420" i="5"/>
  <c r="AG420" i="5"/>
  <c r="Z420" i="5"/>
  <c r="AT396" i="5"/>
  <c r="AG396" i="5"/>
  <c r="Z396" i="5"/>
  <c r="AT374" i="5"/>
  <c r="AG374" i="5"/>
  <c r="Z374" i="5"/>
  <c r="AT343" i="5"/>
  <c r="AG343" i="5"/>
  <c r="Z343" i="5"/>
  <c r="AT338" i="5"/>
  <c r="AG338" i="5"/>
  <c r="Z338" i="5"/>
  <c r="AT333" i="5"/>
  <c r="AG333" i="5"/>
  <c r="Z333" i="5"/>
  <c r="AT306" i="5"/>
  <c r="AG306" i="5"/>
  <c r="Z306" i="5"/>
  <c r="AT300" i="5"/>
  <c r="AG300" i="5"/>
  <c r="Z300" i="5"/>
  <c r="AT295" i="5"/>
  <c r="AG295" i="5"/>
  <c r="Z295" i="5"/>
  <c r="G420" i="5"/>
  <c r="F164" i="5" s="1"/>
  <c r="G130" i="5"/>
  <c r="G129" i="5"/>
  <c r="G128" i="5"/>
  <c r="G127" i="5"/>
  <c r="G126" i="5"/>
  <c r="G125" i="5"/>
  <c r="G124" i="5"/>
  <c r="G123" i="5"/>
  <c r="AF122" i="5"/>
  <c r="G396" i="5" s="1"/>
  <c r="G122" i="5"/>
  <c r="G315" i="5" s="1"/>
  <c r="G121" i="5"/>
  <c r="G120" i="5"/>
  <c r="G313" i="5" s="1"/>
  <c r="G119" i="5"/>
  <c r="G118" i="5"/>
  <c r="F188" i="5" s="1"/>
  <c r="S124" i="5"/>
  <c r="S122" i="5" s="1"/>
  <c r="S121" i="5" s="1"/>
  <c r="U121" i="5" s="1"/>
  <c r="G117" i="5"/>
  <c r="G116" i="5"/>
  <c r="F163" i="5"/>
  <c r="E235" i="11" s="1"/>
  <c r="G115" i="5"/>
  <c r="G114" i="5"/>
  <c r="F75" i="5"/>
  <c r="R10" i="5" s="1"/>
  <c r="F60" i="5"/>
  <c r="N77" i="5"/>
  <c r="N74" i="5"/>
  <c r="O92" i="5" s="1"/>
  <c r="F58" i="5"/>
  <c r="F48" i="5"/>
  <c r="F50" i="5" s="1"/>
  <c r="E575" i="5" s="1"/>
  <c r="G575" i="5" s="1"/>
  <c r="X575" i="5" s="1"/>
  <c r="N36" i="5"/>
  <c r="P39" i="5"/>
  <c r="O59" i="5" s="1"/>
  <c r="F13" i="5"/>
  <c r="R11" i="5"/>
  <c r="M20" i="4"/>
  <c r="N20" i="4"/>
  <c r="O20" i="4"/>
  <c r="M21" i="4"/>
  <c r="P21" i="4" s="1"/>
  <c r="N21" i="4"/>
  <c r="O21" i="4"/>
  <c r="M22" i="4"/>
  <c r="N22" i="4"/>
  <c r="P22" i="4" s="1"/>
  <c r="O22" i="4"/>
  <c r="M34" i="4"/>
  <c r="N34" i="4"/>
  <c r="O34" i="4"/>
  <c r="M35" i="4"/>
  <c r="P35" i="4" s="1"/>
  <c r="N35" i="4"/>
  <c r="O35" i="4"/>
  <c r="M36" i="4"/>
  <c r="N36" i="4"/>
  <c r="O36" i="4"/>
  <c r="M40" i="4"/>
  <c r="N40" i="4"/>
  <c r="O40" i="4"/>
  <c r="M42" i="4"/>
  <c r="N42" i="4"/>
  <c r="O42" i="4"/>
  <c r="M43" i="4"/>
  <c r="N43" i="4"/>
  <c r="O43" i="4"/>
  <c r="N51" i="4"/>
  <c r="O51" i="4"/>
  <c r="M52" i="4"/>
  <c r="N52" i="4"/>
  <c r="O52" i="4"/>
  <c r="M55" i="4"/>
  <c r="N55" i="4"/>
  <c r="O55" i="4"/>
  <c r="H20" i="4"/>
  <c r="I20" i="4"/>
  <c r="J20" i="4"/>
  <c r="H21" i="4"/>
  <c r="I21" i="4"/>
  <c r="J21" i="4"/>
  <c r="H22" i="4"/>
  <c r="I22" i="4"/>
  <c r="J22" i="4"/>
  <c r="H34" i="4"/>
  <c r="I34" i="4"/>
  <c r="J34" i="4"/>
  <c r="H35" i="4"/>
  <c r="I35" i="4"/>
  <c r="J35" i="4"/>
  <c r="H36" i="4"/>
  <c r="I36" i="4"/>
  <c r="J36" i="4"/>
  <c r="H40" i="4"/>
  <c r="I40" i="4"/>
  <c r="J40" i="4"/>
  <c r="H42" i="4"/>
  <c r="I42" i="4"/>
  <c r="J42" i="4"/>
  <c r="H43" i="4"/>
  <c r="I43" i="4"/>
  <c r="J43" i="4"/>
  <c r="I51" i="4"/>
  <c r="J51" i="4"/>
  <c r="H52" i="4"/>
  <c r="I52" i="4"/>
  <c r="J52" i="4"/>
  <c r="A14" i="4"/>
  <c r="A15" i="4"/>
  <c r="A16" i="4"/>
  <c r="A17" i="4"/>
  <c r="A18" i="4"/>
  <c r="A19" i="4"/>
  <c r="A20" i="4"/>
  <c r="A21" i="4"/>
  <c r="A22" i="4"/>
  <c r="A27" i="4"/>
  <c r="A33" i="4"/>
  <c r="A34" i="4"/>
  <c r="A35" i="4"/>
  <c r="A36" i="4"/>
  <c r="A40" i="4"/>
  <c r="A42" i="4"/>
  <c r="A43" i="4"/>
  <c r="A48" i="4"/>
  <c r="A52" i="4"/>
  <c r="D12" i="4"/>
  <c r="E12" i="4"/>
  <c r="F12" i="4"/>
  <c r="D13" i="4"/>
  <c r="E13" i="4"/>
  <c r="F13" i="4"/>
  <c r="D45" i="4"/>
  <c r="E44" i="4"/>
  <c r="F39" i="4"/>
  <c r="D31" i="4"/>
  <c r="D30" i="4"/>
  <c r="E30" i="4"/>
  <c r="F30" i="4"/>
  <c r="D23" i="4"/>
  <c r="E23" i="4"/>
  <c r="F23" i="4"/>
  <c r="D54" i="4"/>
  <c r="E53" i="4"/>
  <c r="F53" i="4"/>
  <c r="D24" i="4"/>
  <c r="E24" i="4"/>
  <c r="F24" i="4"/>
  <c r="D28" i="4"/>
  <c r="E28" i="4"/>
  <c r="F28" i="4"/>
  <c r="D29" i="4"/>
  <c r="E29" i="4"/>
  <c r="F29" i="4"/>
  <c r="D32" i="4"/>
  <c r="E32" i="4"/>
  <c r="F32" i="4"/>
  <c r="T6" i="4"/>
  <c r="X6" i="4"/>
  <c r="G90" i="4"/>
  <c r="T8" i="4"/>
  <c r="X8" i="4"/>
  <c r="G112" i="4"/>
  <c r="T9" i="4" s="1"/>
  <c r="I112" i="4"/>
  <c r="X9" i="4" s="1"/>
  <c r="R6" i="4"/>
  <c r="A6" i="4" s="1"/>
  <c r="S6" i="4"/>
  <c r="U6" i="4"/>
  <c r="W6" i="4"/>
  <c r="Y6" i="4"/>
  <c r="R7" i="4"/>
  <c r="A7" i="4" s="1"/>
  <c r="S7" i="4"/>
  <c r="U7" i="4"/>
  <c r="W7" i="4"/>
  <c r="X7" i="4"/>
  <c r="Y7" i="4"/>
  <c r="G115" i="4"/>
  <c r="U9" i="4" s="1"/>
  <c r="I115" i="4"/>
  <c r="Y9" i="4" s="1"/>
  <c r="R8" i="4"/>
  <c r="A8" i="4" s="1"/>
  <c r="S8" i="4"/>
  <c r="U8" i="4"/>
  <c r="W8" i="4"/>
  <c r="Y8" i="4"/>
  <c r="R9" i="4"/>
  <c r="A9" i="4" s="1"/>
  <c r="S9" i="4"/>
  <c r="W9" i="4"/>
  <c r="R10" i="4"/>
  <c r="A10" i="4" s="1"/>
  <c r="S10" i="4"/>
  <c r="W10" i="4"/>
  <c r="R11" i="4"/>
  <c r="A11" i="4" s="1"/>
  <c r="S11" i="4"/>
  <c r="W11" i="4"/>
  <c r="R12" i="4"/>
  <c r="A12" i="4" s="1"/>
  <c r="S12" i="4"/>
  <c r="W12" i="4"/>
  <c r="R13" i="4"/>
  <c r="A13" i="4" s="1"/>
  <c r="S13" i="4"/>
  <c r="W13" i="4"/>
  <c r="S15" i="4"/>
  <c r="W15" i="4"/>
  <c r="G123" i="4"/>
  <c r="T10" i="4" s="1"/>
  <c r="I123" i="4"/>
  <c r="X10" i="4" s="1"/>
  <c r="G126" i="4"/>
  <c r="U10" i="4" s="1"/>
  <c r="I126" i="4"/>
  <c r="Y10" i="4" s="1"/>
  <c r="S19" i="4"/>
  <c r="W19" i="4"/>
  <c r="R23" i="4"/>
  <c r="A23" i="4" s="1"/>
  <c r="S23" i="4"/>
  <c r="W23" i="4"/>
  <c r="R24" i="4"/>
  <c r="A24" i="4" s="1"/>
  <c r="S24" i="4"/>
  <c r="W24" i="4"/>
  <c r="X24" i="4"/>
  <c r="Y24" i="4"/>
  <c r="R25" i="4"/>
  <c r="A25" i="4" s="1"/>
  <c r="S25" i="4"/>
  <c r="W25" i="4"/>
  <c r="R26" i="4"/>
  <c r="A26" i="4" s="1"/>
  <c r="S26" i="4"/>
  <c r="W26" i="4"/>
  <c r="G134" i="4"/>
  <c r="T11" i="4" s="1"/>
  <c r="I134" i="4"/>
  <c r="X11" i="4" s="1"/>
  <c r="R28" i="4"/>
  <c r="A28" i="4" s="1"/>
  <c r="S28" i="4"/>
  <c r="T28" i="4"/>
  <c r="W28" i="4"/>
  <c r="R29" i="4"/>
  <c r="A29" i="4" s="1"/>
  <c r="S29" i="4"/>
  <c r="T29" i="4"/>
  <c r="W29" i="4"/>
  <c r="X29" i="4"/>
  <c r="G137" i="4"/>
  <c r="U11" i="4" s="1"/>
  <c r="I137" i="4"/>
  <c r="Y11" i="4" s="1"/>
  <c r="R30" i="4"/>
  <c r="A30" i="4" s="1"/>
  <c r="S30" i="4"/>
  <c r="T30" i="4"/>
  <c r="W30" i="4"/>
  <c r="X30" i="4"/>
  <c r="Y30" i="4"/>
  <c r="R31" i="4"/>
  <c r="A31" i="4" s="1"/>
  <c r="S31" i="4"/>
  <c r="W31" i="4"/>
  <c r="R32" i="4"/>
  <c r="A32" i="4" s="1"/>
  <c r="S32" i="4"/>
  <c r="W32" i="4"/>
  <c r="R37" i="4"/>
  <c r="A37" i="4" s="1"/>
  <c r="S37" i="4"/>
  <c r="W37" i="4"/>
  <c r="G145" i="4"/>
  <c r="T12" i="4" s="1"/>
  <c r="I145" i="4"/>
  <c r="X12" i="4" s="1"/>
  <c r="R38" i="4"/>
  <c r="A38" i="4" s="1"/>
  <c r="S38" i="4"/>
  <c r="W38" i="4"/>
  <c r="R39" i="4"/>
  <c r="A39" i="4" s="1"/>
  <c r="S39" i="4"/>
  <c r="W39" i="4"/>
  <c r="G148" i="4"/>
  <c r="U12" i="4" s="1"/>
  <c r="I148" i="4"/>
  <c r="Y12" i="4" s="1"/>
  <c r="R44" i="4"/>
  <c r="A44" i="4" s="1"/>
  <c r="S44" i="4"/>
  <c r="T44" i="4"/>
  <c r="U44" i="4"/>
  <c r="W44" i="4"/>
  <c r="X44" i="4"/>
  <c r="Y44" i="4"/>
  <c r="R45" i="4"/>
  <c r="A45" i="4" s="1"/>
  <c r="S45" i="4"/>
  <c r="W45" i="4"/>
  <c r="R46" i="4"/>
  <c r="A46" i="4" s="1"/>
  <c r="S46" i="4"/>
  <c r="W46" i="4"/>
  <c r="R47" i="4"/>
  <c r="A47" i="4" s="1"/>
  <c r="S47" i="4"/>
  <c r="W47" i="4"/>
  <c r="G156" i="4"/>
  <c r="T13" i="4" s="1"/>
  <c r="I156" i="4"/>
  <c r="X13" i="4" s="1"/>
  <c r="R53" i="4"/>
  <c r="A53" i="4" s="1"/>
  <c r="S53" i="4"/>
  <c r="W53" i="4"/>
  <c r="R54" i="4"/>
  <c r="A54" i="4" s="1"/>
  <c r="S54" i="4"/>
  <c r="W54" i="4"/>
  <c r="G161" i="4"/>
  <c r="U13" i="4" s="1"/>
  <c r="I161" i="4"/>
  <c r="Y13" i="4" s="1"/>
  <c r="G179" i="4"/>
  <c r="T15" i="4" s="1"/>
  <c r="I179" i="4"/>
  <c r="X15" i="4" s="1"/>
  <c r="G182" i="4"/>
  <c r="U15" i="4" s="1"/>
  <c r="I182" i="4"/>
  <c r="Y15" i="4" s="1"/>
  <c r="G189" i="4"/>
  <c r="T17" i="4" s="1"/>
  <c r="I189" i="4"/>
  <c r="X17" i="4" s="1"/>
  <c r="G192" i="4"/>
  <c r="U17" i="4" s="1"/>
  <c r="I192" i="4"/>
  <c r="Y17" i="4" s="1"/>
  <c r="G224" i="4"/>
  <c r="I224" i="4"/>
  <c r="G227" i="4"/>
  <c r="I227" i="4"/>
  <c r="G274" i="4"/>
  <c r="T37" i="4" s="1"/>
  <c r="I274" i="4"/>
  <c r="X37" i="4" s="1"/>
  <c r="G277" i="4"/>
  <c r="U37" i="4" s="1"/>
  <c r="I277" i="4"/>
  <c r="Y37" i="4" s="1"/>
  <c r="G284" i="4"/>
  <c r="T39" i="4" s="1"/>
  <c r="I284" i="4"/>
  <c r="X39" i="4" s="1"/>
  <c r="G287" i="4"/>
  <c r="U39" i="4" s="1"/>
  <c r="I287" i="4"/>
  <c r="Y39" i="4" s="1"/>
  <c r="G294" i="4"/>
  <c r="T38" i="4" s="1"/>
  <c r="I294" i="4"/>
  <c r="X38" i="4" s="1"/>
  <c r="G297" i="4"/>
  <c r="U38" i="4" s="1"/>
  <c r="I297" i="4"/>
  <c r="Y38" i="4" s="1"/>
  <c r="T45" i="4"/>
  <c r="X45" i="4"/>
  <c r="U45" i="4"/>
  <c r="Y45" i="4"/>
  <c r="T46" i="4"/>
  <c r="X47" i="4"/>
  <c r="G356" i="4"/>
  <c r="U46" i="4" s="1"/>
  <c r="I356" i="4"/>
  <c r="Y46" i="4" s="1"/>
  <c r="T47" i="4"/>
  <c r="G369" i="4"/>
  <c r="U47" i="4" s="1"/>
  <c r="I369" i="4"/>
  <c r="Y47" i="4" s="1"/>
  <c r="G421" i="4"/>
  <c r="T23" i="4" s="1"/>
  <c r="I421" i="4"/>
  <c r="X23" i="4" s="1"/>
  <c r="G424" i="4"/>
  <c r="U23" i="4" s="1"/>
  <c r="I424" i="4"/>
  <c r="Y23" i="4" s="1"/>
  <c r="H434" i="4"/>
  <c r="U24" i="4"/>
  <c r="G440" i="4"/>
  <c r="G434" i="4" s="1"/>
  <c r="T24" i="4" s="1"/>
  <c r="G441" i="4"/>
  <c r="G449" i="4"/>
  <c r="T25" i="4" s="1"/>
  <c r="I449" i="4"/>
  <c r="X25" i="4" s="1"/>
  <c r="G452" i="4"/>
  <c r="U25" i="4" s="1"/>
  <c r="I452" i="4"/>
  <c r="Y25" i="4" s="1"/>
  <c r="T26" i="4"/>
  <c r="X26" i="4"/>
  <c r="U26" i="4"/>
  <c r="Y26" i="4"/>
  <c r="X28" i="4"/>
  <c r="U28" i="4"/>
  <c r="Y28" i="4"/>
  <c r="U29" i="4"/>
  <c r="Y29" i="4"/>
  <c r="G495" i="4"/>
  <c r="U30" i="4" s="1"/>
  <c r="T31" i="4"/>
  <c r="X31" i="4"/>
  <c r="U31" i="4"/>
  <c r="Y31" i="4"/>
  <c r="T32" i="4"/>
  <c r="X32" i="4"/>
  <c r="U32" i="4"/>
  <c r="Y32" i="4"/>
  <c r="G548" i="4"/>
  <c r="T53" i="4" s="1"/>
  <c r="I548" i="4"/>
  <c r="X53" i="4" s="1"/>
  <c r="G551" i="4"/>
  <c r="U53" i="4" s="1"/>
  <c r="I551" i="4"/>
  <c r="Y53" i="4" s="1"/>
  <c r="G559" i="4"/>
  <c r="T54" i="4" s="1"/>
  <c r="I559" i="4"/>
  <c r="X54" i="4" s="1"/>
  <c r="G562" i="4"/>
  <c r="U54" i="4" s="1"/>
  <c r="I562" i="4"/>
  <c r="Y54" i="4" s="1"/>
  <c r="G714" i="4"/>
  <c r="T19" i="4" s="1"/>
  <c r="I714" i="4"/>
  <c r="X19" i="4" s="1"/>
  <c r="G717" i="4"/>
  <c r="U19" i="4" s="1"/>
  <c r="I717" i="4"/>
  <c r="Y19" i="4" s="1"/>
  <c r="G726" i="4"/>
  <c r="AE40" i="8" l="1"/>
  <c r="R23" i="8"/>
  <c r="AC23" i="8" s="1"/>
  <c r="AE23" i="8" s="1"/>
  <c r="AH40" i="8" s="1"/>
  <c r="AG41" i="8"/>
  <c r="AM40" i="8"/>
  <c r="R25" i="8"/>
  <c r="AE42" i="8"/>
  <c r="AE43" i="8" s="1"/>
  <c r="R24" i="8"/>
  <c r="AC24" i="8" s="1"/>
  <c r="AE24" i="8" s="1"/>
  <c r="U42" i="8"/>
  <c r="O51" i="5" s="1"/>
  <c r="R51" i="5" s="1"/>
  <c r="G526" i="5" s="1"/>
  <c r="AE46" i="8"/>
  <c r="AE47" i="8" s="1"/>
  <c r="U43" i="8"/>
  <c r="AF46" i="8"/>
  <c r="AF47" i="8" s="1"/>
  <c r="U41" i="8"/>
  <c r="O50" i="10" s="1"/>
  <c r="R50" i="10" s="1"/>
  <c r="G335" i="10" s="1"/>
  <c r="AD46" i="8"/>
  <c r="AD47" i="8" s="1"/>
  <c r="AJ40" i="8"/>
  <c r="AD41" i="8"/>
  <c r="X70" i="8"/>
  <c r="X71" i="8" s="1"/>
  <c r="AF41" i="8"/>
  <c r="AL40" i="8"/>
  <c r="P92" i="5"/>
  <c r="N92" i="5" s="1"/>
  <c r="G567" i="5"/>
  <c r="G190" i="5" s="1"/>
  <c r="H187" i="5" s="1"/>
  <c r="AK134" i="5"/>
  <c r="AG134" i="5"/>
  <c r="G407" i="5" s="1"/>
  <c r="AK133" i="5"/>
  <c r="AG133" i="5"/>
  <c r="G406" i="5" s="1"/>
  <c r="AK130" i="10"/>
  <c r="AG130" i="10"/>
  <c r="D256" i="10" s="1"/>
  <c r="G256" i="10" s="1"/>
  <c r="Q256" i="10" s="1"/>
  <c r="AG129" i="10"/>
  <c r="D255" i="10" s="1"/>
  <c r="G255" i="10" s="1"/>
  <c r="T255" i="10" s="1"/>
  <c r="AK129" i="10"/>
  <c r="AC25" i="8"/>
  <c r="AE25" i="8" s="1"/>
  <c r="AH42" i="8" s="1"/>
  <c r="AH43" i="8" s="1"/>
  <c r="U49" i="8"/>
  <c r="V49" i="8"/>
  <c r="AG11" i="12"/>
  <c r="K327" i="5"/>
  <c r="K371" i="5"/>
  <c r="H327" i="5"/>
  <c r="H371" i="5"/>
  <c r="I371" i="5" s="1"/>
  <c r="G317" i="5"/>
  <c r="G319" i="5"/>
  <c r="G307" i="5"/>
  <c r="G316" i="5"/>
  <c r="G311" i="5"/>
  <c r="G312" i="5"/>
  <c r="G324" i="5" s="1"/>
  <c r="L324" i="5" s="1"/>
  <c r="G308" i="5"/>
  <c r="G328" i="5" s="1"/>
  <c r="G330" i="5" s="1"/>
  <c r="G314" i="5"/>
  <c r="G322" i="5"/>
  <c r="G310" i="5"/>
  <c r="G309" i="5"/>
  <c r="G327" i="5" s="1"/>
  <c r="T12" i="5"/>
  <c r="V41" i="8"/>
  <c r="P50" i="10" s="1"/>
  <c r="S50" i="10" s="1"/>
  <c r="G342" i="10" s="1"/>
  <c r="O50" i="5"/>
  <c r="R50" i="5" s="1"/>
  <c r="G525" i="5" s="1"/>
  <c r="O39" i="5"/>
  <c r="P59" i="5" s="1"/>
  <c r="P61" i="5" s="1"/>
  <c r="O61" i="5"/>
  <c r="G320" i="5"/>
  <c r="F186" i="5"/>
  <c r="G568" i="5" s="1"/>
  <c r="G189" i="5" s="1"/>
  <c r="H186" i="5" s="1"/>
  <c r="V181" i="9"/>
  <c r="K598" i="5"/>
  <c r="K599" i="5"/>
  <c r="H599" i="5"/>
  <c r="H598" i="5"/>
  <c r="U181" i="9"/>
  <c r="K43" i="4"/>
  <c r="F159" i="5"/>
  <c r="E231" i="11" s="1"/>
  <c r="E275" i="11" s="1"/>
  <c r="Q361" i="7"/>
  <c r="G249" i="10"/>
  <c r="U13" i="12" s="1"/>
  <c r="AG13" i="12" s="1"/>
  <c r="F13" i="12" s="1"/>
  <c r="AG131" i="10"/>
  <c r="D257" i="10" s="1"/>
  <c r="AG132" i="10"/>
  <c r="D258" i="10" s="1"/>
  <c r="G247" i="10"/>
  <c r="U12" i="12" s="1"/>
  <c r="AG12" i="12" s="1"/>
  <c r="F12" i="12" s="1"/>
  <c r="K12" i="12" s="1"/>
  <c r="X11" i="9"/>
  <c r="O52" i="5"/>
  <c r="R52" i="5" s="1"/>
  <c r="G528" i="5" s="1"/>
  <c r="O52" i="10"/>
  <c r="R52" i="10" s="1"/>
  <c r="G338" i="10" s="1"/>
  <c r="P52" i="5"/>
  <c r="P52" i="10"/>
  <c r="S52" i="10" s="1"/>
  <c r="G345" i="10" s="1"/>
  <c r="P75" i="5"/>
  <c r="P77" i="5"/>
  <c r="E236" i="11"/>
  <c r="W274" i="11" s="1"/>
  <c r="G6" i="7"/>
  <c r="H195" i="7"/>
  <c r="H194" i="7" s="1"/>
  <c r="F6" i="7"/>
  <c r="G195" i="7"/>
  <c r="G194" i="7" s="1"/>
  <c r="P411" i="7"/>
  <c r="G71" i="7"/>
  <c r="O411" i="7"/>
  <c r="F71" i="7"/>
  <c r="G321" i="5"/>
  <c r="G326" i="5" s="1"/>
  <c r="I128" i="5"/>
  <c r="P40" i="4"/>
  <c r="P34" i="4"/>
  <c r="AD15" i="5"/>
  <c r="AD15" i="10"/>
  <c r="AD83" i="5"/>
  <c r="AC356" i="5" s="1"/>
  <c r="AD356" i="5" s="1"/>
  <c r="AD80" i="10"/>
  <c r="AC311" i="10" s="1"/>
  <c r="AD311" i="10" s="1"/>
  <c r="AA79" i="5"/>
  <c r="AA76" i="10"/>
  <c r="AA82" i="5"/>
  <c r="AH575" i="5" s="1"/>
  <c r="AI575" i="5" s="1"/>
  <c r="AA79" i="10"/>
  <c r="AH385" i="10" s="1"/>
  <c r="AI385" i="10" s="1"/>
  <c r="AL385" i="10" s="1"/>
  <c r="AN382" i="10" s="1"/>
  <c r="AA93" i="5"/>
  <c r="AA88" i="10"/>
  <c r="H388" i="10" s="1"/>
  <c r="I388" i="10" s="1"/>
  <c r="AA42" i="5"/>
  <c r="H421" i="5" s="1"/>
  <c r="AA40" i="10"/>
  <c r="H271" i="10" s="1"/>
  <c r="I271" i="10" s="1"/>
  <c r="J270" i="10" s="1"/>
  <c r="F446" i="10" s="1"/>
  <c r="AA37" i="5"/>
  <c r="AA35" i="10"/>
  <c r="H299" i="10" s="1"/>
  <c r="I299" i="10" s="1"/>
  <c r="AD53" i="5"/>
  <c r="K526" i="5" s="1"/>
  <c r="AD49" i="10"/>
  <c r="AD25" i="5"/>
  <c r="K360" i="5" s="1"/>
  <c r="L360" i="5" s="1"/>
  <c r="AD25" i="10"/>
  <c r="AA15" i="5"/>
  <c r="AA15" i="10"/>
  <c r="AA9" i="5"/>
  <c r="AA9" i="10"/>
  <c r="H321" i="10" s="1"/>
  <c r="I321" i="10" s="1"/>
  <c r="AA5" i="5"/>
  <c r="AA5" i="10"/>
  <c r="AD37" i="5"/>
  <c r="AD35" i="10"/>
  <c r="K299" i="10" s="1"/>
  <c r="L299" i="10" s="1"/>
  <c r="AA26" i="5"/>
  <c r="AA26" i="10"/>
  <c r="AA83" i="5"/>
  <c r="AA356" i="5" s="1"/>
  <c r="AB356" i="5" s="1"/>
  <c r="AA80" i="10"/>
  <c r="AA311" i="10" s="1"/>
  <c r="AB311" i="10" s="1"/>
  <c r="AD80" i="5"/>
  <c r="AD77" i="10"/>
  <c r="AD46" i="5"/>
  <c r="AD44" i="10"/>
  <c r="AA64" i="5"/>
  <c r="H298" i="5" s="1"/>
  <c r="AA60" i="10"/>
  <c r="P361" i="7"/>
  <c r="AA53" i="5"/>
  <c r="H526" i="5" s="1"/>
  <c r="AA49" i="10"/>
  <c r="AA25" i="5"/>
  <c r="AA25" i="10"/>
  <c r="AD13" i="5"/>
  <c r="AD13" i="10"/>
  <c r="AD8" i="5"/>
  <c r="K449" i="5" s="1"/>
  <c r="L449" i="5" s="1"/>
  <c r="AD8" i="10"/>
  <c r="K320" i="10" s="1"/>
  <c r="L320" i="10" s="1"/>
  <c r="AD79" i="5"/>
  <c r="AD76" i="10"/>
  <c r="AA54" i="5"/>
  <c r="AA50" i="10"/>
  <c r="AA80" i="5"/>
  <c r="AA77" i="10"/>
  <c r="AA89" i="5"/>
  <c r="AA84" i="10"/>
  <c r="AA46" i="5"/>
  <c r="AA44" i="10"/>
  <c r="AD44" i="5"/>
  <c r="K519" i="5" s="1"/>
  <c r="AD42" i="10"/>
  <c r="K329" i="10" s="1"/>
  <c r="L329" i="10" s="1"/>
  <c r="AA40" i="5"/>
  <c r="H319" i="5" s="1"/>
  <c r="AA38" i="10"/>
  <c r="AD63" i="5"/>
  <c r="K301" i="5" s="1"/>
  <c r="K304" i="5" s="1"/>
  <c r="AD59" i="10"/>
  <c r="AD52" i="5"/>
  <c r="K534" i="5" s="1"/>
  <c r="AD48" i="10"/>
  <c r="K322" i="10" s="1"/>
  <c r="L322" i="10" s="1"/>
  <c r="AD24" i="5"/>
  <c r="AD24" i="10"/>
  <c r="K207" i="10" s="1"/>
  <c r="L207" i="10" s="1"/>
  <c r="AA13" i="5"/>
  <c r="AA13" i="10"/>
  <c r="AA8" i="5"/>
  <c r="H449" i="5" s="1"/>
  <c r="I449" i="5" s="1"/>
  <c r="AA8" i="10"/>
  <c r="H320" i="10" s="1"/>
  <c r="I320" i="10" s="1"/>
  <c r="AD64" i="5"/>
  <c r="AD60" i="10"/>
  <c r="AD84" i="5"/>
  <c r="AD81" i="10"/>
  <c r="AD78" i="5"/>
  <c r="K550" i="5" s="1"/>
  <c r="AD75" i="10"/>
  <c r="K407" i="10" s="1"/>
  <c r="L407" i="10" s="1"/>
  <c r="AD90" i="5"/>
  <c r="AD85" i="10"/>
  <c r="AA44" i="5"/>
  <c r="AA42" i="10"/>
  <c r="H329" i="10" s="1"/>
  <c r="I329" i="10" s="1"/>
  <c r="AA63" i="5"/>
  <c r="H296" i="5" s="1"/>
  <c r="H299" i="5" s="1"/>
  <c r="AA59" i="10"/>
  <c r="AA52" i="5"/>
  <c r="H534" i="5" s="1"/>
  <c r="AA48" i="10"/>
  <c r="H322" i="10" s="1"/>
  <c r="I322" i="10" s="1"/>
  <c r="AA24" i="5"/>
  <c r="AA24" i="10"/>
  <c r="H207" i="10" s="1"/>
  <c r="I207" i="10" s="1"/>
  <c r="AD11" i="5"/>
  <c r="K520" i="5" s="1"/>
  <c r="AD11" i="10"/>
  <c r="K330" i="10" s="1"/>
  <c r="L330" i="10" s="1"/>
  <c r="AD7" i="5"/>
  <c r="K359" i="5" s="1"/>
  <c r="L359" i="5" s="1"/>
  <c r="AD7" i="10"/>
  <c r="AD47" i="5"/>
  <c r="AD45" i="10"/>
  <c r="AD82" i="5"/>
  <c r="AD79" i="10"/>
  <c r="AD5" i="5"/>
  <c r="AD5" i="10"/>
  <c r="AA84" i="5"/>
  <c r="AA81" i="10"/>
  <c r="AA78" i="5"/>
  <c r="H550" i="5" s="1"/>
  <c r="AA75" i="10"/>
  <c r="H407" i="10" s="1"/>
  <c r="I407" i="10" s="1"/>
  <c r="AA90" i="5"/>
  <c r="AA85" i="10"/>
  <c r="AD45" i="5"/>
  <c r="K355" i="5" s="1"/>
  <c r="L355" i="5" s="1"/>
  <c r="AD43" i="10"/>
  <c r="K309" i="10" s="1"/>
  <c r="L309" i="10" s="1"/>
  <c r="M308" i="10" s="1"/>
  <c r="H453" i="10" s="1"/>
  <c r="AD60" i="5"/>
  <c r="AD56" i="10"/>
  <c r="AD28" i="5"/>
  <c r="K335" i="5" s="1"/>
  <c r="AD28" i="10"/>
  <c r="AA23" i="5"/>
  <c r="AA23" i="10"/>
  <c r="AA11" i="5"/>
  <c r="H520" i="5" s="1"/>
  <c r="AA11" i="10"/>
  <c r="H330" i="10" s="1"/>
  <c r="I330" i="10" s="1"/>
  <c r="AA7" i="5"/>
  <c r="H359" i="5" s="1"/>
  <c r="I359" i="5" s="1"/>
  <c r="AA7" i="10"/>
  <c r="AA47" i="5"/>
  <c r="AA45" i="10"/>
  <c r="AD93" i="5"/>
  <c r="AD88" i="10"/>
  <c r="K388" i="10" s="1"/>
  <c r="L388" i="10" s="1"/>
  <c r="AA14" i="5"/>
  <c r="AA14" i="10"/>
  <c r="AD81" i="5"/>
  <c r="AD78" i="10"/>
  <c r="AD94" i="5"/>
  <c r="K579" i="5" s="1"/>
  <c r="L579" i="5" s="1"/>
  <c r="AD89" i="10"/>
  <c r="K389" i="10" s="1"/>
  <c r="L389" i="10" s="1"/>
  <c r="AA45" i="5"/>
  <c r="H355" i="5" s="1"/>
  <c r="I355" i="5" s="1"/>
  <c r="AA43" i="10"/>
  <c r="H309" i="10" s="1"/>
  <c r="AD43" i="5"/>
  <c r="K376" i="5" s="1"/>
  <c r="AD41" i="10"/>
  <c r="AD38" i="5"/>
  <c r="K322" i="5" s="1"/>
  <c r="AD36" i="10"/>
  <c r="AA60" i="5"/>
  <c r="AA56" i="10"/>
  <c r="AA28" i="5"/>
  <c r="H335" i="5" s="1"/>
  <c r="AA28" i="10"/>
  <c r="AD22" i="5"/>
  <c r="AD22" i="10"/>
  <c r="AD10" i="5"/>
  <c r="AD10" i="10"/>
  <c r="K201" i="10" s="1"/>
  <c r="AD6" i="5"/>
  <c r="K487" i="5" s="1"/>
  <c r="AD6" i="10"/>
  <c r="K236" i="10" s="1"/>
  <c r="L236" i="10" s="1"/>
  <c r="AD23" i="5"/>
  <c r="AD23" i="10"/>
  <c r="AD42" i="5"/>
  <c r="K421" i="5" s="1"/>
  <c r="AD40" i="10"/>
  <c r="K271" i="10" s="1"/>
  <c r="L271" i="10" s="1"/>
  <c r="M270" i="10" s="1"/>
  <c r="H446" i="10" s="1"/>
  <c r="AD9" i="5"/>
  <c r="K369" i="5" s="1"/>
  <c r="L369" i="5" s="1"/>
  <c r="AD9" i="10"/>
  <c r="K321" i="10" s="1"/>
  <c r="L321" i="10" s="1"/>
  <c r="AA81" i="5"/>
  <c r="AA78" i="10"/>
  <c r="AA94" i="5"/>
  <c r="H579" i="5" s="1"/>
  <c r="I579" i="5" s="1"/>
  <c r="AA89" i="10"/>
  <c r="H389" i="10" s="1"/>
  <c r="I389" i="10" s="1"/>
  <c r="AA43" i="5"/>
  <c r="H376" i="5" s="1"/>
  <c r="I376" i="5" s="1"/>
  <c r="AA41" i="10"/>
  <c r="AA38" i="5"/>
  <c r="H322" i="5" s="1"/>
  <c r="AA36" i="10"/>
  <c r="AD54" i="5"/>
  <c r="AD50" i="10"/>
  <c r="AA22" i="5"/>
  <c r="AA22" i="10"/>
  <c r="AA10" i="5"/>
  <c r="AA10" i="10"/>
  <c r="AA6" i="5"/>
  <c r="AA6" i="10"/>
  <c r="AD14" i="5"/>
  <c r="AD14" i="10"/>
  <c r="R368" i="7"/>
  <c r="Q27" i="2"/>
  <c r="AN76" i="5" s="1"/>
  <c r="Z408" i="7"/>
  <c r="D46" i="4"/>
  <c r="D50" i="4"/>
  <c r="P43" i="4"/>
  <c r="K21" i="4"/>
  <c r="P36" i="4"/>
  <c r="P52" i="4"/>
  <c r="P20" i="4"/>
  <c r="AL16" i="5" s="1"/>
  <c r="K34" i="4"/>
  <c r="P42" i="4"/>
  <c r="F47" i="4"/>
  <c r="J47" i="4" s="1"/>
  <c r="F50" i="4"/>
  <c r="I46" i="4"/>
  <c r="E50" i="4"/>
  <c r="E27" i="4"/>
  <c r="D27" i="4"/>
  <c r="K52" i="4"/>
  <c r="F27" i="4"/>
  <c r="F11" i="4"/>
  <c r="J11" i="4" s="1"/>
  <c r="F17" i="4"/>
  <c r="E16" i="4"/>
  <c r="N16" i="4" s="1"/>
  <c r="E17" i="4"/>
  <c r="K35" i="4"/>
  <c r="D16" i="4"/>
  <c r="M16" i="4" s="1"/>
  <c r="D17" i="4"/>
  <c r="K42" i="4"/>
  <c r="H157" i="7"/>
  <c r="H155" i="7" s="1"/>
  <c r="G12" i="7" s="1"/>
  <c r="P426" i="7"/>
  <c r="G70" i="7"/>
  <c r="O426" i="7"/>
  <c r="F70" i="7"/>
  <c r="G551" i="7"/>
  <c r="P408" i="7"/>
  <c r="H487" i="7"/>
  <c r="H486" i="7" s="1"/>
  <c r="G69" i="7" s="1"/>
  <c r="H473" i="7"/>
  <c r="H472" i="7" s="1"/>
  <c r="O408" i="7"/>
  <c r="G487" i="7"/>
  <c r="G486" i="7" s="1"/>
  <c r="F69" i="7" s="1"/>
  <c r="G473" i="7"/>
  <c r="G472" i="7" s="1"/>
  <c r="O412" i="7" s="1"/>
  <c r="V364" i="7"/>
  <c r="Q345" i="7"/>
  <c r="G85" i="7"/>
  <c r="G358" i="7"/>
  <c r="G357" i="7"/>
  <c r="H551" i="7"/>
  <c r="G157" i="7"/>
  <c r="G155" i="7" s="1"/>
  <c r="F12" i="7" s="1"/>
  <c r="AG131" i="5"/>
  <c r="G404" i="5" s="1"/>
  <c r="AG125" i="5"/>
  <c r="AG132" i="5"/>
  <c r="G405" i="5" s="1"/>
  <c r="AG139" i="5"/>
  <c r="AG141" i="5"/>
  <c r="AG127" i="5"/>
  <c r="AG130" i="5"/>
  <c r="G403" i="5" s="1"/>
  <c r="AG126" i="5"/>
  <c r="G399" i="5" s="1"/>
  <c r="AG128" i="5"/>
  <c r="G401" i="5" s="1"/>
  <c r="AG129" i="5"/>
  <c r="G402" i="5" s="1"/>
  <c r="AG140" i="5"/>
  <c r="AG142" i="5"/>
  <c r="K66" i="9"/>
  <c r="G73" i="9" s="1"/>
  <c r="S432" i="7"/>
  <c r="R54" i="5"/>
  <c r="R57" i="5"/>
  <c r="R27" i="8"/>
  <c r="AC27" i="8" s="1"/>
  <c r="AE27" i="8" s="1"/>
  <c r="AH44" i="8" s="1"/>
  <c r="AH45" i="8" s="1"/>
  <c r="U46" i="8"/>
  <c r="V46" i="8"/>
  <c r="P50" i="5"/>
  <c r="R30" i="8"/>
  <c r="AC30" i="8" s="1"/>
  <c r="AE30" i="8" s="1"/>
  <c r="R29" i="8"/>
  <c r="AC29" i="8" s="1"/>
  <c r="AE29" i="8" s="1"/>
  <c r="R28" i="8"/>
  <c r="AC28" i="8" s="1"/>
  <c r="AE28" i="8" s="1"/>
  <c r="R26" i="8"/>
  <c r="AC26" i="8" s="1"/>
  <c r="AE26" i="8" s="1"/>
  <c r="Y31" i="8"/>
  <c r="Z31" i="8" s="1"/>
  <c r="AA31" i="8" s="1"/>
  <c r="P31" i="8"/>
  <c r="Q31" i="8" s="1"/>
  <c r="R31" i="8" s="1"/>
  <c r="Y32" i="8"/>
  <c r="Z32" i="8" s="1"/>
  <c r="AA32" i="8" s="1"/>
  <c r="P32" i="8"/>
  <c r="Q32" i="8" s="1"/>
  <c r="R32" i="8" s="1"/>
  <c r="P33" i="8"/>
  <c r="Q33" i="8" s="1"/>
  <c r="Y33" i="8"/>
  <c r="Z33" i="8" s="1"/>
  <c r="AA33" i="8" s="1"/>
  <c r="T432" i="7"/>
  <c r="D25" i="4"/>
  <c r="H25" i="4" s="1"/>
  <c r="P430" i="7"/>
  <c r="P410" i="7"/>
  <c r="Q367" i="7"/>
  <c r="P345" i="7"/>
  <c r="P349" i="7" s="1"/>
  <c r="G36" i="7"/>
  <c r="G27" i="7"/>
  <c r="G21" i="7"/>
  <c r="O430" i="7"/>
  <c r="P413" i="7"/>
  <c r="T413" i="7" s="1"/>
  <c r="O410" i="7"/>
  <c r="P409" i="7"/>
  <c r="G62" i="7"/>
  <c r="F36" i="7"/>
  <c r="F27" i="7"/>
  <c r="F21" i="7"/>
  <c r="O413" i="7"/>
  <c r="S413" i="7" s="1"/>
  <c r="O409" i="7"/>
  <c r="G356" i="7"/>
  <c r="F62" i="7"/>
  <c r="P427" i="7"/>
  <c r="G355" i="7"/>
  <c r="O427" i="7"/>
  <c r="G354" i="7"/>
  <c r="V365" i="7" s="1"/>
  <c r="G37" i="7"/>
  <c r="G26" i="7"/>
  <c r="P360" i="7"/>
  <c r="F61" i="5"/>
  <c r="N32" i="4"/>
  <c r="N28" i="4"/>
  <c r="D47" i="4"/>
  <c r="M47" i="4" s="1"/>
  <c r="M32" i="4"/>
  <c r="N23" i="4"/>
  <c r="X445" i="5"/>
  <c r="E47" i="4"/>
  <c r="I47" i="4" s="1"/>
  <c r="E39" i="4"/>
  <c r="N39" i="4" s="1"/>
  <c r="M29" i="4"/>
  <c r="E15" i="4"/>
  <c r="N15" i="4" s="1"/>
  <c r="E11" i="4"/>
  <c r="N11" i="4" s="1"/>
  <c r="X420" i="5"/>
  <c r="Q420" i="5"/>
  <c r="G421" i="5"/>
  <c r="I420" i="5"/>
  <c r="X343" i="5"/>
  <c r="Q424" i="5"/>
  <c r="I424" i="5"/>
  <c r="X424" i="5"/>
  <c r="I445" i="5"/>
  <c r="Q445" i="5"/>
  <c r="H31" i="4"/>
  <c r="M31" i="4"/>
  <c r="H28" i="4"/>
  <c r="M28" i="4"/>
  <c r="I33" i="4"/>
  <c r="N33" i="4"/>
  <c r="I12" i="4"/>
  <c r="N12" i="4"/>
  <c r="O29" i="4"/>
  <c r="J29" i="4"/>
  <c r="O24" i="4"/>
  <c r="J24" i="4"/>
  <c r="N29" i="4"/>
  <c r="I29" i="4"/>
  <c r="N24" i="4"/>
  <c r="I24" i="4"/>
  <c r="O53" i="4"/>
  <c r="J53" i="4"/>
  <c r="J30" i="4"/>
  <c r="O30" i="4"/>
  <c r="O39" i="4"/>
  <c r="J39" i="4"/>
  <c r="O13" i="4"/>
  <c r="J13" i="4"/>
  <c r="M24" i="4"/>
  <c r="H24" i="4"/>
  <c r="N53" i="4"/>
  <c r="I53" i="4"/>
  <c r="I30" i="4"/>
  <c r="N30" i="4"/>
  <c r="N44" i="4"/>
  <c r="I44" i="4"/>
  <c r="N13" i="4"/>
  <c r="I13" i="4"/>
  <c r="M54" i="4"/>
  <c r="H54" i="4"/>
  <c r="M30" i="4"/>
  <c r="H30" i="4"/>
  <c r="H45" i="4"/>
  <c r="M45" i="4"/>
  <c r="M13" i="4"/>
  <c r="H13" i="4"/>
  <c r="O28" i="4"/>
  <c r="J28" i="4"/>
  <c r="H23" i="4"/>
  <c r="M23" i="4"/>
  <c r="H12" i="4"/>
  <c r="M12" i="4"/>
  <c r="O32" i="4"/>
  <c r="J32" i="4"/>
  <c r="O23" i="4"/>
  <c r="J23" i="4"/>
  <c r="O33" i="4"/>
  <c r="J33" i="4"/>
  <c r="O47" i="4"/>
  <c r="O12" i="4"/>
  <c r="J12" i="4"/>
  <c r="D10" i="4"/>
  <c r="D19" i="4"/>
  <c r="D53" i="4"/>
  <c r="F38" i="4"/>
  <c r="F31" i="4"/>
  <c r="F26" i="4"/>
  <c r="F19" i="4"/>
  <c r="F14" i="4"/>
  <c r="F10" i="4"/>
  <c r="K22" i="4"/>
  <c r="D11" i="4"/>
  <c r="D37" i="4"/>
  <c r="E38" i="4"/>
  <c r="E31" i="4"/>
  <c r="E26" i="4"/>
  <c r="E19" i="4"/>
  <c r="E14" i="4"/>
  <c r="E10" i="4"/>
  <c r="I32" i="4"/>
  <c r="D18" i="4"/>
  <c r="D38" i="4"/>
  <c r="F54" i="4"/>
  <c r="F45" i="4"/>
  <c r="F37" i="4"/>
  <c r="F25" i="4"/>
  <c r="F18" i="4"/>
  <c r="F9" i="4"/>
  <c r="K40" i="4"/>
  <c r="H32" i="4"/>
  <c r="D26" i="4"/>
  <c r="D39" i="4"/>
  <c r="E54" i="4"/>
  <c r="E45" i="4"/>
  <c r="E37" i="4"/>
  <c r="E25" i="4"/>
  <c r="E18" i="4"/>
  <c r="E9" i="4"/>
  <c r="H29" i="4"/>
  <c r="D14" i="4"/>
  <c r="D44" i="4"/>
  <c r="F44" i="4"/>
  <c r="F16" i="4"/>
  <c r="I23" i="4"/>
  <c r="D9" i="4"/>
  <c r="D15" i="4"/>
  <c r="K36" i="4"/>
  <c r="I28" i="4"/>
  <c r="K20" i="4"/>
  <c r="AI16" i="5" s="1"/>
  <c r="F15" i="4"/>
  <c r="G285" i="4"/>
  <c r="T7" i="4"/>
  <c r="X46" i="4"/>
  <c r="O51" i="10" l="1"/>
  <c r="R51" i="10" s="1"/>
  <c r="G336" i="10" s="1"/>
  <c r="U44" i="8"/>
  <c r="O53" i="10" s="1"/>
  <c r="R53" i="10" s="1"/>
  <c r="G337" i="10" s="1"/>
  <c r="AH46" i="8"/>
  <c r="AH47" i="8" s="1"/>
  <c r="AH41" i="8"/>
  <c r="AN40" i="8"/>
  <c r="AO40" i="8" s="1"/>
  <c r="AE41" i="8"/>
  <c r="AK40" i="8"/>
  <c r="L19" i="19"/>
  <c r="H357" i="5"/>
  <c r="I357" i="5" s="1"/>
  <c r="AR64" i="5"/>
  <c r="H519" i="5"/>
  <c r="AR65" i="5"/>
  <c r="AH356" i="5"/>
  <c r="AI356" i="5" s="1"/>
  <c r="AN356" i="5" s="1"/>
  <c r="AU356" i="5"/>
  <c r="AV356" i="5" s="1"/>
  <c r="N86" i="5"/>
  <c r="O91" i="5" s="1"/>
  <c r="N81" i="5"/>
  <c r="Q81" i="5" s="1"/>
  <c r="AW356" i="5"/>
  <c r="AX356" i="5" s="1"/>
  <c r="AJ356" i="5"/>
  <c r="AK356" i="5" s="1"/>
  <c r="AO356" i="5" s="1"/>
  <c r="G325" i="5"/>
  <c r="T256" i="10"/>
  <c r="Q255" i="10"/>
  <c r="I13" i="12"/>
  <c r="K13" i="12" s="1"/>
  <c r="P58" i="10"/>
  <c r="S58" i="10" s="1"/>
  <c r="P58" i="5"/>
  <c r="O58" i="10"/>
  <c r="R58" i="10" s="1"/>
  <c r="O58" i="5"/>
  <c r="R58" i="5" s="1"/>
  <c r="G524" i="5" s="1"/>
  <c r="F11" i="12"/>
  <c r="AG42" i="12"/>
  <c r="U42" i="12"/>
  <c r="L330" i="5"/>
  <c r="I319" i="5"/>
  <c r="F62" i="5"/>
  <c r="T76" i="21" s="1"/>
  <c r="F93" i="5"/>
  <c r="I322" i="5"/>
  <c r="L322" i="5"/>
  <c r="I14" i="12"/>
  <c r="K14" i="12" s="1"/>
  <c r="L327" i="5"/>
  <c r="I324" i="5"/>
  <c r="K390" i="5"/>
  <c r="L390" i="5" s="1"/>
  <c r="K357" i="5"/>
  <c r="L357" i="5" s="1"/>
  <c r="K337" i="5"/>
  <c r="K358" i="5"/>
  <c r="L358" i="5" s="1"/>
  <c r="K364" i="5"/>
  <c r="L364" i="5" s="1"/>
  <c r="K363" i="5"/>
  <c r="L363" i="5" s="1"/>
  <c r="K361" i="5"/>
  <c r="L361" i="5" s="1"/>
  <c r="H506" i="5"/>
  <c r="I506" i="5" s="1"/>
  <c r="H489" i="5"/>
  <c r="I489" i="5" s="1"/>
  <c r="H373" i="5"/>
  <c r="I373" i="5" s="1"/>
  <c r="H496" i="5"/>
  <c r="I496" i="5" s="1"/>
  <c r="H456" i="5"/>
  <c r="I456" i="5" s="1"/>
  <c r="H480" i="5"/>
  <c r="I480" i="5" s="1"/>
  <c r="K312" i="5"/>
  <c r="L312" i="5" s="1"/>
  <c r="K370" i="5"/>
  <c r="L370" i="5" s="1"/>
  <c r="K506" i="5"/>
  <c r="L506" i="5" s="1"/>
  <c r="K489" i="5"/>
  <c r="L489" i="5" s="1"/>
  <c r="K496" i="5"/>
  <c r="L496" i="5" s="1"/>
  <c r="K456" i="5"/>
  <c r="L456" i="5" s="1"/>
  <c r="K480" i="5"/>
  <c r="L480" i="5" s="1"/>
  <c r="K373" i="5"/>
  <c r="L373" i="5" s="1"/>
  <c r="AG181" i="9"/>
  <c r="AG185" i="9" s="1"/>
  <c r="V189" i="9"/>
  <c r="V190" i="9" s="1"/>
  <c r="AF181" i="9"/>
  <c r="AF185" i="9" s="1"/>
  <c r="U189" i="9"/>
  <c r="U190" i="9" s="1"/>
  <c r="H337" i="5"/>
  <c r="H358" i="5"/>
  <c r="I358" i="5" s="1"/>
  <c r="H364" i="5"/>
  <c r="I364" i="5" s="1"/>
  <c r="AA33" i="5"/>
  <c r="H431" i="5" s="1"/>
  <c r="I431" i="5" s="1"/>
  <c r="H360" i="5"/>
  <c r="I360" i="5" s="1"/>
  <c r="H502" i="5"/>
  <c r="I502" i="5" s="1"/>
  <c r="H362" i="5"/>
  <c r="I362" i="5" s="1"/>
  <c r="H363" i="5"/>
  <c r="I363" i="5" s="1"/>
  <c r="H361" i="5"/>
  <c r="I361" i="5" s="1"/>
  <c r="H525" i="5"/>
  <c r="H369" i="5"/>
  <c r="I369" i="5" s="1"/>
  <c r="H312" i="5"/>
  <c r="I312" i="5" s="1"/>
  <c r="H370" i="5"/>
  <c r="I370" i="5" s="1"/>
  <c r="T330" i="5"/>
  <c r="I327" i="5"/>
  <c r="Q330" i="5"/>
  <c r="I330" i="5"/>
  <c r="AU490" i="5"/>
  <c r="AV490" i="5" s="1"/>
  <c r="AH497" i="5"/>
  <c r="AI497" i="5" s="1"/>
  <c r="AU483" i="5"/>
  <c r="AV483" i="5" s="1"/>
  <c r="AH490" i="5"/>
  <c r="AI490" i="5" s="1"/>
  <c r="AU497" i="5"/>
  <c r="AV497" i="5" s="1"/>
  <c r="AH483" i="5"/>
  <c r="AI483" i="5" s="1"/>
  <c r="AC568" i="5"/>
  <c r="AC483" i="5"/>
  <c r="AD483" i="5" s="1"/>
  <c r="AC497" i="5"/>
  <c r="AD497" i="5" s="1"/>
  <c r="AC490" i="5"/>
  <c r="AD490" i="5" s="1"/>
  <c r="K311" i="5"/>
  <c r="L311" i="5" s="1"/>
  <c r="K567" i="5"/>
  <c r="L567" i="5" s="1"/>
  <c r="AW490" i="5"/>
  <c r="AX490" i="5" s="1"/>
  <c r="AJ497" i="5"/>
  <c r="AK497" i="5" s="1"/>
  <c r="AW483" i="5"/>
  <c r="AX483" i="5" s="1"/>
  <c r="AJ490" i="5"/>
  <c r="AK490" i="5" s="1"/>
  <c r="AJ483" i="5"/>
  <c r="AK483" i="5" s="1"/>
  <c r="AW497" i="5"/>
  <c r="AX497" i="5" s="1"/>
  <c r="F180" i="5"/>
  <c r="H311" i="5"/>
  <c r="I311" i="5" s="1"/>
  <c r="H567" i="5"/>
  <c r="I567" i="5" s="1"/>
  <c r="AA568" i="5"/>
  <c r="AA483" i="5"/>
  <c r="AB483" i="5" s="1"/>
  <c r="AA497" i="5"/>
  <c r="AB497" i="5" s="1"/>
  <c r="AA490" i="5"/>
  <c r="AB490" i="5" s="1"/>
  <c r="AH311" i="10"/>
  <c r="AI311" i="10" s="1"/>
  <c r="AN311" i="10" s="1"/>
  <c r="AU311" i="10"/>
  <c r="AV311" i="10" s="1"/>
  <c r="AW311" i="10"/>
  <c r="AX311" i="10" s="1"/>
  <c r="AJ311" i="10"/>
  <c r="AK311" i="10" s="1"/>
  <c r="AO311" i="10" s="1"/>
  <c r="K292" i="10"/>
  <c r="L292" i="10" s="1"/>
  <c r="K312" i="10"/>
  <c r="L312" i="10" s="1"/>
  <c r="H292" i="10"/>
  <c r="I292" i="10" s="1"/>
  <c r="H312" i="10"/>
  <c r="I312" i="10" s="1"/>
  <c r="H363" i="10"/>
  <c r="I363" i="10" s="1"/>
  <c r="H412" i="10"/>
  <c r="I412" i="10" s="1"/>
  <c r="H364" i="10"/>
  <c r="I364" i="10" s="1"/>
  <c r="H413" i="10"/>
  <c r="I413" i="10" s="1"/>
  <c r="K364" i="10"/>
  <c r="L364" i="10" s="1"/>
  <c r="K413" i="10"/>
  <c r="L413" i="10" s="1"/>
  <c r="K363" i="10"/>
  <c r="L363" i="10" s="1"/>
  <c r="K412" i="10"/>
  <c r="L412" i="10" s="1"/>
  <c r="H354" i="5"/>
  <c r="I354" i="5" s="1"/>
  <c r="H393" i="5"/>
  <c r="I393" i="5" s="1"/>
  <c r="K443" i="5"/>
  <c r="L443" i="5" s="1"/>
  <c r="K393" i="5"/>
  <c r="L393" i="5" s="1"/>
  <c r="K430" i="5"/>
  <c r="L430" i="5" s="1"/>
  <c r="K433" i="5"/>
  <c r="L433" i="5" s="1"/>
  <c r="K436" i="5"/>
  <c r="L436" i="5" s="1"/>
  <c r="AH300" i="5"/>
  <c r="AH568" i="5"/>
  <c r="AT568" i="5"/>
  <c r="K494" i="5"/>
  <c r="L494" i="5" s="1"/>
  <c r="L487" i="5"/>
  <c r="AD33" i="5"/>
  <c r="K493" i="5"/>
  <c r="L493" i="5" s="1"/>
  <c r="K475" i="5"/>
  <c r="L475" i="5" s="1"/>
  <c r="K486" i="5"/>
  <c r="L486" i="5" s="1"/>
  <c r="K469" i="5"/>
  <c r="L469" i="5" s="1"/>
  <c r="H494" i="5"/>
  <c r="I494" i="5" s="1"/>
  <c r="H487" i="5"/>
  <c r="I487" i="5" s="1"/>
  <c r="AW568" i="5"/>
  <c r="AJ568" i="5"/>
  <c r="K492" i="5"/>
  <c r="L492" i="5" s="1"/>
  <c r="K474" i="5"/>
  <c r="L474" i="5" s="1"/>
  <c r="K485" i="5"/>
  <c r="L485" i="5" s="1"/>
  <c r="K468" i="5"/>
  <c r="L468" i="5" s="1"/>
  <c r="AD32" i="5"/>
  <c r="K388" i="5" s="1"/>
  <c r="L388" i="5" s="1"/>
  <c r="K440" i="5"/>
  <c r="L440" i="5" s="1"/>
  <c r="K472" i="5"/>
  <c r="L472" i="5" s="1"/>
  <c r="K478" i="5"/>
  <c r="L478" i="5" s="1"/>
  <c r="H472" i="5"/>
  <c r="I472" i="5" s="1"/>
  <c r="H478" i="5"/>
  <c r="I478" i="5" s="1"/>
  <c r="X568" i="5"/>
  <c r="K239" i="10"/>
  <c r="L239" i="10" s="1"/>
  <c r="K242" i="10"/>
  <c r="L242" i="10" s="1"/>
  <c r="H319" i="10"/>
  <c r="I319" i="10" s="1"/>
  <c r="H236" i="10"/>
  <c r="I236" i="10" s="1"/>
  <c r="H237" i="10"/>
  <c r="I237" i="10" s="1"/>
  <c r="H241" i="10"/>
  <c r="I241" i="10" s="1"/>
  <c r="K241" i="10"/>
  <c r="L241" i="10" s="1"/>
  <c r="K237" i="10"/>
  <c r="L237" i="10" s="1"/>
  <c r="AD33" i="10"/>
  <c r="K298" i="10" s="1"/>
  <c r="L298" i="10" s="1"/>
  <c r="K206" i="10"/>
  <c r="L206" i="10" s="1"/>
  <c r="AD31" i="10"/>
  <c r="K297" i="10" s="1"/>
  <c r="L297" i="10" s="1"/>
  <c r="H239" i="10"/>
  <c r="I239" i="10" s="1"/>
  <c r="H242" i="10"/>
  <c r="I242" i="10" s="1"/>
  <c r="K283" i="10"/>
  <c r="L283" i="10" s="1"/>
  <c r="K235" i="10"/>
  <c r="L235" i="10" s="1"/>
  <c r="H318" i="10"/>
  <c r="I318" i="10" s="1"/>
  <c r="H205" i="10"/>
  <c r="I205" i="10" s="1"/>
  <c r="AA33" i="10"/>
  <c r="H298" i="10" s="1"/>
  <c r="I298" i="10" s="1"/>
  <c r="H206" i="10"/>
  <c r="I206" i="10" s="1"/>
  <c r="AA31" i="10"/>
  <c r="K318" i="10"/>
  <c r="L318" i="10" s="1"/>
  <c r="K205" i="10"/>
  <c r="L205" i="10" s="1"/>
  <c r="H203" i="10"/>
  <c r="I203" i="10" s="1"/>
  <c r="K203" i="10"/>
  <c r="L203" i="10" s="1"/>
  <c r="H255" i="10"/>
  <c r="I255" i="10" s="1"/>
  <c r="H324" i="10"/>
  <c r="I324" i="10" s="1"/>
  <c r="J316" i="10" s="1"/>
  <c r="K255" i="10"/>
  <c r="L255" i="10" s="1"/>
  <c r="K324" i="10"/>
  <c r="L324" i="10" s="1"/>
  <c r="H256" i="10"/>
  <c r="I256" i="10" s="1"/>
  <c r="H325" i="10"/>
  <c r="I325" i="10" s="1"/>
  <c r="K295" i="10"/>
  <c r="L295" i="10" s="1"/>
  <c r="K319" i="10"/>
  <c r="L319" i="10" s="1"/>
  <c r="K254" i="10"/>
  <c r="L254" i="10" s="1"/>
  <c r="K269" i="10"/>
  <c r="L269" i="10" s="1"/>
  <c r="K286" i="10"/>
  <c r="L286" i="10" s="1"/>
  <c r="AD32" i="10"/>
  <c r="K267" i="10"/>
  <c r="L267" i="10" s="1"/>
  <c r="K290" i="10"/>
  <c r="L290" i="10" s="1"/>
  <c r="H284" i="10"/>
  <c r="I284" i="10" s="1"/>
  <c r="H285" i="10"/>
  <c r="I285" i="10" s="1"/>
  <c r="H289" i="10"/>
  <c r="I289" i="10" s="1"/>
  <c r="K289" i="10"/>
  <c r="L289" i="10" s="1"/>
  <c r="K285" i="10"/>
  <c r="L285" i="10" s="1"/>
  <c r="K266" i="10"/>
  <c r="L266" i="10" s="1"/>
  <c r="AA32" i="10"/>
  <c r="H286" i="10"/>
  <c r="I286" i="10" s="1"/>
  <c r="H290" i="10"/>
  <c r="I290" i="10" s="1"/>
  <c r="H254" i="10"/>
  <c r="I254" i="10" s="1"/>
  <c r="H269" i="10"/>
  <c r="I269" i="10" s="1"/>
  <c r="K284" i="10"/>
  <c r="L284" i="10" s="1"/>
  <c r="K265" i="10"/>
  <c r="L265" i="10" s="1"/>
  <c r="H430" i="5"/>
  <c r="I430" i="5" s="1"/>
  <c r="H436" i="5"/>
  <c r="I436" i="5" s="1"/>
  <c r="H433" i="5"/>
  <c r="I433" i="5" s="1"/>
  <c r="H387" i="5"/>
  <c r="I387" i="5" s="1"/>
  <c r="H440" i="5"/>
  <c r="I440" i="5" s="1"/>
  <c r="AA32" i="5"/>
  <c r="K349" i="5"/>
  <c r="L349" i="5" s="1"/>
  <c r="K385" i="5"/>
  <c r="L385" i="5" s="1"/>
  <c r="K379" i="5"/>
  <c r="L379" i="5" s="1"/>
  <c r="K351" i="5"/>
  <c r="L351" i="5" s="1"/>
  <c r="K383" i="5"/>
  <c r="L383" i="5" s="1"/>
  <c r="K378" i="5"/>
  <c r="L378" i="5" s="1"/>
  <c r="H385" i="5"/>
  <c r="I385" i="5" s="1"/>
  <c r="H379" i="5"/>
  <c r="I379" i="5" s="1"/>
  <c r="H348" i="5"/>
  <c r="I348" i="5" s="1"/>
  <c r="H377" i="5"/>
  <c r="I377" i="5" s="1"/>
  <c r="K348" i="5"/>
  <c r="L348" i="5" s="1"/>
  <c r="K377" i="5"/>
  <c r="L377" i="5" s="1"/>
  <c r="K382" i="5"/>
  <c r="L382" i="5" s="1"/>
  <c r="K387" i="5"/>
  <c r="L387" i="5" s="1"/>
  <c r="K391" i="5"/>
  <c r="L391" i="5" s="1"/>
  <c r="H351" i="5"/>
  <c r="I351" i="5" s="1"/>
  <c r="H378" i="5"/>
  <c r="I378" i="5" s="1"/>
  <c r="H350" i="5"/>
  <c r="I350" i="5" s="1"/>
  <c r="H386" i="5"/>
  <c r="I386" i="5" s="1"/>
  <c r="K350" i="5"/>
  <c r="L350" i="5" s="1"/>
  <c r="K386" i="5"/>
  <c r="L386" i="5" s="1"/>
  <c r="K340" i="5"/>
  <c r="K354" i="5"/>
  <c r="L354" i="5" s="1"/>
  <c r="H349" i="5"/>
  <c r="I349" i="5" s="1"/>
  <c r="K342" i="5"/>
  <c r="L342" i="5" s="1"/>
  <c r="K345" i="5"/>
  <c r="L345" i="5" s="1"/>
  <c r="K353" i="5"/>
  <c r="L353" i="5" s="1"/>
  <c r="H342" i="5"/>
  <c r="I342" i="5" s="1"/>
  <c r="H345" i="5"/>
  <c r="I345" i="5" s="1"/>
  <c r="H353" i="5"/>
  <c r="I353" i="5" s="1"/>
  <c r="Q61" i="5"/>
  <c r="G549" i="5" s="1"/>
  <c r="F603" i="5" s="1"/>
  <c r="S54" i="5"/>
  <c r="S52" i="5"/>
  <c r="U52" i="5" s="1"/>
  <c r="K303" i="5"/>
  <c r="K298" i="5"/>
  <c r="S57" i="5"/>
  <c r="S58" i="5"/>
  <c r="G531" i="5" s="1"/>
  <c r="F175" i="5" s="1"/>
  <c r="E247" i="11" s="1"/>
  <c r="K277" i="11" s="1"/>
  <c r="AT915" i="5"/>
  <c r="AV915" i="5" s="1"/>
  <c r="AA295" i="5"/>
  <c r="H16" i="4"/>
  <c r="AL66" i="5"/>
  <c r="AL55" i="5"/>
  <c r="AI66" i="5"/>
  <c r="AI55" i="5"/>
  <c r="H568" i="5"/>
  <c r="I568" i="5" s="1"/>
  <c r="K397" i="5"/>
  <c r="L397" i="5" s="1"/>
  <c r="K568" i="5"/>
  <c r="L568" i="5" s="1"/>
  <c r="H309" i="5"/>
  <c r="I309" i="5" s="1"/>
  <c r="K554" i="5"/>
  <c r="L554" i="5" s="1"/>
  <c r="K602" i="5"/>
  <c r="L602" i="5" s="1"/>
  <c r="K553" i="5"/>
  <c r="L553" i="5" s="1"/>
  <c r="K601" i="5"/>
  <c r="L601" i="5" s="1"/>
  <c r="H553" i="5"/>
  <c r="I553" i="5" s="1"/>
  <c r="H601" i="5"/>
  <c r="I601" i="5" s="1"/>
  <c r="H554" i="5"/>
  <c r="I554" i="5" s="1"/>
  <c r="H602" i="5"/>
  <c r="I602" i="5" s="1"/>
  <c r="K535" i="5"/>
  <c r="K528" i="5" s="1"/>
  <c r="L528" i="5" s="1"/>
  <c r="H917" i="5"/>
  <c r="I917" i="5" s="1"/>
  <c r="K402" i="5"/>
  <c r="L402" i="5" s="1"/>
  <c r="H501" i="5"/>
  <c r="I501" i="5" s="1"/>
  <c r="H382" i="5"/>
  <c r="I382" i="5" s="1"/>
  <c r="K501" i="5"/>
  <c r="L501" i="5" s="1"/>
  <c r="H383" i="5"/>
  <c r="I383" i="5" s="1"/>
  <c r="K916" i="5"/>
  <c r="L916" i="5" s="1"/>
  <c r="AA300" i="5"/>
  <c r="AA338" i="5"/>
  <c r="H340" i="5"/>
  <c r="AA565" i="5"/>
  <c r="AA306" i="5"/>
  <c r="AA907" i="5"/>
  <c r="AB907" i="5" s="1"/>
  <c r="AA524" i="5"/>
  <c r="AA578" i="5"/>
  <c r="AB578" i="5" s="1"/>
  <c r="AA333" i="5"/>
  <c r="H314" i="5"/>
  <c r="I314" i="5" s="1"/>
  <c r="K314" i="5"/>
  <c r="L314" i="5" s="1"/>
  <c r="AA579" i="5"/>
  <c r="AB579" i="5" s="1"/>
  <c r="H405" i="5"/>
  <c r="I405" i="5" s="1"/>
  <c r="AA445" i="5"/>
  <c r="AB445" i="5" s="1"/>
  <c r="AA566" i="5"/>
  <c r="H443" i="5"/>
  <c r="I443" i="5" s="1"/>
  <c r="AA915" i="5"/>
  <c r="AB915" i="5" s="1"/>
  <c r="H334" i="5"/>
  <c r="AA567" i="5"/>
  <c r="AA519" i="5"/>
  <c r="AA374" i="5"/>
  <c r="AT907" i="5"/>
  <c r="AV907" i="5" s="1"/>
  <c r="AA520" i="5"/>
  <c r="AA424" i="5"/>
  <c r="AB424" i="5" s="1"/>
  <c r="AA531" i="5"/>
  <c r="AA575" i="5"/>
  <c r="AB575" i="5" s="1"/>
  <c r="AL575" i="5" s="1"/>
  <c r="AN572" i="5" s="1"/>
  <c r="AA343" i="5"/>
  <c r="AB343" i="5" s="1"/>
  <c r="AA420" i="5"/>
  <c r="AB420" i="5" s="1"/>
  <c r="AA396" i="5"/>
  <c r="M46" i="4"/>
  <c r="D48" i="4"/>
  <c r="M48" i="4" s="1"/>
  <c r="D49" i="4"/>
  <c r="D51" i="4"/>
  <c r="H535" i="5"/>
  <c r="H528" i="5" s="1"/>
  <c r="I528" i="5" s="1"/>
  <c r="P55" i="5"/>
  <c r="S55" i="5" s="1"/>
  <c r="G536" i="5" s="1"/>
  <c r="T536" i="5" s="1"/>
  <c r="P55" i="10"/>
  <c r="S55" i="10" s="1"/>
  <c r="G346" i="10" s="1"/>
  <c r="O55" i="5"/>
  <c r="R55" i="5" s="1"/>
  <c r="G529" i="5" s="1"/>
  <c r="O55" i="10"/>
  <c r="R55" i="10" s="1"/>
  <c r="G339" i="10" s="1"/>
  <c r="H578" i="5"/>
  <c r="I578" i="5" s="1"/>
  <c r="H499" i="5"/>
  <c r="I499" i="5" s="1"/>
  <c r="K578" i="5"/>
  <c r="L578" i="5" s="1"/>
  <c r="M577" i="5" s="1"/>
  <c r="K499" i="5"/>
  <c r="L499" i="5" s="1"/>
  <c r="H530" i="5"/>
  <c r="H504" i="5"/>
  <c r="I504" i="5" s="1"/>
  <c r="K530" i="5"/>
  <c r="K504" i="5"/>
  <c r="L504" i="5" s="1"/>
  <c r="I385" i="10"/>
  <c r="BB385" i="10" s="1"/>
  <c r="K316" i="5"/>
  <c r="L316" i="5" s="1"/>
  <c r="K463" i="5"/>
  <c r="L463" i="5" s="1"/>
  <c r="M462" i="5" s="1"/>
  <c r="H642" i="5" s="1"/>
  <c r="H316" i="5"/>
  <c r="I316" i="5" s="1"/>
  <c r="H463" i="5"/>
  <c r="I463" i="5" s="1"/>
  <c r="J462" i="5" s="1"/>
  <c r="F642" i="5" s="1"/>
  <c r="F87" i="21" s="1"/>
  <c r="H492" i="5"/>
  <c r="I492" i="5" s="1"/>
  <c r="H485" i="5"/>
  <c r="I485" i="5" s="1"/>
  <c r="H493" i="5"/>
  <c r="I493" i="5" s="1"/>
  <c r="H486" i="5"/>
  <c r="I486" i="5" s="1"/>
  <c r="H468" i="5"/>
  <c r="I468" i="5" s="1"/>
  <c r="H474" i="5"/>
  <c r="I474" i="5" s="1"/>
  <c r="H409" i="5"/>
  <c r="I409" i="5" s="1"/>
  <c r="H475" i="5"/>
  <c r="I475" i="5" s="1"/>
  <c r="H469" i="5"/>
  <c r="I469" i="5" s="1"/>
  <c r="AH343" i="5"/>
  <c r="AI343" i="5" s="1"/>
  <c r="K549" i="5"/>
  <c r="K603" i="5" s="1"/>
  <c r="AH424" i="5"/>
  <c r="AI424" i="5" s="1"/>
  <c r="AH295" i="5"/>
  <c r="AU396" i="5"/>
  <c r="AT578" i="5"/>
  <c r="AU578" i="5" s="1"/>
  <c r="AH333" i="5"/>
  <c r="AU300" i="5"/>
  <c r="AT565" i="5"/>
  <c r="AT579" i="5"/>
  <c r="AU579" i="5" s="1"/>
  <c r="AH531" i="5"/>
  <c r="AU531" i="5"/>
  <c r="H549" i="5"/>
  <c r="H603" i="5" s="1"/>
  <c r="AH565" i="5"/>
  <c r="AH520" i="5"/>
  <c r="AH338" i="5"/>
  <c r="AH374" i="5"/>
  <c r="AU520" i="5"/>
  <c r="AU343" i="5"/>
  <c r="AV343" i="5" s="1"/>
  <c r="AH306" i="5"/>
  <c r="AH578" i="5"/>
  <c r="AI578" i="5" s="1"/>
  <c r="H537" i="5"/>
  <c r="AH396" i="5"/>
  <c r="AH524" i="5"/>
  <c r="AU333" i="5"/>
  <c r="AU295" i="5"/>
  <c r="AU338" i="5"/>
  <c r="Q82" i="5"/>
  <c r="P76" i="5" s="1"/>
  <c r="N76" i="5" s="1"/>
  <c r="N78" i="5" s="1"/>
  <c r="P78" i="5" s="1"/>
  <c r="X567" i="5"/>
  <c r="F179" i="5"/>
  <c r="X524" i="5"/>
  <c r="F174" i="5"/>
  <c r="E246" i="11" s="1"/>
  <c r="J277" i="11" s="1"/>
  <c r="Q524" i="5"/>
  <c r="F162" i="5"/>
  <c r="E234" i="11" s="1"/>
  <c r="K409" i="5"/>
  <c r="L409" i="5" s="1"/>
  <c r="AU519" i="5"/>
  <c r="AU306" i="5"/>
  <c r="AH567" i="5"/>
  <c r="K325" i="5"/>
  <c r="AH445" i="5"/>
  <c r="AI445" i="5" s="1"/>
  <c r="AH420" i="5"/>
  <c r="AI420" i="5" s="1"/>
  <c r="AT566" i="5"/>
  <c r="AH519" i="5"/>
  <c r="AU374" i="5"/>
  <c r="AH579" i="5"/>
  <c r="AI579" i="5" s="1"/>
  <c r="AH566" i="5"/>
  <c r="AU524" i="5"/>
  <c r="AU420" i="5"/>
  <c r="AV420" i="5" s="1"/>
  <c r="AT567" i="5"/>
  <c r="AA510" i="5"/>
  <c r="AB510" i="5" s="1"/>
  <c r="AA466" i="5"/>
  <c r="AB466" i="5" s="1"/>
  <c r="AC462" i="5"/>
  <c r="AD462" i="5" s="1"/>
  <c r="AC466" i="5"/>
  <c r="AD466" i="5" s="1"/>
  <c r="AC510" i="5"/>
  <c r="AD510" i="5" s="1"/>
  <c r="AU510" i="5"/>
  <c r="AV510" i="5" s="1"/>
  <c r="AH510" i="5"/>
  <c r="AI510" i="5" s="1"/>
  <c r="AU466" i="5"/>
  <c r="AV466" i="5" s="1"/>
  <c r="AH466" i="5"/>
  <c r="AI466" i="5" s="1"/>
  <c r="AJ510" i="5"/>
  <c r="AK510" i="5" s="1"/>
  <c r="AW466" i="5"/>
  <c r="AX466" i="5" s="1"/>
  <c r="AJ466" i="5"/>
  <c r="AK466" i="5" s="1"/>
  <c r="AW510" i="5"/>
  <c r="AX510" i="5" s="1"/>
  <c r="K400" i="5"/>
  <c r="AA458" i="5"/>
  <c r="AB458" i="5" s="1"/>
  <c r="AA462" i="5"/>
  <c r="AB462" i="5" s="1"/>
  <c r="K296" i="5"/>
  <c r="K299" i="5" s="1"/>
  <c r="AH915" i="5"/>
  <c r="AI915" i="5" s="1"/>
  <c r="AU462" i="5"/>
  <c r="AV462" i="5" s="1"/>
  <c r="AH462" i="5"/>
  <c r="AI462" i="5" s="1"/>
  <c r="H326" i="5"/>
  <c r="I326" i="5" s="1"/>
  <c r="H400" i="5"/>
  <c r="H391" i="5"/>
  <c r="I391" i="5" s="1"/>
  <c r="AW333" i="5"/>
  <c r="AJ462" i="5"/>
  <c r="AK462" i="5" s="1"/>
  <c r="AW462" i="5"/>
  <c r="AX462" i="5" s="1"/>
  <c r="AJ343" i="5"/>
  <c r="AK343" i="5" s="1"/>
  <c r="H533" i="5"/>
  <c r="H320" i="5"/>
  <c r="I320" i="5" s="1"/>
  <c r="K321" i="5"/>
  <c r="L321" i="5" s="1"/>
  <c r="H399" i="5"/>
  <c r="I399" i="5" s="1"/>
  <c r="H397" i="5"/>
  <c r="L376" i="5"/>
  <c r="K320" i="5"/>
  <c r="L320" i="5" s="1"/>
  <c r="H908" i="5"/>
  <c r="I908" i="5" s="1"/>
  <c r="H447" i="5"/>
  <c r="I447" i="5" s="1"/>
  <c r="K527" i="5"/>
  <c r="K451" i="5"/>
  <c r="L451" i="5" s="1"/>
  <c r="H532" i="5"/>
  <c r="H450" i="5"/>
  <c r="I450" i="5" s="1"/>
  <c r="H406" i="5"/>
  <c r="I406" i="5" s="1"/>
  <c r="H453" i="5"/>
  <c r="I453" i="5" s="1"/>
  <c r="K406" i="5"/>
  <c r="L406" i="5" s="1"/>
  <c r="K453" i="5"/>
  <c r="L453" i="5" s="1"/>
  <c r="H407" i="5"/>
  <c r="I407" i="5" s="1"/>
  <c r="H454" i="5"/>
  <c r="I454" i="5" s="1"/>
  <c r="AA74" i="5"/>
  <c r="H315" i="5" s="1"/>
  <c r="I315" i="5" s="1"/>
  <c r="AA69" i="10"/>
  <c r="K448" i="5"/>
  <c r="L448" i="5" s="1"/>
  <c r="H527" i="5"/>
  <c r="H451" i="5"/>
  <c r="I451" i="5" s="1"/>
  <c r="AD74" i="5"/>
  <c r="K315" i="5" s="1"/>
  <c r="L315" i="5" s="1"/>
  <c r="AD69" i="10"/>
  <c r="H448" i="5"/>
  <c r="I448" i="5" s="1"/>
  <c r="K525" i="5"/>
  <c r="L525" i="5" s="1"/>
  <c r="K450" i="5"/>
  <c r="L450" i="5" s="1"/>
  <c r="K447" i="5"/>
  <c r="L447" i="5" s="1"/>
  <c r="AJ295" i="5"/>
  <c r="H321" i="5"/>
  <c r="I321" i="5" s="1"/>
  <c r="AJ333" i="5"/>
  <c r="H390" i="5"/>
  <c r="I390" i="5" s="1"/>
  <c r="I421" i="5"/>
  <c r="J420" i="5" s="1"/>
  <c r="F639" i="5" s="1"/>
  <c r="F84" i="21" s="1"/>
  <c r="M387" i="10"/>
  <c r="H471" i="10" s="1"/>
  <c r="AJ531" i="5"/>
  <c r="K326" i="5"/>
  <c r="L326" i="5" s="1"/>
  <c r="AJ915" i="5"/>
  <c r="AK915" i="5" s="1"/>
  <c r="AH458" i="5"/>
  <c r="AI458" i="5" s="1"/>
  <c r="AU458" i="5"/>
  <c r="AV458" i="5" s="1"/>
  <c r="AW907" i="5"/>
  <c r="AC458" i="5"/>
  <c r="AD458" i="5" s="1"/>
  <c r="AC445" i="5"/>
  <c r="AD445" i="5" s="1"/>
  <c r="AW420" i="5"/>
  <c r="AX420" i="5" s="1"/>
  <c r="H398" i="5"/>
  <c r="AC295" i="5"/>
  <c r="AJ519" i="5"/>
  <c r="AW295" i="5"/>
  <c r="AW524" i="5"/>
  <c r="AJ396" i="5"/>
  <c r="K398" i="5"/>
  <c r="AJ445" i="5"/>
  <c r="AK445" i="5" s="1"/>
  <c r="AW458" i="5"/>
  <c r="AX458" i="5" s="1"/>
  <c r="AJ458" i="5"/>
  <c r="AK458" i="5" s="1"/>
  <c r="AC578" i="5"/>
  <c r="AD578" i="5" s="1"/>
  <c r="AW567" i="5"/>
  <c r="AW445" i="5"/>
  <c r="AX445" i="5" s="1"/>
  <c r="AH907" i="5"/>
  <c r="AI907" i="5" s="1"/>
  <c r="AC396" i="5"/>
  <c r="AC566" i="5"/>
  <c r="AC300" i="5"/>
  <c r="AJ374" i="5"/>
  <c r="AJ578" i="5"/>
  <c r="AK578" i="5" s="1"/>
  <c r="AJ306" i="5"/>
  <c r="AC374" i="5"/>
  <c r="AW578" i="5"/>
  <c r="H325" i="5"/>
  <c r="AC524" i="5"/>
  <c r="AC424" i="5"/>
  <c r="AD424" i="5" s="1"/>
  <c r="AC520" i="5"/>
  <c r="AJ300" i="5"/>
  <c r="AJ338" i="5"/>
  <c r="AJ567" i="5"/>
  <c r="H301" i="5"/>
  <c r="H304" i="5" s="1"/>
  <c r="K532" i="5"/>
  <c r="AJ907" i="5"/>
  <c r="AK907" i="5" s="1"/>
  <c r="AC531" i="5"/>
  <c r="AC306" i="5"/>
  <c r="AC575" i="5"/>
  <c r="AD575" i="5" s="1"/>
  <c r="AC338" i="5"/>
  <c r="AW300" i="5"/>
  <c r="AW566" i="5"/>
  <c r="AJ566" i="5"/>
  <c r="AW520" i="5"/>
  <c r="AJ520" i="5"/>
  <c r="H303" i="5"/>
  <c r="K917" i="5"/>
  <c r="L917" i="5" s="1"/>
  <c r="AW915" i="5"/>
  <c r="K309" i="5"/>
  <c r="L309" i="5" s="1"/>
  <c r="AC565" i="5"/>
  <c r="AC567" i="5"/>
  <c r="AC579" i="5"/>
  <c r="AD579" i="5" s="1"/>
  <c r="AJ575" i="5"/>
  <c r="AK575" i="5" s="1"/>
  <c r="AJ579" i="5"/>
  <c r="AK579" i="5" s="1"/>
  <c r="AJ565" i="5"/>
  <c r="AW519" i="5"/>
  <c r="AW396" i="5"/>
  <c r="AJ524" i="5"/>
  <c r="K399" i="5"/>
  <c r="L399" i="5" s="1"/>
  <c r="AC907" i="5"/>
  <c r="AD907" i="5" s="1"/>
  <c r="AC519" i="5"/>
  <c r="AC420" i="5"/>
  <c r="AD420" i="5" s="1"/>
  <c r="AC343" i="5"/>
  <c r="AD343" i="5" s="1"/>
  <c r="AW565" i="5"/>
  <c r="K537" i="5"/>
  <c r="AW343" i="5"/>
  <c r="AX343" i="5" s="1"/>
  <c r="AW424" i="5"/>
  <c r="AX424" i="5" s="1"/>
  <c r="AJ424" i="5"/>
  <c r="AK424" i="5" s="1"/>
  <c r="AW338" i="5"/>
  <c r="AW579" i="5"/>
  <c r="H402" i="5"/>
  <c r="I402" i="5" s="1"/>
  <c r="K334" i="5"/>
  <c r="K310" i="5"/>
  <c r="L310" i="5" s="1"/>
  <c r="K908" i="5"/>
  <c r="L908" i="5" s="1"/>
  <c r="AC915" i="5"/>
  <c r="AD915" i="5" s="1"/>
  <c r="AC333" i="5"/>
  <c r="AW531" i="5"/>
  <c r="AJ420" i="5"/>
  <c r="AK420" i="5" s="1"/>
  <c r="AW306" i="5"/>
  <c r="AW374" i="5"/>
  <c r="H310" i="5"/>
  <c r="I310" i="5" s="1"/>
  <c r="N46" i="4"/>
  <c r="AD65" i="5"/>
  <c r="AD61" i="10"/>
  <c r="AA27" i="5"/>
  <c r="AA27" i="10"/>
  <c r="AA39" i="5"/>
  <c r="H317" i="5" s="1"/>
  <c r="I317" i="5" s="1"/>
  <c r="AA37" i="10"/>
  <c r="AD39" i="5"/>
  <c r="K317" i="5" s="1"/>
  <c r="L317" i="5" s="1"/>
  <c r="AD37" i="10"/>
  <c r="Q349" i="7"/>
  <c r="H349" i="7" s="1"/>
  <c r="H278" i="10"/>
  <c r="I278" i="10" s="1"/>
  <c r="H231" i="10"/>
  <c r="I231" i="10" s="1"/>
  <c r="H301" i="10"/>
  <c r="I301" i="10" s="1"/>
  <c r="H213" i="10"/>
  <c r="I213" i="10" s="1"/>
  <c r="K343" i="10"/>
  <c r="K336" i="10"/>
  <c r="L336" i="10" s="1"/>
  <c r="K301" i="10"/>
  <c r="L301" i="10" s="1"/>
  <c r="K278" i="10"/>
  <c r="L278" i="10" s="1"/>
  <c r="K231" i="10"/>
  <c r="L231" i="10" s="1"/>
  <c r="K213" i="10"/>
  <c r="L213" i="10" s="1"/>
  <c r="K337" i="10"/>
  <c r="L337" i="10" s="1"/>
  <c r="K344" i="10"/>
  <c r="H336" i="10"/>
  <c r="I336" i="10" s="1"/>
  <c r="H343" i="10"/>
  <c r="AA65" i="5"/>
  <c r="AA61" i="10"/>
  <c r="K533" i="5"/>
  <c r="AD89" i="5"/>
  <c r="AD84" i="10"/>
  <c r="AA73" i="5"/>
  <c r="H403" i="5" s="1"/>
  <c r="I403" i="5" s="1"/>
  <c r="AA68" i="10"/>
  <c r="H252" i="10" s="1"/>
  <c r="I252" i="10" s="1"/>
  <c r="AA316" i="10"/>
  <c r="AB316" i="10" s="1"/>
  <c r="AA274" i="10"/>
  <c r="AB274" i="10" s="1"/>
  <c r="AA281" i="10"/>
  <c r="AB281" i="10" s="1"/>
  <c r="AA209" i="10"/>
  <c r="AB209" i="10" s="1"/>
  <c r="AA329" i="10"/>
  <c r="AB329" i="10" s="1"/>
  <c r="AA334" i="10"/>
  <c r="AA291" i="10"/>
  <c r="AB291" i="10" s="1"/>
  <c r="AA389" i="10"/>
  <c r="AB389" i="10" s="1"/>
  <c r="AA341" i="10"/>
  <c r="AA388" i="10"/>
  <c r="AB388" i="10" s="1"/>
  <c r="AA270" i="10"/>
  <c r="AB270" i="10" s="1"/>
  <c r="AA308" i="10"/>
  <c r="AB308" i="10" s="1"/>
  <c r="AA300" i="10"/>
  <c r="AB300" i="10" s="1"/>
  <c r="AA227" i="10"/>
  <c r="AB227" i="10" s="1"/>
  <c r="AA200" i="10"/>
  <c r="AB200" i="10" s="1"/>
  <c r="AA330" i="10"/>
  <c r="AB330" i="10" s="1"/>
  <c r="AA264" i="10"/>
  <c r="AB264" i="10" s="1"/>
  <c r="AA245" i="10"/>
  <c r="AB245" i="10" s="1"/>
  <c r="AA378" i="10"/>
  <c r="AB378" i="10" s="1"/>
  <c r="AA233" i="10"/>
  <c r="AB233" i="10" s="1"/>
  <c r="AA304" i="10"/>
  <c r="AB304" i="10" s="1"/>
  <c r="AA294" i="10"/>
  <c r="AB294" i="10" s="1"/>
  <c r="AA224" i="10"/>
  <c r="AB224" i="10" s="1"/>
  <c r="H342" i="10"/>
  <c r="I342" i="10" s="1"/>
  <c r="H335" i="10"/>
  <c r="I335" i="10" s="1"/>
  <c r="H248" i="10"/>
  <c r="I248" i="10" s="1"/>
  <c r="H201" i="10"/>
  <c r="I201" i="10" s="1"/>
  <c r="H235" i="10"/>
  <c r="I235" i="10" s="1"/>
  <c r="H246" i="10"/>
  <c r="I246" i="10" s="1"/>
  <c r="H283" i="10"/>
  <c r="I283" i="10" s="1"/>
  <c r="H916" i="5"/>
  <c r="I916" i="5" s="1"/>
  <c r="H279" i="10"/>
  <c r="I279" i="10" s="1"/>
  <c r="H214" i="10"/>
  <c r="I214" i="10" s="1"/>
  <c r="H232" i="10"/>
  <c r="I232" i="10" s="1"/>
  <c r="H302" i="10"/>
  <c r="I302" i="10" s="1"/>
  <c r="H345" i="10"/>
  <c r="H249" i="10"/>
  <c r="I249" i="10" s="1"/>
  <c r="K345" i="10"/>
  <c r="K249" i="10"/>
  <c r="L249" i="10" s="1"/>
  <c r="AA72" i="5"/>
  <c r="H404" i="5" s="1"/>
  <c r="I404" i="5" s="1"/>
  <c r="AA67" i="10"/>
  <c r="H253" i="10" s="1"/>
  <c r="I253" i="10" s="1"/>
  <c r="AD73" i="5"/>
  <c r="K403" i="5" s="1"/>
  <c r="L403" i="5" s="1"/>
  <c r="AD68" i="10"/>
  <c r="K252" i="10" s="1"/>
  <c r="L252" i="10" s="1"/>
  <c r="G535" i="10"/>
  <c r="I535" i="10" s="1"/>
  <c r="AC300" i="10"/>
  <c r="AD300" i="10" s="1"/>
  <c r="AC341" i="10"/>
  <c r="AC270" i="10"/>
  <c r="AD270" i="10" s="1"/>
  <c r="AC334" i="10"/>
  <c r="AC329" i="10"/>
  <c r="AD329" i="10" s="1"/>
  <c r="AC245" i="10"/>
  <c r="AD245" i="10" s="1"/>
  <c r="AC316" i="10"/>
  <c r="AD316" i="10" s="1"/>
  <c r="AC308" i="10"/>
  <c r="AD308" i="10" s="1"/>
  <c r="AC224" i="10"/>
  <c r="AD224" i="10" s="1"/>
  <c r="AC389" i="10"/>
  <c r="AD389" i="10" s="1"/>
  <c r="AC330" i="10"/>
  <c r="AD330" i="10" s="1"/>
  <c r="AC200" i="10"/>
  <c r="AD200" i="10" s="1"/>
  <c r="AC388" i="10"/>
  <c r="AD388" i="10" s="1"/>
  <c r="AC264" i="10"/>
  <c r="AD264" i="10" s="1"/>
  <c r="AC227" i="10"/>
  <c r="AD227" i="10" s="1"/>
  <c r="AC209" i="10"/>
  <c r="AD209" i="10" s="1"/>
  <c r="AC304" i="10"/>
  <c r="AD304" i="10" s="1"/>
  <c r="AC378" i="10"/>
  <c r="AD378" i="10" s="1"/>
  <c r="AC274" i="10"/>
  <c r="AD274" i="10" s="1"/>
  <c r="AC281" i="10"/>
  <c r="AD281" i="10" s="1"/>
  <c r="AC233" i="10"/>
  <c r="AD233" i="10" s="1"/>
  <c r="AC291" i="10"/>
  <c r="AD291" i="10" s="1"/>
  <c r="AC294" i="10"/>
  <c r="AD294" i="10" s="1"/>
  <c r="AD40" i="5"/>
  <c r="K319" i="5" s="1"/>
  <c r="L319" i="5" s="1"/>
  <c r="AD38" i="10"/>
  <c r="K405" i="5"/>
  <c r="L405" i="5" s="1"/>
  <c r="AU308" i="10"/>
  <c r="AV308" i="10" s="1"/>
  <c r="AU316" i="10"/>
  <c r="AV316" i="10" s="1"/>
  <c r="AU304" i="10"/>
  <c r="AV304" i="10" s="1"/>
  <c r="AH224" i="10"/>
  <c r="AI224" i="10" s="1"/>
  <c r="AH334" i="10"/>
  <c r="AU264" i="10"/>
  <c r="AV264" i="10" s="1"/>
  <c r="AH209" i="10"/>
  <c r="AI209" i="10" s="1"/>
  <c r="AU341" i="10"/>
  <c r="AH245" i="10"/>
  <c r="AI245" i="10" s="1"/>
  <c r="AU245" i="10"/>
  <c r="AV245" i="10" s="1"/>
  <c r="AT389" i="10"/>
  <c r="AU389" i="10" s="1"/>
  <c r="AU209" i="10"/>
  <c r="AV209" i="10" s="1"/>
  <c r="AH330" i="10"/>
  <c r="AI330" i="10" s="1"/>
  <c r="AH388" i="10"/>
  <c r="AI388" i="10" s="1"/>
  <c r="AU270" i="10"/>
  <c r="AV270" i="10" s="1"/>
  <c r="AH300" i="10"/>
  <c r="AI300" i="10" s="1"/>
  <c r="AU227" i="10"/>
  <c r="AV227" i="10" s="1"/>
  <c r="AT388" i="10"/>
  <c r="AU388" i="10" s="1"/>
  <c r="AU330" i="10"/>
  <c r="AV330" i="10" s="1"/>
  <c r="AH329" i="10"/>
  <c r="AI329" i="10" s="1"/>
  <c r="AU200" i="10"/>
  <c r="AV200" i="10" s="1"/>
  <c r="AH200" i="10"/>
  <c r="AI200" i="10" s="1"/>
  <c r="AH274" i="10"/>
  <c r="AI274" i="10" s="1"/>
  <c r="AH281" i="10"/>
  <c r="AI281" i="10" s="1"/>
  <c r="AH270" i="10"/>
  <c r="AI270" i="10" s="1"/>
  <c r="AH264" i="10"/>
  <c r="AI264" i="10" s="1"/>
  <c r="AU329" i="10"/>
  <c r="AV329" i="10" s="1"/>
  <c r="AH389" i="10"/>
  <c r="AI389" i="10" s="1"/>
  <c r="AU300" i="10"/>
  <c r="AV300" i="10" s="1"/>
  <c r="AU274" i="10"/>
  <c r="AV274" i="10" s="1"/>
  <c r="AH378" i="10"/>
  <c r="AI378" i="10" s="1"/>
  <c r="AU334" i="10"/>
  <c r="AH316" i="10"/>
  <c r="AI316" i="10" s="1"/>
  <c r="AH227" i="10"/>
  <c r="AI227" i="10" s="1"/>
  <c r="AU224" i="10"/>
  <c r="AV224" i="10" s="1"/>
  <c r="AU233" i="10"/>
  <c r="AV233" i="10" s="1"/>
  <c r="AT378" i="10"/>
  <c r="AU378" i="10" s="1"/>
  <c r="AH341" i="10"/>
  <c r="AU291" i="10"/>
  <c r="AV291" i="10" s="1"/>
  <c r="AH294" i="10"/>
  <c r="AI294" i="10" s="1"/>
  <c r="AH291" i="10"/>
  <c r="AI291" i="10" s="1"/>
  <c r="AH233" i="10"/>
  <c r="AI233" i="10" s="1"/>
  <c r="AH308" i="10"/>
  <c r="AI308" i="10" s="1"/>
  <c r="AU281" i="10"/>
  <c r="AV281" i="10" s="1"/>
  <c r="AH304" i="10"/>
  <c r="AI304" i="10" s="1"/>
  <c r="AU294" i="10"/>
  <c r="AV294" i="10" s="1"/>
  <c r="K225" i="10"/>
  <c r="L225" i="10" s="1"/>
  <c r="K251" i="10"/>
  <c r="L251" i="10" s="1"/>
  <c r="H347" i="10"/>
  <c r="H340" i="10"/>
  <c r="H359" i="10"/>
  <c r="I359" i="10" s="1"/>
  <c r="H360" i="10"/>
  <c r="I360" i="10" s="1"/>
  <c r="H337" i="10"/>
  <c r="I337" i="10" s="1"/>
  <c r="H344" i="10"/>
  <c r="K360" i="10"/>
  <c r="L360" i="10" s="1"/>
  <c r="K359" i="10"/>
  <c r="L359" i="10" s="1"/>
  <c r="I309" i="10"/>
  <c r="J308" i="10" s="1"/>
  <c r="F453" i="10" s="1"/>
  <c r="K246" i="10"/>
  <c r="L246" i="10" s="1"/>
  <c r="AD26" i="5"/>
  <c r="AD26" i="10"/>
  <c r="AA21" i="5"/>
  <c r="H408" i="5" s="1"/>
  <c r="I408" i="5" s="1"/>
  <c r="AA21" i="10"/>
  <c r="AD21" i="5"/>
  <c r="K536" i="5" s="1"/>
  <c r="AD21" i="10"/>
  <c r="AA12" i="5"/>
  <c r="AA12" i="10"/>
  <c r="AD12" i="5"/>
  <c r="AD12" i="10"/>
  <c r="K296" i="10" s="1"/>
  <c r="L296" i="10" s="1"/>
  <c r="K258" i="10"/>
  <c r="L258" i="10" s="1"/>
  <c r="J387" i="10"/>
  <c r="F471" i="10" s="1"/>
  <c r="AD27" i="5"/>
  <c r="AD27" i="10"/>
  <c r="K202" i="10" s="1"/>
  <c r="AD72" i="5"/>
  <c r="K404" i="5" s="1"/>
  <c r="L404" i="5" s="1"/>
  <c r="AD67" i="10"/>
  <c r="K253" i="10" s="1"/>
  <c r="L253" i="10" s="1"/>
  <c r="H225" i="10"/>
  <c r="I225" i="10" s="1"/>
  <c r="H295" i="10"/>
  <c r="I295" i="10" s="1"/>
  <c r="H251" i="10"/>
  <c r="I251" i="10" s="1"/>
  <c r="H265" i="10"/>
  <c r="I265" i="10" s="1"/>
  <c r="K335" i="10"/>
  <c r="L335" i="10" s="1"/>
  <c r="K342" i="10"/>
  <c r="L342" i="10" s="1"/>
  <c r="K248" i="10"/>
  <c r="L248" i="10" s="1"/>
  <c r="L201" i="10"/>
  <c r="M328" i="10"/>
  <c r="H457" i="10" s="1"/>
  <c r="AW304" i="10"/>
  <c r="AX304" i="10" s="1"/>
  <c r="AW300" i="10"/>
  <c r="AX300" i="10" s="1"/>
  <c r="AJ291" i="10"/>
  <c r="AK291" i="10" s="1"/>
  <c r="AJ294" i="10"/>
  <c r="AK294" i="10" s="1"/>
  <c r="AJ227" i="10"/>
  <c r="AK227" i="10" s="1"/>
  <c r="AW224" i="10"/>
  <c r="AX224" i="10" s="1"/>
  <c r="AW233" i="10"/>
  <c r="AX233" i="10" s="1"/>
  <c r="AJ389" i="10"/>
  <c r="AK389" i="10" s="1"/>
  <c r="AJ270" i="10"/>
  <c r="AK270" i="10" s="1"/>
  <c r="AW329" i="10"/>
  <c r="AX329" i="10" s="1"/>
  <c r="AW388" i="10"/>
  <c r="AW330" i="10"/>
  <c r="AX330" i="10" s="1"/>
  <c r="AW264" i="10"/>
  <c r="AX264" i="10" s="1"/>
  <c r="AJ329" i="10"/>
  <c r="AK329" i="10" s="1"/>
  <c r="AJ274" i="10"/>
  <c r="AK274" i="10" s="1"/>
  <c r="AJ316" i="10"/>
  <c r="AK316" i="10" s="1"/>
  <c r="AJ385" i="10"/>
  <c r="AK385" i="10" s="1"/>
  <c r="AM385" i="10" s="1"/>
  <c r="AO382" i="10" s="1"/>
  <c r="AW389" i="10"/>
  <c r="AJ264" i="10"/>
  <c r="AK264" i="10" s="1"/>
  <c r="AW341" i="10"/>
  <c r="AJ200" i="10"/>
  <c r="AK200" i="10" s="1"/>
  <c r="AW209" i="10"/>
  <c r="AX209" i="10" s="1"/>
  <c r="AJ209" i="10"/>
  <c r="AK209" i="10" s="1"/>
  <c r="AW270" i="10"/>
  <c r="AX270" i="10" s="1"/>
  <c r="AJ378" i="10"/>
  <c r="AK378" i="10" s="1"/>
  <c r="AJ388" i="10"/>
  <c r="AK388" i="10" s="1"/>
  <c r="AJ330" i="10"/>
  <c r="AK330" i="10" s="1"/>
  <c r="AW227" i="10"/>
  <c r="AX227" i="10" s="1"/>
  <c r="AW334" i="10"/>
  <c r="AJ245" i="10"/>
  <c r="AK245" i="10" s="1"/>
  <c r="AW200" i="10"/>
  <c r="AX200" i="10" s="1"/>
  <c r="AJ341" i="10"/>
  <c r="AJ224" i="10"/>
  <c r="AK224" i="10" s="1"/>
  <c r="AJ233" i="10"/>
  <c r="AK233" i="10" s="1"/>
  <c r="AJ334" i="10"/>
  <c r="AW245" i="10"/>
  <c r="AX245" i="10" s="1"/>
  <c r="AW378" i="10"/>
  <c r="AW294" i="10"/>
  <c r="AX294" i="10" s="1"/>
  <c r="AW281" i="10"/>
  <c r="AX281" i="10" s="1"/>
  <c r="AJ308" i="10"/>
  <c r="AK308" i="10" s="1"/>
  <c r="AJ281" i="10"/>
  <c r="AK281" i="10" s="1"/>
  <c r="AJ304" i="10"/>
  <c r="AK304" i="10" s="1"/>
  <c r="AW291" i="10"/>
  <c r="AX291" i="10" s="1"/>
  <c r="AW316" i="10"/>
  <c r="AX316" i="10" s="1"/>
  <c r="AW308" i="10"/>
  <c r="AX308" i="10" s="1"/>
  <c r="AJ300" i="10"/>
  <c r="AK300" i="10" s="1"/>
  <c r="AW274" i="10"/>
  <c r="AX274" i="10" s="1"/>
  <c r="H247" i="10"/>
  <c r="I247" i="10" s="1"/>
  <c r="H266" i="10"/>
  <c r="I266" i="10" s="1"/>
  <c r="K340" i="10"/>
  <c r="K347" i="10"/>
  <c r="K247" i="10"/>
  <c r="L247" i="10" s="1"/>
  <c r="K214" i="10"/>
  <c r="L214" i="10" s="1"/>
  <c r="K232" i="10"/>
  <c r="L232" i="10" s="1"/>
  <c r="K302" i="10"/>
  <c r="L302" i="10" s="1"/>
  <c r="K279" i="10"/>
  <c r="L279" i="10" s="1"/>
  <c r="H258" i="10"/>
  <c r="I258" i="10" s="1"/>
  <c r="H267" i="10"/>
  <c r="I267" i="10" s="1"/>
  <c r="G550" i="5"/>
  <c r="L550" i="5" s="1"/>
  <c r="G395" i="5"/>
  <c r="AC31" i="8"/>
  <c r="AE31" i="8" s="1"/>
  <c r="H46" i="4"/>
  <c r="I16" i="4"/>
  <c r="I50" i="4"/>
  <c r="N50" i="4"/>
  <c r="O50" i="4"/>
  <c r="J50" i="4"/>
  <c r="H50" i="4"/>
  <c r="M50" i="4"/>
  <c r="O17" i="4"/>
  <c r="J17" i="4"/>
  <c r="J48" i="4"/>
  <c r="O48" i="4"/>
  <c r="O11" i="4"/>
  <c r="M17" i="4"/>
  <c r="H17" i="4"/>
  <c r="J27" i="4"/>
  <c r="O27" i="4"/>
  <c r="H27" i="4"/>
  <c r="M27" i="4"/>
  <c r="I27" i="4"/>
  <c r="N27" i="4"/>
  <c r="P32" i="4"/>
  <c r="N17" i="4"/>
  <c r="I17" i="4"/>
  <c r="M25" i="4"/>
  <c r="N48" i="4"/>
  <c r="I48" i="4"/>
  <c r="Q396" i="5"/>
  <c r="X396" i="5"/>
  <c r="I396" i="5"/>
  <c r="G335" i="5"/>
  <c r="AG135" i="5"/>
  <c r="D408" i="5" s="1"/>
  <c r="G400" i="5"/>
  <c r="AG136" i="5"/>
  <c r="G398" i="5"/>
  <c r="T404" i="5"/>
  <c r="P24" i="4"/>
  <c r="O431" i="7"/>
  <c r="F68" i="7"/>
  <c r="V366" i="7"/>
  <c r="G382" i="7" s="1"/>
  <c r="M66" i="9"/>
  <c r="M61" i="9"/>
  <c r="M65" i="9"/>
  <c r="M58" i="9"/>
  <c r="M64" i="9"/>
  <c r="M63" i="9"/>
  <c r="M59" i="9"/>
  <c r="M60" i="9"/>
  <c r="M62" i="9"/>
  <c r="M57" i="9"/>
  <c r="I525" i="5"/>
  <c r="O53" i="5"/>
  <c r="R53" i="5" s="1"/>
  <c r="G527" i="5" s="1"/>
  <c r="U47" i="8"/>
  <c r="S50" i="5"/>
  <c r="R33" i="8"/>
  <c r="AC33" i="8" s="1"/>
  <c r="AE33" i="8" s="1"/>
  <c r="V44" i="8" s="1"/>
  <c r="P53" i="10" s="1"/>
  <c r="S53" i="10" s="1"/>
  <c r="G344" i="10" s="1"/>
  <c r="I24" i="12" s="1"/>
  <c r="K24" i="12" s="1"/>
  <c r="V42" i="8"/>
  <c r="AC32" i="8"/>
  <c r="AE32" i="8" s="1"/>
  <c r="I15" i="4"/>
  <c r="P378" i="7"/>
  <c r="P431" i="7"/>
  <c r="P412" i="7"/>
  <c r="G68" i="7"/>
  <c r="H737" i="5"/>
  <c r="H742" i="5"/>
  <c r="H738" i="5"/>
  <c r="H734" i="5"/>
  <c r="H733" i="5"/>
  <c r="N47" i="4"/>
  <c r="P47" i="4" s="1"/>
  <c r="H47" i="4"/>
  <c r="K47" i="4" s="1"/>
  <c r="P23" i="4"/>
  <c r="L421" i="5"/>
  <c r="M420" i="5" s="1"/>
  <c r="I39" i="4"/>
  <c r="P28" i="4"/>
  <c r="AL40" i="10" s="1"/>
  <c r="S271" i="10" s="1"/>
  <c r="T271" i="10" s="1"/>
  <c r="U270" i="10" s="1"/>
  <c r="P30" i="4"/>
  <c r="AL42" i="10" s="1"/>
  <c r="S329" i="10" s="1"/>
  <c r="T329" i="10" s="1"/>
  <c r="P29" i="4"/>
  <c r="AL41" i="10" s="1"/>
  <c r="I11" i="4"/>
  <c r="P12" i="4"/>
  <c r="AL8" i="10" s="1"/>
  <c r="S320" i="10" s="1"/>
  <c r="T320" i="10" s="1"/>
  <c r="P13" i="4"/>
  <c r="AL9" i="10" s="1"/>
  <c r="S321" i="10" s="1"/>
  <c r="T321" i="10" s="1"/>
  <c r="X306" i="5"/>
  <c r="Q306" i="5"/>
  <c r="G305" i="5"/>
  <c r="K12" i="4"/>
  <c r="AI8" i="10" s="1"/>
  <c r="P320" i="10" s="1"/>
  <c r="Q320" i="10" s="1"/>
  <c r="O15" i="4"/>
  <c r="J15" i="4"/>
  <c r="N18" i="4"/>
  <c r="I18" i="4"/>
  <c r="M38" i="4"/>
  <c r="H38" i="4"/>
  <c r="N26" i="4"/>
  <c r="I26" i="4"/>
  <c r="O10" i="4"/>
  <c r="J10" i="4"/>
  <c r="M33" i="4"/>
  <c r="P33" i="4" s="1"/>
  <c r="AL45" i="10" s="1"/>
  <c r="H33" i="4"/>
  <c r="K33" i="4" s="1"/>
  <c r="AI45" i="10" s="1"/>
  <c r="K23" i="4"/>
  <c r="AI35" i="10" s="1"/>
  <c r="P299" i="10" s="1"/>
  <c r="Q299" i="10" s="1"/>
  <c r="K24" i="4"/>
  <c r="AI36" i="10" s="1"/>
  <c r="J44" i="4"/>
  <c r="O44" i="4"/>
  <c r="O26" i="4"/>
  <c r="J26" i="4"/>
  <c r="K32" i="4"/>
  <c r="AI44" i="10" s="1"/>
  <c r="N19" i="4"/>
  <c r="I19" i="4"/>
  <c r="I25" i="4"/>
  <c r="N25" i="4"/>
  <c r="M18" i="4"/>
  <c r="H18" i="4"/>
  <c r="N31" i="4"/>
  <c r="I31" i="4"/>
  <c r="J14" i="4"/>
  <c r="O14" i="4"/>
  <c r="M19" i="4"/>
  <c r="H19" i="4"/>
  <c r="K30" i="4"/>
  <c r="AI42" i="10" s="1"/>
  <c r="P329" i="10" s="1"/>
  <c r="Q329" i="10" s="1"/>
  <c r="I45" i="4"/>
  <c r="N45" i="4"/>
  <c r="I9" i="4"/>
  <c r="N9" i="4"/>
  <c r="J54" i="4"/>
  <c r="O54" i="4"/>
  <c r="M53" i="4"/>
  <c r="P53" i="4" s="1"/>
  <c r="AL88" i="10" s="1"/>
  <c r="S388" i="10" s="1"/>
  <c r="T388" i="10" s="1"/>
  <c r="H53" i="4"/>
  <c r="K53" i="4" s="1"/>
  <c r="AI88" i="10" s="1"/>
  <c r="P388" i="10" s="1"/>
  <c r="Q388" i="10" s="1"/>
  <c r="K28" i="4"/>
  <c r="AI40" i="10" s="1"/>
  <c r="P271" i="10" s="1"/>
  <c r="Q271" i="10" s="1"/>
  <c r="R270" i="10" s="1"/>
  <c r="O16" i="4"/>
  <c r="P16" i="4" s="1"/>
  <c r="AL12" i="10" s="1"/>
  <c r="S296" i="10" s="1"/>
  <c r="T296" i="10" s="1"/>
  <c r="J16" i="4"/>
  <c r="N37" i="4"/>
  <c r="I37" i="4"/>
  <c r="J9" i="4"/>
  <c r="O9" i="4"/>
  <c r="I38" i="4"/>
  <c r="N38" i="4"/>
  <c r="J19" i="4"/>
  <c r="O19" i="4"/>
  <c r="M10" i="4"/>
  <c r="H10" i="4"/>
  <c r="M37" i="4"/>
  <c r="H37" i="4"/>
  <c r="N54" i="4"/>
  <c r="I54" i="4"/>
  <c r="M11" i="4"/>
  <c r="P11" i="4" s="1"/>
  <c r="AL7" i="10" s="1"/>
  <c r="H11" i="4"/>
  <c r="K13" i="4"/>
  <c r="AI9" i="10" s="1"/>
  <c r="P321" i="10" s="1"/>
  <c r="Q321" i="10" s="1"/>
  <c r="O18" i="4"/>
  <c r="J18" i="4"/>
  <c r="M44" i="4"/>
  <c r="H44" i="4"/>
  <c r="J25" i="4"/>
  <c r="O25" i="4"/>
  <c r="O31" i="4"/>
  <c r="J31" i="4"/>
  <c r="H15" i="4"/>
  <c r="M15" i="4"/>
  <c r="M14" i="4"/>
  <c r="H14" i="4"/>
  <c r="H39" i="4"/>
  <c r="K39" i="4" s="1"/>
  <c r="AI50" i="10" s="1"/>
  <c r="M39" i="4"/>
  <c r="P39" i="4" s="1"/>
  <c r="AL50" i="10" s="1"/>
  <c r="O37" i="4"/>
  <c r="J37" i="4"/>
  <c r="N10" i="4"/>
  <c r="I10" i="4"/>
  <c r="J38" i="4"/>
  <c r="O38" i="4"/>
  <c r="H9" i="4"/>
  <c r="M9" i="4"/>
  <c r="K29" i="4"/>
  <c r="AI41" i="10" s="1"/>
  <c r="M26" i="4"/>
  <c r="H26" i="4"/>
  <c r="O45" i="4"/>
  <c r="J45" i="4"/>
  <c r="N14" i="4"/>
  <c r="I14" i="4"/>
  <c r="O46" i="4"/>
  <c r="J46" i="4"/>
  <c r="H676" i="5" l="1"/>
  <c r="S66" i="21"/>
  <c r="I325" i="5"/>
  <c r="L87" i="21"/>
  <c r="AB87" i="21" s="1"/>
  <c r="Y33" i="21"/>
  <c r="F675" i="5"/>
  <c r="F120" i="21" s="1"/>
  <c r="R65" i="21"/>
  <c r="H675" i="5"/>
  <c r="H120" i="21" s="1"/>
  <c r="S65" i="21"/>
  <c r="AB33" i="21"/>
  <c r="L84" i="21"/>
  <c r="AB84" i="21" s="1"/>
  <c r="L325" i="5"/>
  <c r="Q693" i="5"/>
  <c r="H87" i="21"/>
  <c r="F676" i="5"/>
  <c r="R66" i="21"/>
  <c r="U65" i="21" s="1"/>
  <c r="AU61" i="5"/>
  <c r="AU62" i="5"/>
  <c r="I732" i="5"/>
  <c r="P638" i="5"/>
  <c r="G722" i="5"/>
  <c r="P692" i="5"/>
  <c r="G725" i="5"/>
  <c r="I725" i="5" s="1"/>
  <c r="P693" i="5"/>
  <c r="AT62" i="5"/>
  <c r="AT61" i="5"/>
  <c r="AH755" i="19"/>
  <c r="H662" i="5"/>
  <c r="P91" i="5"/>
  <c r="N91" i="5" s="1"/>
  <c r="L21" i="19"/>
  <c r="L23" i="19"/>
  <c r="G23" i="19" s="1"/>
  <c r="G19" i="19"/>
  <c r="L20" i="19"/>
  <c r="G20" i="19" s="1"/>
  <c r="T403" i="19"/>
  <c r="S403" i="19"/>
  <c r="P46" i="4"/>
  <c r="AL64" i="10" s="1"/>
  <c r="S216" i="10" s="1"/>
  <c r="T216" i="10" s="1"/>
  <c r="G334" i="10"/>
  <c r="E54" i="12"/>
  <c r="L52" i="12" s="1"/>
  <c r="T64" i="12" s="1"/>
  <c r="T74" i="12" s="1"/>
  <c r="G341" i="10"/>
  <c r="E55" i="12"/>
  <c r="X470" i="10"/>
  <c r="F213" i="11" s="1"/>
  <c r="L61" i="12"/>
  <c r="AA61" i="12"/>
  <c r="AA71" i="12" s="1"/>
  <c r="F42" i="12"/>
  <c r="K11" i="12"/>
  <c r="I740" i="5"/>
  <c r="H741" i="5"/>
  <c r="G336" i="5"/>
  <c r="I395" i="5"/>
  <c r="H735" i="5"/>
  <c r="J497" i="5"/>
  <c r="F643" i="5" s="1"/>
  <c r="E27" i="11"/>
  <c r="E32" i="11" s="1"/>
  <c r="H739" i="5"/>
  <c r="AB568" i="5"/>
  <c r="I714" i="5"/>
  <c r="S930" i="5"/>
  <c r="I722" i="5"/>
  <c r="H743" i="5"/>
  <c r="I736" i="5"/>
  <c r="T529" i="5"/>
  <c r="H434" i="5"/>
  <c r="I434" i="5" s="1"/>
  <c r="H437" i="5"/>
  <c r="I437" i="5" s="1"/>
  <c r="J445" i="5"/>
  <c r="F641" i="5" s="1"/>
  <c r="F86" i="21" s="1"/>
  <c r="K502" i="5"/>
  <c r="L502" i="5" s="1"/>
  <c r="M497" i="5" s="1"/>
  <c r="H643" i="5" s="1"/>
  <c r="K362" i="5"/>
  <c r="L362" i="5" s="1"/>
  <c r="E252" i="11"/>
  <c r="E251" i="11"/>
  <c r="AO483" i="5"/>
  <c r="Q234" i="11"/>
  <c r="U274" i="11"/>
  <c r="AN490" i="5"/>
  <c r="AO497" i="5"/>
  <c r="AN483" i="5"/>
  <c r="AO490" i="5"/>
  <c r="AN497" i="5"/>
  <c r="I603" i="5"/>
  <c r="L603" i="5"/>
  <c r="J577" i="5"/>
  <c r="M406" i="10"/>
  <c r="K293" i="10"/>
  <c r="L293" i="10" s="1"/>
  <c r="M291" i="10" s="1"/>
  <c r="H449" i="10" s="1"/>
  <c r="K313" i="10"/>
  <c r="L313" i="10" s="1"/>
  <c r="M311" i="10" s="1"/>
  <c r="H454" i="10" s="1"/>
  <c r="H293" i="10"/>
  <c r="I293" i="10" s="1"/>
  <c r="J291" i="10" s="1"/>
  <c r="F449" i="10" s="1"/>
  <c r="G538" i="10" s="1"/>
  <c r="I538" i="10" s="1"/>
  <c r="H313" i="10"/>
  <c r="I313" i="10" s="1"/>
  <c r="J311" i="10" s="1"/>
  <c r="F454" i="10" s="1"/>
  <c r="G543" i="10" s="1"/>
  <c r="I543" i="10" s="1"/>
  <c r="J406" i="10"/>
  <c r="M294" i="10"/>
  <c r="AK568" i="5"/>
  <c r="AU568" i="5"/>
  <c r="AI568" i="5"/>
  <c r="K488" i="5"/>
  <c r="L488" i="5" s="1"/>
  <c r="M483" i="5" s="1"/>
  <c r="K495" i="5"/>
  <c r="L495" i="5" s="1"/>
  <c r="K352" i="5"/>
  <c r="L352" i="5" s="1"/>
  <c r="K477" i="5"/>
  <c r="L477" i="5" s="1"/>
  <c r="K439" i="5"/>
  <c r="L439" i="5" s="1"/>
  <c r="K471" i="5"/>
  <c r="L471" i="5" s="1"/>
  <c r="K380" i="5"/>
  <c r="L380" i="5" s="1"/>
  <c r="M374" i="5" s="1"/>
  <c r="H635" i="5" s="1"/>
  <c r="H477" i="5"/>
  <c r="I477" i="5" s="1"/>
  <c r="H471" i="5"/>
  <c r="I471" i="5" s="1"/>
  <c r="K431" i="5"/>
  <c r="L431" i="5" s="1"/>
  <c r="K437" i="5"/>
  <c r="L437" i="5" s="1"/>
  <c r="K434" i="5"/>
  <c r="L434" i="5" s="1"/>
  <c r="AX568" i="5"/>
  <c r="AD568" i="5"/>
  <c r="H488" i="5"/>
  <c r="I488" i="5" s="1"/>
  <c r="J483" i="5" s="1"/>
  <c r="H495" i="5"/>
  <c r="I495" i="5" s="1"/>
  <c r="J490" i="5" s="1"/>
  <c r="F455" i="10"/>
  <c r="S241" i="10"/>
  <c r="T241" i="10" s="1"/>
  <c r="S237" i="10"/>
  <c r="T237" i="10" s="1"/>
  <c r="S283" i="10"/>
  <c r="T283" i="10" s="1"/>
  <c r="S235" i="10"/>
  <c r="T235" i="10" s="1"/>
  <c r="H226" i="10"/>
  <c r="I226" i="10" s="1"/>
  <c r="J224" i="10" s="1"/>
  <c r="F440" i="10" s="1"/>
  <c r="G530" i="10" s="1"/>
  <c r="I530" i="10" s="1"/>
  <c r="H238" i="10"/>
  <c r="I238" i="10" s="1"/>
  <c r="K238" i="10"/>
  <c r="L238" i="10" s="1"/>
  <c r="M233" i="10" s="1"/>
  <c r="K226" i="10"/>
  <c r="L226" i="10" s="1"/>
  <c r="M224" i="10" s="1"/>
  <c r="H440" i="10" s="1"/>
  <c r="P283" i="10"/>
  <c r="P235" i="10"/>
  <c r="H297" i="10"/>
  <c r="I297" i="10" s="1"/>
  <c r="H450" i="10"/>
  <c r="K256" i="10"/>
  <c r="L256" i="10" s="1"/>
  <c r="K325" i="10"/>
  <c r="L325" i="10" s="1"/>
  <c r="H268" i="10"/>
  <c r="I268" i="10" s="1"/>
  <c r="J264" i="10" s="1"/>
  <c r="H287" i="10"/>
  <c r="I287" i="10" s="1"/>
  <c r="J281" i="10" s="1"/>
  <c r="F448" i="10" s="1"/>
  <c r="K268" i="10"/>
  <c r="L268" i="10" s="1"/>
  <c r="M264" i="10" s="1"/>
  <c r="K287" i="10"/>
  <c r="L287" i="10" s="1"/>
  <c r="M281" i="10" s="1"/>
  <c r="H448" i="10" s="1"/>
  <c r="S289" i="10"/>
  <c r="T289" i="10" s="1"/>
  <c r="S285" i="10"/>
  <c r="T285" i="10" s="1"/>
  <c r="S266" i="10"/>
  <c r="T266" i="10" s="1"/>
  <c r="P254" i="10"/>
  <c r="Q254" i="10" s="1"/>
  <c r="P269" i="10"/>
  <c r="Q269" i="10" s="1"/>
  <c r="AN300" i="10"/>
  <c r="J328" i="10"/>
  <c r="F457" i="10" s="1"/>
  <c r="I549" i="5"/>
  <c r="AO462" i="5"/>
  <c r="G535" i="5"/>
  <c r="I535" i="5" s="1"/>
  <c r="H388" i="5"/>
  <c r="I388" i="5" s="1"/>
  <c r="H352" i="5"/>
  <c r="I352" i="5" s="1"/>
  <c r="H380" i="5"/>
  <c r="I380" i="5" s="1"/>
  <c r="L549" i="5"/>
  <c r="M548" i="5" s="1"/>
  <c r="AV925" i="5"/>
  <c r="AB524" i="5"/>
  <c r="AN466" i="5"/>
  <c r="Q531" i="5"/>
  <c r="X531" i="5"/>
  <c r="AX531" i="5" s="1"/>
  <c r="K344" i="5"/>
  <c r="L344" i="5" s="1"/>
  <c r="H439" i="5"/>
  <c r="I439" i="5" s="1"/>
  <c r="H344" i="5"/>
  <c r="I344" i="5" s="1"/>
  <c r="AY915" i="5"/>
  <c r="H48" i="4"/>
  <c r="P50" i="4"/>
  <c r="L536" i="5"/>
  <c r="AM378" i="10"/>
  <c r="AO374" i="10" s="1"/>
  <c r="L383" i="10" s="1"/>
  <c r="AN330" i="10"/>
  <c r="Q529" i="5"/>
  <c r="M552" i="5"/>
  <c r="N609" i="19" s="1"/>
  <c r="G532" i="5"/>
  <c r="U50" i="5"/>
  <c r="J552" i="5"/>
  <c r="N599" i="19" s="1"/>
  <c r="AI567" i="5"/>
  <c r="AM388" i="10"/>
  <c r="Q536" i="5"/>
  <c r="M915" i="5"/>
  <c r="O15" i="5"/>
  <c r="O16" i="5" s="1"/>
  <c r="F597" i="5"/>
  <c r="AL578" i="5"/>
  <c r="AM389" i="10"/>
  <c r="AN281" i="10"/>
  <c r="AL388" i="10"/>
  <c r="BB388" i="10" s="1"/>
  <c r="AL579" i="5"/>
  <c r="AB567" i="5"/>
  <c r="AN224" i="10"/>
  <c r="AN907" i="5"/>
  <c r="AY907" i="5"/>
  <c r="AN915" i="5"/>
  <c r="G334" i="5"/>
  <c r="L340" i="5"/>
  <c r="AL389" i="10"/>
  <c r="H51" i="4"/>
  <c r="K51" i="4" s="1"/>
  <c r="M51" i="4"/>
  <c r="P51" i="4" s="1"/>
  <c r="H49" i="4"/>
  <c r="K49" i="4" s="1"/>
  <c r="M49" i="4"/>
  <c r="P49" i="4" s="1"/>
  <c r="AL68" i="10"/>
  <c r="S252" i="10" s="1"/>
  <c r="T252" i="10" s="1"/>
  <c r="AL73" i="5"/>
  <c r="S403" i="5" s="1"/>
  <c r="T403" i="5" s="1"/>
  <c r="AD567" i="5"/>
  <c r="L344" i="10"/>
  <c r="O56" i="5"/>
  <c r="R56" i="5" s="1"/>
  <c r="G530" i="5" s="1"/>
  <c r="O56" i="10"/>
  <c r="R56" i="10" s="1"/>
  <c r="G340" i="10" s="1"/>
  <c r="L340" i="10" s="1"/>
  <c r="P51" i="5"/>
  <c r="S51" i="5" s="1"/>
  <c r="P51" i="10"/>
  <c r="S51" i="10" s="1"/>
  <c r="G343" i="10" s="1"/>
  <c r="I344" i="10"/>
  <c r="T339" i="10"/>
  <c r="Q339" i="10"/>
  <c r="Q346" i="10"/>
  <c r="T346" i="10"/>
  <c r="AV374" i="10"/>
  <c r="I403" i="10" s="1"/>
  <c r="L385" i="10"/>
  <c r="BC385" i="10" s="1"/>
  <c r="Y470" i="10" s="1"/>
  <c r="G213" i="11" s="1"/>
  <c r="AV387" i="10"/>
  <c r="AI396" i="5"/>
  <c r="AU567" i="5"/>
  <c r="AK567" i="5"/>
  <c r="AV577" i="5"/>
  <c r="I594" i="5" s="1"/>
  <c r="AX578" i="5"/>
  <c r="AX579" i="5"/>
  <c r="I398" i="5"/>
  <c r="AO510" i="5"/>
  <c r="BC510" i="5" s="1"/>
  <c r="I397" i="5"/>
  <c r="AX567" i="5"/>
  <c r="L400" i="5"/>
  <c r="AI524" i="5"/>
  <c r="AD524" i="5"/>
  <c r="AK524" i="5"/>
  <c r="AX524" i="5"/>
  <c r="AV524" i="5"/>
  <c r="Q237" i="11"/>
  <c r="I575" i="5"/>
  <c r="AN510" i="5"/>
  <c r="BB510" i="5" s="1"/>
  <c r="AM575" i="5"/>
  <c r="AO572" i="5" s="1"/>
  <c r="AN264" i="10"/>
  <c r="AN294" i="10"/>
  <c r="AO466" i="5"/>
  <c r="AN274" i="10"/>
  <c r="AN200" i="10"/>
  <c r="AX389" i="10"/>
  <c r="AX388" i="10"/>
  <c r="AN458" i="5"/>
  <c r="BB458" i="5" s="1"/>
  <c r="AN462" i="5"/>
  <c r="J358" i="10"/>
  <c r="BB358" i="10" s="1"/>
  <c r="X464" i="10" s="1"/>
  <c r="F207" i="11" s="1"/>
  <c r="AN308" i="10"/>
  <c r="AX378" i="10"/>
  <c r="AN233" i="10"/>
  <c r="AN291" i="10"/>
  <c r="AL378" i="10"/>
  <c r="AN374" i="10" s="1"/>
  <c r="I383" i="10" s="1"/>
  <c r="K407" i="5"/>
  <c r="L407" i="5" s="1"/>
  <c r="K454" i="5"/>
  <c r="L454" i="5" s="1"/>
  <c r="H529" i="5"/>
  <c r="I529" i="5" s="1"/>
  <c r="AO915" i="5"/>
  <c r="H536" i="5"/>
  <c r="I536" i="5" s="1"/>
  <c r="AV396" i="5"/>
  <c r="K339" i="5"/>
  <c r="K401" i="5"/>
  <c r="L401" i="5" s="1"/>
  <c r="AX396" i="5"/>
  <c r="K408" i="5"/>
  <c r="L408" i="5" s="1"/>
  <c r="AO907" i="5"/>
  <c r="AM579" i="5"/>
  <c r="AM578" i="5"/>
  <c r="AO458" i="5"/>
  <c r="BC458" i="5" s="1"/>
  <c r="AN227" i="10"/>
  <c r="AN316" i="10"/>
  <c r="K529" i="5"/>
  <c r="L529" i="5" s="1"/>
  <c r="H442" i="10"/>
  <c r="AO316" i="10"/>
  <c r="H909" i="5"/>
  <c r="I909" i="5" s="1"/>
  <c r="H341" i="5"/>
  <c r="I341" i="5" s="1"/>
  <c r="K909" i="5"/>
  <c r="L909" i="5" s="1"/>
  <c r="M907" i="5" s="1"/>
  <c r="K341" i="5"/>
  <c r="L341" i="5" s="1"/>
  <c r="AN304" i="10"/>
  <c r="BB304" i="10" s="1"/>
  <c r="X452" i="10" s="1"/>
  <c r="F195" i="11" s="1"/>
  <c r="H339" i="5"/>
  <c r="H401" i="5"/>
  <c r="I401" i="5" s="1"/>
  <c r="S246" i="10"/>
  <c r="T246" i="10" s="1"/>
  <c r="Q235" i="10"/>
  <c r="P246" i="10"/>
  <c r="Q246" i="10" s="1"/>
  <c r="Q283" i="10"/>
  <c r="S249" i="10"/>
  <c r="T249" i="10" s="1"/>
  <c r="S345" i="10"/>
  <c r="S247" i="10"/>
  <c r="T247" i="10" s="1"/>
  <c r="S250" i="10"/>
  <c r="T250" i="10" s="1"/>
  <c r="P249" i="10"/>
  <c r="Q249" i="10" s="1"/>
  <c r="P345" i="10"/>
  <c r="K50" i="4"/>
  <c r="AL46" i="5"/>
  <c r="S567" i="5" s="1"/>
  <c r="T567" i="5" s="1"/>
  <c r="AL44" i="10"/>
  <c r="AL37" i="5"/>
  <c r="AL35" i="10"/>
  <c r="S299" i="10" s="1"/>
  <c r="T299" i="10" s="1"/>
  <c r="AL38" i="5"/>
  <c r="S322" i="5" s="1"/>
  <c r="T322" i="5" s="1"/>
  <c r="AL36" i="10"/>
  <c r="AI70" i="5"/>
  <c r="P307" i="5" s="1"/>
  <c r="Q307" i="5" s="1"/>
  <c r="AI65" i="10"/>
  <c r="AI71" i="10" s="1"/>
  <c r="P276" i="10" s="1"/>
  <c r="Q276" i="10" s="1"/>
  <c r="P342" i="10"/>
  <c r="Q342" i="10" s="1"/>
  <c r="P335" i="10"/>
  <c r="Q335" i="10" s="1"/>
  <c r="S335" i="10"/>
  <c r="T335" i="10" s="1"/>
  <c r="S342" i="10"/>
  <c r="T342" i="10" s="1"/>
  <c r="AL70" i="5"/>
  <c r="S307" i="5" s="1"/>
  <c r="T307" i="5" s="1"/>
  <c r="AL65" i="10"/>
  <c r="AL71" i="10" s="1"/>
  <c r="S276" i="10" s="1"/>
  <c r="T276" i="10" s="1"/>
  <c r="AA71" i="5"/>
  <c r="H313" i="5" s="1"/>
  <c r="AA66" i="10"/>
  <c r="G554" i="10"/>
  <c r="I554" i="10" s="1"/>
  <c r="K346" i="10"/>
  <c r="L346" i="10" s="1"/>
  <c r="K339" i="10"/>
  <c r="L339" i="10" s="1"/>
  <c r="K257" i="10"/>
  <c r="L257" i="10" s="1"/>
  <c r="AN209" i="10"/>
  <c r="AO294" i="10"/>
  <c r="AO209" i="10"/>
  <c r="AO270" i="10"/>
  <c r="BC270" i="10" s="1"/>
  <c r="Y446" i="10" s="1"/>
  <c r="G189" i="11" s="1"/>
  <c r="G542" i="10"/>
  <c r="I542" i="10" s="1"/>
  <c r="AO291" i="10"/>
  <c r="AO227" i="10"/>
  <c r="AO308" i="10"/>
  <c r="AN329" i="10"/>
  <c r="BB329" i="10" s="1"/>
  <c r="AD71" i="5"/>
  <c r="K313" i="5" s="1"/>
  <c r="L313" i="5" s="1"/>
  <c r="AD66" i="10"/>
  <c r="H339" i="10"/>
  <c r="I339" i="10" s="1"/>
  <c r="H346" i="10"/>
  <c r="I346" i="10" s="1"/>
  <c r="H257" i="10"/>
  <c r="I257" i="10" s="1"/>
  <c r="AO233" i="10"/>
  <c r="AO264" i="10"/>
  <c r="K250" i="10"/>
  <c r="L250" i="10" s="1"/>
  <c r="M358" i="10"/>
  <c r="BC358" i="10" s="1"/>
  <c r="Y464" i="10" s="1"/>
  <c r="G207" i="11" s="1"/>
  <c r="AN270" i="10"/>
  <c r="BB270" i="10" s="1"/>
  <c r="X446" i="10" s="1"/>
  <c r="F189" i="11" s="1"/>
  <c r="AO281" i="10"/>
  <c r="AO245" i="10"/>
  <c r="AO300" i="10"/>
  <c r="AO274" i="10"/>
  <c r="AO200" i="10"/>
  <c r="AO329" i="10"/>
  <c r="BC329" i="10" s="1"/>
  <c r="H202" i="10"/>
  <c r="I202" i="10" s="1"/>
  <c r="J200" i="10" s="1"/>
  <c r="AN245" i="10"/>
  <c r="AO330" i="10"/>
  <c r="K338" i="10"/>
  <c r="L338" i="10" s="1"/>
  <c r="L345" i="10"/>
  <c r="M300" i="10"/>
  <c r="H451" i="10" s="1"/>
  <c r="H296" i="10"/>
  <c r="I296" i="10" s="1"/>
  <c r="H250" i="10"/>
  <c r="I250" i="10" s="1"/>
  <c r="L202" i="10"/>
  <c r="M200" i="10" s="1"/>
  <c r="AO304" i="10"/>
  <c r="BC304" i="10" s="1"/>
  <c r="Y452" i="10" s="1"/>
  <c r="G195" i="11" s="1"/>
  <c r="AO224" i="10"/>
  <c r="H338" i="10"/>
  <c r="I338" i="10" s="1"/>
  <c r="I345" i="10"/>
  <c r="J300" i="10"/>
  <c r="F451" i="10" s="1"/>
  <c r="I550" i="5"/>
  <c r="Q395" i="5"/>
  <c r="AB396" i="5"/>
  <c r="AD396" i="5"/>
  <c r="J915" i="5"/>
  <c r="AK396" i="5"/>
  <c r="K46" i="4"/>
  <c r="K16" i="4"/>
  <c r="P17" i="4"/>
  <c r="P27" i="4"/>
  <c r="K11" i="4"/>
  <c r="AI7" i="10" s="1"/>
  <c r="K17" i="4"/>
  <c r="P15" i="4"/>
  <c r="K48" i="4"/>
  <c r="K27" i="4"/>
  <c r="P48" i="4"/>
  <c r="I400" i="5"/>
  <c r="T335" i="5"/>
  <c r="Q335" i="5"/>
  <c r="L335" i="5"/>
  <c r="I335" i="5"/>
  <c r="L398" i="5"/>
  <c r="D409" i="5"/>
  <c r="AN445" i="5"/>
  <c r="AN420" i="5"/>
  <c r="AN343" i="5"/>
  <c r="V47" i="8"/>
  <c r="P53" i="5"/>
  <c r="S53" i="5" s="1"/>
  <c r="L526" i="5"/>
  <c r="I526" i="5"/>
  <c r="P44" i="4"/>
  <c r="P25" i="4"/>
  <c r="K25" i="4"/>
  <c r="G390" i="7"/>
  <c r="Q378" i="7"/>
  <c r="R378" i="7"/>
  <c r="AO420" i="5"/>
  <c r="AO343" i="5"/>
  <c r="H639" i="5"/>
  <c r="AO445" i="5"/>
  <c r="AO424" i="5"/>
  <c r="P37" i="4"/>
  <c r="P54" i="4"/>
  <c r="AN424" i="5"/>
  <c r="P19" i="4"/>
  <c r="P45" i="4"/>
  <c r="P31" i="4"/>
  <c r="AI43" i="5"/>
  <c r="P376" i="5" s="1"/>
  <c r="AI37" i="5"/>
  <c r="P38" i="4"/>
  <c r="AL49" i="10" s="1"/>
  <c r="AL8" i="5"/>
  <c r="S449" i="5" s="1"/>
  <c r="T449" i="5" s="1"/>
  <c r="AL42" i="5"/>
  <c r="S421" i="5" s="1"/>
  <c r="T421" i="5" s="1"/>
  <c r="U420" i="5" s="1"/>
  <c r="AL54" i="5"/>
  <c r="P10" i="4"/>
  <c r="AL6" i="10" s="1"/>
  <c r="S236" i="10" s="1"/>
  <c r="T236" i="10" s="1"/>
  <c r="AI47" i="5"/>
  <c r="AI54" i="5"/>
  <c r="AL7" i="5"/>
  <c r="S359" i="5" s="1"/>
  <c r="T359" i="5" s="1"/>
  <c r="K31" i="4"/>
  <c r="AI43" i="10" s="1"/>
  <c r="P309" i="10" s="1"/>
  <c r="Q309" i="10" s="1"/>
  <c r="R308" i="10" s="1"/>
  <c r="AI46" i="5"/>
  <c r="P567" i="5" s="1"/>
  <c r="Q567" i="5" s="1"/>
  <c r="AL47" i="5"/>
  <c r="AI9" i="5"/>
  <c r="K14" i="4"/>
  <c r="AI10" i="10" s="1"/>
  <c r="P201" i="10" s="1"/>
  <c r="K19" i="4"/>
  <c r="AL43" i="5"/>
  <c r="S376" i="5" s="1"/>
  <c r="P14" i="4"/>
  <c r="AL10" i="10" s="1"/>
  <c r="S201" i="10" s="1"/>
  <c r="AI42" i="5"/>
  <c r="P421" i="5" s="1"/>
  <c r="Q421" i="5" s="1"/>
  <c r="R420" i="5" s="1"/>
  <c r="AL93" i="5"/>
  <c r="AL12" i="5"/>
  <c r="P26" i="4"/>
  <c r="AL38" i="10" s="1"/>
  <c r="AI38" i="5"/>
  <c r="P322" i="5" s="1"/>
  <c r="Q322" i="5" s="1"/>
  <c r="AL44" i="5"/>
  <c r="S519" i="5" s="1"/>
  <c r="AI93" i="5"/>
  <c r="AI44" i="5"/>
  <c r="P519" i="5" s="1"/>
  <c r="P18" i="4"/>
  <c r="AL14" i="10" s="1"/>
  <c r="AI8" i="5"/>
  <c r="P449" i="5" s="1"/>
  <c r="Q449" i="5" s="1"/>
  <c r="AL9" i="5"/>
  <c r="AV306" i="5"/>
  <c r="AB306" i="5"/>
  <c r="AK306" i="5"/>
  <c r="AI306" i="5"/>
  <c r="AD306" i="5"/>
  <c r="AX306" i="5"/>
  <c r="K44" i="4"/>
  <c r="AI59" i="10" s="1"/>
  <c r="K10" i="4"/>
  <c r="AI6" i="10" s="1"/>
  <c r="P236" i="10" s="1"/>
  <c r="Q236" i="10" s="1"/>
  <c r="K38" i="4"/>
  <c r="AI49" i="10" s="1"/>
  <c r="K54" i="4"/>
  <c r="AI89" i="10" s="1"/>
  <c r="P389" i="10" s="1"/>
  <c r="Q389" i="10" s="1"/>
  <c r="R387" i="10" s="1"/>
  <c r="K9" i="4"/>
  <c r="AI5" i="10" s="1"/>
  <c r="K37" i="4"/>
  <c r="AI48" i="10" s="1"/>
  <c r="P322" i="10" s="1"/>
  <c r="Q322" i="10" s="1"/>
  <c r="K45" i="4"/>
  <c r="AI61" i="10" s="1"/>
  <c r="K18" i="4"/>
  <c r="AI14" i="10" s="1"/>
  <c r="K26" i="4"/>
  <c r="AI38" i="10" s="1"/>
  <c r="K15" i="4"/>
  <c r="AI11" i="10" s="1"/>
  <c r="P330" i="10" s="1"/>
  <c r="Q330" i="10" s="1"/>
  <c r="T405" i="19" l="1"/>
  <c r="P688" i="5"/>
  <c r="F88" i="21"/>
  <c r="Q688" i="5"/>
  <c r="H88" i="21"/>
  <c r="Q692" i="5"/>
  <c r="AH754" i="19" s="1"/>
  <c r="H84" i="21"/>
  <c r="AA33" i="21"/>
  <c r="L86" i="21"/>
  <c r="AB86" i="21" s="1"/>
  <c r="AQ48" i="21"/>
  <c r="P87" i="21"/>
  <c r="AC87" i="21" s="1"/>
  <c r="O921" i="19"/>
  <c r="H80" i="21"/>
  <c r="S406" i="19"/>
  <c r="H107" i="21"/>
  <c r="V65" i="21"/>
  <c r="J374" i="5"/>
  <c r="S405" i="19"/>
  <c r="AG750" i="19"/>
  <c r="AG755" i="19"/>
  <c r="AG754" i="19"/>
  <c r="H655" i="5"/>
  <c r="H100" i="21" s="1"/>
  <c r="O66" i="21" s="1"/>
  <c r="N608" i="19"/>
  <c r="AH750" i="19"/>
  <c r="E8" i="19"/>
  <c r="I20" i="19"/>
  <c r="E3" i="19"/>
  <c r="O8" i="19" s="1"/>
  <c r="AE786" i="19" s="1"/>
  <c r="I19" i="19"/>
  <c r="F662" i="5"/>
  <c r="G739" i="5" s="1"/>
  <c r="I739" i="5" s="1"/>
  <c r="AF786" i="19"/>
  <c r="U789" i="19" s="1"/>
  <c r="I23" i="19"/>
  <c r="AV62" i="5"/>
  <c r="G724" i="5"/>
  <c r="I724" i="5" s="1"/>
  <c r="P691" i="5"/>
  <c r="S400" i="19"/>
  <c r="L418" i="19" s="1"/>
  <c r="G418" i="19" s="1"/>
  <c r="I418" i="19" s="1"/>
  <c r="G21" i="19"/>
  <c r="L22" i="19"/>
  <c r="G22" i="19" s="1"/>
  <c r="AV61" i="5"/>
  <c r="Q336" i="5"/>
  <c r="L336" i="5"/>
  <c r="AL568" i="5"/>
  <c r="N335" i="19"/>
  <c r="L335" i="19" s="1"/>
  <c r="N332" i="19"/>
  <c r="L332" i="19" s="1"/>
  <c r="N258" i="19"/>
  <c r="N255" i="19"/>
  <c r="AL72" i="10"/>
  <c r="S217" i="10" s="1"/>
  <c r="T217" i="10" s="1"/>
  <c r="AL69" i="5"/>
  <c r="S366" i="5" s="1"/>
  <c r="T366" i="5" s="1"/>
  <c r="Q242" i="11"/>
  <c r="Q246" i="11" s="1"/>
  <c r="M316" i="10"/>
  <c r="H455" i="10" s="1"/>
  <c r="E56" i="12"/>
  <c r="L53" i="12"/>
  <c r="U64" i="12" s="1"/>
  <c r="U74" i="12" s="1"/>
  <c r="Q341" i="10"/>
  <c r="X341" i="10"/>
  <c r="F176" i="10"/>
  <c r="K246" i="11" s="1"/>
  <c r="F175" i="10"/>
  <c r="X334" i="10"/>
  <c r="Q334" i="10"/>
  <c r="J294" i="10"/>
  <c r="T336" i="5"/>
  <c r="I336" i="5"/>
  <c r="M466" i="5"/>
  <c r="H644" i="5" s="1"/>
  <c r="H89" i="21" s="1"/>
  <c r="L343" i="10"/>
  <c r="I23" i="12"/>
  <c r="Y239" i="11"/>
  <c r="S246" i="11"/>
  <c r="S249" i="11"/>
  <c r="J343" i="5"/>
  <c r="F633" i="5" s="1"/>
  <c r="F78" i="21" s="1"/>
  <c r="M445" i="5"/>
  <c r="H641" i="5" s="1"/>
  <c r="S506" i="5"/>
  <c r="T506" i="5" s="1"/>
  <c r="S456" i="5"/>
  <c r="T456" i="5" s="1"/>
  <c r="S489" i="5"/>
  <c r="T489" i="5" s="1"/>
  <c r="S480" i="5"/>
  <c r="T480" i="5" s="1"/>
  <c r="S496" i="5"/>
  <c r="T496" i="5" s="1"/>
  <c r="S373" i="5"/>
  <c r="T373" i="5" s="1"/>
  <c r="P480" i="5"/>
  <c r="Q480" i="5" s="1"/>
  <c r="P496" i="5"/>
  <c r="Q496" i="5" s="1"/>
  <c r="P489" i="5"/>
  <c r="Q489" i="5" s="1"/>
  <c r="P456" i="5"/>
  <c r="Q456" i="5" s="1"/>
  <c r="P373" i="5"/>
  <c r="Q373" i="5" s="1"/>
  <c r="H645" i="5"/>
  <c r="M490" i="5"/>
  <c r="H646" i="5" s="1"/>
  <c r="S450" i="5"/>
  <c r="T450" i="5" s="1"/>
  <c r="S369" i="5"/>
  <c r="T369" i="5" s="1"/>
  <c r="P450" i="5"/>
  <c r="Q450" i="5" s="1"/>
  <c r="P369" i="5"/>
  <c r="Q369" i="5" s="1"/>
  <c r="M396" i="5"/>
  <c r="H637" i="5" s="1"/>
  <c r="J396" i="5"/>
  <c r="F637" i="5" s="1"/>
  <c r="F82" i="21" s="1"/>
  <c r="X273" i="11"/>
  <c r="I53" i="11"/>
  <c r="K53" i="11" s="1"/>
  <c r="L535" i="5"/>
  <c r="Q233" i="11"/>
  <c r="I532" i="5"/>
  <c r="G337" i="5"/>
  <c r="I337" i="5" s="1"/>
  <c r="G519" i="5"/>
  <c r="L519" i="5" s="1"/>
  <c r="I56" i="11"/>
  <c r="K56" i="11" s="1"/>
  <c r="Y241" i="11"/>
  <c r="J466" i="5"/>
  <c r="F644" i="5" s="1"/>
  <c r="F89" i="21" s="1"/>
  <c r="F646" i="5"/>
  <c r="F91" i="21" s="1"/>
  <c r="F645" i="5"/>
  <c r="F90" i="21" s="1"/>
  <c r="H476" i="10"/>
  <c r="BC406" i="10"/>
  <c r="Y476" i="10" s="1"/>
  <c r="G216" i="11" s="1"/>
  <c r="G203" i="11" s="1"/>
  <c r="F476" i="10"/>
  <c r="BB406" i="10"/>
  <c r="X476" i="10" s="1"/>
  <c r="F216" i="11" s="1"/>
  <c r="F203" i="11" s="1"/>
  <c r="F635" i="5"/>
  <c r="J548" i="5"/>
  <c r="G544" i="10"/>
  <c r="I544" i="10" s="1"/>
  <c r="P393" i="5"/>
  <c r="Q393" i="5" s="1"/>
  <c r="P506" i="5"/>
  <c r="Q506" i="5" s="1"/>
  <c r="P292" i="10"/>
  <c r="Q292" i="10" s="1"/>
  <c r="R291" i="10" s="1"/>
  <c r="BB291" i="10" s="1"/>
  <c r="X449" i="10" s="1"/>
  <c r="F192" i="11" s="1"/>
  <c r="P312" i="10"/>
  <c r="Q312" i="10" s="1"/>
  <c r="R311" i="10" s="1"/>
  <c r="BB311" i="10" s="1"/>
  <c r="X454" i="10" s="1"/>
  <c r="F197" i="11" s="1"/>
  <c r="S292" i="10"/>
  <c r="T292" i="10" s="1"/>
  <c r="U291" i="10" s="1"/>
  <c r="BC291" i="10" s="1"/>
  <c r="Y449" i="10" s="1"/>
  <c r="G192" i="11" s="1"/>
  <c r="S312" i="10"/>
  <c r="T312" i="10" s="1"/>
  <c r="U311" i="10" s="1"/>
  <c r="BC311" i="10" s="1"/>
  <c r="Y454" i="10" s="1"/>
  <c r="G197" i="11" s="1"/>
  <c r="J233" i="10"/>
  <c r="F442" i="10" s="1"/>
  <c r="G532" i="10" s="1"/>
  <c r="I532" i="10" s="1"/>
  <c r="AM568" i="5"/>
  <c r="T337" i="5"/>
  <c r="S443" i="5"/>
  <c r="T443" i="5" s="1"/>
  <c r="S393" i="5"/>
  <c r="T393" i="5" s="1"/>
  <c r="P354" i="5"/>
  <c r="Q354" i="5" s="1"/>
  <c r="P443" i="5"/>
  <c r="Q443" i="5" s="1"/>
  <c r="M343" i="5"/>
  <c r="H633" i="5" s="1"/>
  <c r="S474" i="5"/>
  <c r="T474" i="5" s="1"/>
  <c r="S485" i="5"/>
  <c r="T485" i="5" s="1"/>
  <c r="S468" i="5"/>
  <c r="T468" i="5" s="1"/>
  <c r="S492" i="5"/>
  <c r="T492" i="5" s="1"/>
  <c r="L532" i="5"/>
  <c r="S439" i="5"/>
  <c r="T439" i="5" s="1"/>
  <c r="S471" i="5"/>
  <c r="T471" i="5" s="1"/>
  <c r="S477" i="5"/>
  <c r="T477" i="5" s="1"/>
  <c r="S211" i="10"/>
  <c r="T211" i="10" s="1"/>
  <c r="S229" i="10"/>
  <c r="T229" i="10" s="1"/>
  <c r="P211" i="10"/>
  <c r="Q211" i="10" s="1"/>
  <c r="P229" i="10"/>
  <c r="Q229" i="10" s="1"/>
  <c r="P241" i="10"/>
  <c r="Q241" i="10" s="1"/>
  <c r="P237" i="10"/>
  <c r="Q237" i="10" s="1"/>
  <c r="U233" i="10"/>
  <c r="P318" i="10"/>
  <c r="Q318" i="10" s="1"/>
  <c r="P205" i="10"/>
  <c r="Q205" i="10" s="1"/>
  <c r="S295" i="10"/>
  <c r="T295" i="10" s="1"/>
  <c r="U294" i="10" s="1"/>
  <c r="S319" i="10"/>
  <c r="T319" i="10" s="1"/>
  <c r="P295" i="10"/>
  <c r="Q295" i="10" s="1"/>
  <c r="P319" i="10"/>
  <c r="Q319" i="10" s="1"/>
  <c r="P265" i="10"/>
  <c r="Q265" i="10" s="1"/>
  <c r="P284" i="10"/>
  <c r="Q284" i="10" s="1"/>
  <c r="P266" i="10"/>
  <c r="Q266" i="10" s="1"/>
  <c r="P285" i="10"/>
  <c r="Q285" i="10" s="1"/>
  <c r="P289" i="10"/>
  <c r="Q289" i="10" s="1"/>
  <c r="S254" i="10"/>
  <c r="T254" i="10" s="1"/>
  <c r="S269" i="10"/>
  <c r="T269" i="10" s="1"/>
  <c r="S284" i="10"/>
  <c r="S265" i="10"/>
  <c r="T265" i="10" s="1"/>
  <c r="G545" i="10"/>
  <c r="I545" i="10" s="1"/>
  <c r="BB330" i="10"/>
  <c r="AN524" i="5"/>
  <c r="AV531" i="5"/>
  <c r="AI531" i="5"/>
  <c r="AB531" i="5"/>
  <c r="AK531" i="5"/>
  <c r="AD531" i="5"/>
  <c r="S348" i="5"/>
  <c r="T348" i="5" s="1"/>
  <c r="S382" i="5"/>
  <c r="T382" i="5" s="1"/>
  <c r="S377" i="5"/>
  <c r="T377" i="5" s="1"/>
  <c r="S344" i="5"/>
  <c r="T344" i="5" s="1"/>
  <c r="S354" i="5"/>
  <c r="T354" i="5" s="1"/>
  <c r="M925" i="5"/>
  <c r="AY925" i="5"/>
  <c r="AO387" i="10"/>
  <c r="L384" i="10" s="1"/>
  <c r="S397" i="5"/>
  <c r="T397" i="5" s="1"/>
  <c r="S568" i="5"/>
  <c r="T568" i="5" s="1"/>
  <c r="P397" i="5"/>
  <c r="Q397" i="5" s="1"/>
  <c r="P568" i="5"/>
  <c r="Q568" i="5" s="1"/>
  <c r="BB568" i="5" s="1"/>
  <c r="BC388" i="10"/>
  <c r="AL567" i="5"/>
  <c r="G534" i="5"/>
  <c r="U53" i="5"/>
  <c r="G533" i="5"/>
  <c r="U51" i="5"/>
  <c r="X333" i="5"/>
  <c r="AB333" i="5" s="1"/>
  <c r="AN577" i="5"/>
  <c r="I574" i="5" s="1"/>
  <c r="BB574" i="5" s="1"/>
  <c r="O17" i="5"/>
  <c r="AN387" i="10"/>
  <c r="I384" i="10" s="1"/>
  <c r="AY387" i="10"/>
  <c r="L404" i="10" s="1"/>
  <c r="AN925" i="5"/>
  <c r="S501" i="5"/>
  <c r="T501" i="5" s="1"/>
  <c r="I598" i="5"/>
  <c r="I599" i="5"/>
  <c r="L599" i="5"/>
  <c r="L598" i="5"/>
  <c r="F464" i="10"/>
  <c r="AN396" i="5"/>
  <c r="BB308" i="10"/>
  <c r="X453" i="10" s="1"/>
  <c r="F196" i="11" s="1"/>
  <c r="AM567" i="5"/>
  <c r="BC567" i="5" s="1"/>
  <c r="I313" i="5"/>
  <c r="AL72" i="5"/>
  <c r="AL67" i="10"/>
  <c r="AI67" i="10"/>
  <c r="P253" i="10" s="1"/>
  <c r="Q253" i="10" s="1"/>
  <c r="AI72" i="5"/>
  <c r="P404" i="5" s="1"/>
  <c r="Q404" i="5" s="1"/>
  <c r="AL74" i="5"/>
  <c r="S315" i="5" s="1"/>
  <c r="T315" i="5" s="1"/>
  <c r="AL69" i="10"/>
  <c r="AI69" i="10"/>
  <c r="AI74" i="5"/>
  <c r="P315" i="5" s="1"/>
  <c r="Q315" i="5" s="1"/>
  <c r="AI68" i="10"/>
  <c r="P252" i="10" s="1"/>
  <c r="Q252" i="10" s="1"/>
  <c r="AI73" i="5"/>
  <c r="P403" i="5" s="1"/>
  <c r="Q403" i="5" s="1"/>
  <c r="P56" i="5"/>
  <c r="S56" i="5" s="1"/>
  <c r="G537" i="5" s="1"/>
  <c r="L537" i="5" s="1"/>
  <c r="P56" i="10"/>
  <c r="S56" i="10" s="1"/>
  <c r="G347" i="10" s="1"/>
  <c r="I343" i="10"/>
  <c r="T340" i="10"/>
  <c r="Q340" i="10"/>
  <c r="I340" i="10"/>
  <c r="J334" i="10" s="1"/>
  <c r="N94" i="5"/>
  <c r="AG170" i="5"/>
  <c r="AG172" i="5" s="1"/>
  <c r="AH172" i="5" s="1"/>
  <c r="AG174" i="5" s="1"/>
  <c r="AI174" i="5" s="1"/>
  <c r="S578" i="5"/>
  <c r="T578" i="5" s="1"/>
  <c r="S499" i="5"/>
  <c r="T499" i="5" s="1"/>
  <c r="BB389" i="10"/>
  <c r="P578" i="5"/>
  <c r="Q578" i="5" s="1"/>
  <c r="P499" i="5"/>
  <c r="Q499" i="5" s="1"/>
  <c r="BC548" i="5"/>
  <c r="Y655" i="5" s="1"/>
  <c r="F163" i="11" s="1"/>
  <c r="I404" i="10"/>
  <c r="AY374" i="10"/>
  <c r="L403" i="10" s="1"/>
  <c r="AY577" i="5"/>
  <c r="L594" i="5" s="1"/>
  <c r="AO925" i="5"/>
  <c r="AO524" i="5"/>
  <c r="X374" i="5"/>
  <c r="AB374" i="5" s="1"/>
  <c r="F161" i="5"/>
  <c r="E233" i="11" s="1"/>
  <c r="G275" i="11" s="1"/>
  <c r="F158" i="5"/>
  <c r="BB575" i="5"/>
  <c r="BB548" i="5"/>
  <c r="X655" i="5" s="1"/>
  <c r="E163" i="11" s="1"/>
  <c r="L575" i="5"/>
  <c r="M245" i="10"/>
  <c r="H444" i="10" s="1"/>
  <c r="M334" i="10"/>
  <c r="I340" i="5"/>
  <c r="S311" i="5"/>
  <c r="T311" i="5" s="1"/>
  <c r="AO577" i="5"/>
  <c r="AI7" i="5"/>
  <c r="P359" i="5" s="1"/>
  <c r="Q359" i="5" s="1"/>
  <c r="J245" i="10"/>
  <c r="F444" i="10" s="1"/>
  <c r="I339" i="5"/>
  <c r="X338" i="5"/>
  <c r="AV338" i="5" s="1"/>
  <c r="S405" i="5"/>
  <c r="T405" i="5" s="1"/>
  <c r="S340" i="5"/>
  <c r="T340" i="5" s="1"/>
  <c r="P337" i="10"/>
  <c r="Q337" i="10" s="1"/>
  <c r="P344" i="10"/>
  <c r="Q344" i="10" s="1"/>
  <c r="AL71" i="5"/>
  <c r="S313" i="5" s="1"/>
  <c r="AL66" i="10"/>
  <c r="P343" i="10"/>
  <c r="Q343" i="10" s="1"/>
  <c r="P336" i="10"/>
  <c r="Q336" i="10" s="1"/>
  <c r="AL65" i="5"/>
  <c r="AL67" i="5" s="1"/>
  <c r="AL61" i="10"/>
  <c r="AI39" i="10"/>
  <c r="AI69" i="5"/>
  <c r="P366" i="5" s="1"/>
  <c r="Q366" i="5" s="1"/>
  <c r="AI64" i="10"/>
  <c r="P210" i="10"/>
  <c r="Q210" i="10" s="1"/>
  <c r="P275" i="10"/>
  <c r="Q275" i="10" s="1"/>
  <c r="P228" i="10"/>
  <c r="Q228" i="10" s="1"/>
  <c r="S251" i="10"/>
  <c r="T251" i="10" s="1"/>
  <c r="S225" i="10"/>
  <c r="T225" i="10" s="1"/>
  <c r="U224" i="10" s="1"/>
  <c r="BC224" i="10" s="1"/>
  <c r="Y440" i="10" s="1"/>
  <c r="G184" i="11" s="1"/>
  <c r="AL13" i="5"/>
  <c r="AL13" i="10"/>
  <c r="AI12" i="5"/>
  <c r="AI12" i="10"/>
  <c r="P296" i="10" s="1"/>
  <c r="Q296" i="10" s="1"/>
  <c r="P225" i="10"/>
  <c r="Q225" i="10" s="1"/>
  <c r="R224" i="10" s="1"/>
  <c r="BB224" i="10" s="1"/>
  <c r="X440" i="10" s="1"/>
  <c r="F184" i="11" s="1"/>
  <c r="P251" i="10"/>
  <c r="Q251" i="10" s="1"/>
  <c r="S336" i="10"/>
  <c r="T336" i="10" s="1"/>
  <c r="S343" i="10"/>
  <c r="T343" i="10" s="1"/>
  <c r="AL15" i="10"/>
  <c r="AL15" i="5"/>
  <c r="AI71" i="5"/>
  <c r="P313" i="5" s="1"/>
  <c r="AI66" i="10"/>
  <c r="P231" i="10"/>
  <c r="Q231" i="10" s="1"/>
  <c r="P301" i="10"/>
  <c r="Q301" i="10" s="1"/>
  <c r="R300" i="10" s="1"/>
  <c r="BB300" i="10" s="1"/>
  <c r="X451" i="10" s="1"/>
  <c r="P278" i="10"/>
  <c r="Q278" i="10" s="1"/>
  <c r="P213" i="10"/>
  <c r="Q213" i="10" s="1"/>
  <c r="AL63" i="5"/>
  <c r="S296" i="5" s="1"/>
  <c r="AL59" i="10"/>
  <c r="I399" i="10"/>
  <c r="T201" i="10"/>
  <c r="S248" i="10"/>
  <c r="T248" i="10" s="1"/>
  <c r="AL11" i="5"/>
  <c r="S520" i="5" s="1"/>
  <c r="AL11" i="10"/>
  <c r="S330" i="10" s="1"/>
  <c r="T330" i="10" s="1"/>
  <c r="S210" i="10"/>
  <c r="T210" i="10" s="1"/>
  <c r="S228" i="10"/>
  <c r="T228" i="10" s="1"/>
  <c r="S275" i="10"/>
  <c r="T275" i="10" s="1"/>
  <c r="S338" i="10"/>
  <c r="T338" i="10" s="1"/>
  <c r="T345" i="10"/>
  <c r="AL94" i="5"/>
  <c r="S579" i="5" s="1"/>
  <c r="T579" i="5" s="1"/>
  <c r="AL89" i="10"/>
  <c r="S389" i="10" s="1"/>
  <c r="T389" i="10" s="1"/>
  <c r="U387" i="10" s="1"/>
  <c r="AI13" i="5"/>
  <c r="AI13" i="10"/>
  <c r="P248" i="10"/>
  <c r="Q248" i="10" s="1"/>
  <c r="Q201" i="10"/>
  <c r="AL45" i="5"/>
  <c r="S355" i="5" s="1"/>
  <c r="T355" i="5" s="1"/>
  <c r="AL43" i="10"/>
  <c r="S309" i="10" s="1"/>
  <c r="AI15" i="10"/>
  <c r="AI15" i="5"/>
  <c r="AL52" i="5"/>
  <c r="S451" i="5" s="1"/>
  <c r="T451" i="5" s="1"/>
  <c r="AL48" i="10"/>
  <c r="S322" i="10" s="1"/>
  <c r="T322" i="10" s="1"/>
  <c r="AI39" i="5"/>
  <c r="P317" i="5" s="1"/>
  <c r="Q317" i="5" s="1"/>
  <c r="AI37" i="10"/>
  <c r="P247" i="10"/>
  <c r="Q247" i="10" s="1"/>
  <c r="Q345" i="10"/>
  <c r="P338" i="10"/>
  <c r="Q338" i="10" s="1"/>
  <c r="AL39" i="5"/>
  <c r="S317" i="5" s="1"/>
  <c r="T317" i="5" s="1"/>
  <c r="AL37" i="10"/>
  <c r="AL39" i="10"/>
  <c r="F450" i="10"/>
  <c r="H437" i="10"/>
  <c r="H445" i="10"/>
  <c r="L378" i="10"/>
  <c r="M374" i="10" s="1"/>
  <c r="H464" i="10"/>
  <c r="F445" i="10"/>
  <c r="I378" i="10"/>
  <c r="G537" i="10"/>
  <c r="I537" i="10" s="1"/>
  <c r="G540" i="10"/>
  <c r="I540" i="10" s="1"/>
  <c r="AO396" i="5"/>
  <c r="F437" i="10"/>
  <c r="P340" i="5"/>
  <c r="Q340" i="5" s="1"/>
  <c r="BB420" i="5"/>
  <c r="X639" i="5" s="1"/>
  <c r="E149" i="11" s="1"/>
  <c r="S398" i="5"/>
  <c r="T398" i="5" s="1"/>
  <c r="S401" i="5"/>
  <c r="T401" i="5" s="1"/>
  <c r="S339" i="5"/>
  <c r="G721" i="5"/>
  <c r="I721" i="5" s="1"/>
  <c r="P405" i="5"/>
  <c r="Q405" i="5" s="1"/>
  <c r="S535" i="5"/>
  <c r="S528" i="5" s="1"/>
  <c r="T528" i="5" s="1"/>
  <c r="S400" i="5"/>
  <c r="T400" i="5" s="1"/>
  <c r="P535" i="5"/>
  <c r="P528" i="5" s="1"/>
  <c r="Q528" i="5" s="1"/>
  <c r="P400" i="5"/>
  <c r="Q400" i="5" s="1"/>
  <c r="G332" i="5"/>
  <c r="L530" i="5"/>
  <c r="T530" i="5"/>
  <c r="Q530" i="5"/>
  <c r="I530" i="5"/>
  <c r="I527" i="5"/>
  <c r="L527" i="5"/>
  <c r="Q372" i="7"/>
  <c r="Q375" i="7" s="1"/>
  <c r="R372" i="7"/>
  <c r="R375" i="7" s="1"/>
  <c r="BC420" i="5"/>
  <c r="Y639" i="5" s="1"/>
  <c r="F149" i="11" s="1"/>
  <c r="AN306" i="5"/>
  <c r="P532" i="5"/>
  <c r="Q532" i="5" s="1"/>
  <c r="P525" i="5"/>
  <c r="Q525" i="5" s="1"/>
  <c r="P309" i="5"/>
  <c r="Q309" i="5" s="1"/>
  <c r="S310" i="5"/>
  <c r="T310" i="5" s="1"/>
  <c r="AI6" i="5"/>
  <c r="P487" i="5" s="1"/>
  <c r="AI94" i="5"/>
  <c r="P579" i="5" s="1"/>
  <c r="Q579" i="5" s="1"/>
  <c r="S309" i="5"/>
  <c r="T309" i="5" s="1"/>
  <c r="S525" i="5"/>
  <c r="T525" i="5" s="1"/>
  <c r="S532" i="5"/>
  <c r="T532" i="5" s="1"/>
  <c r="AI11" i="5"/>
  <c r="P520" i="5" s="1"/>
  <c r="AI5" i="5"/>
  <c r="AI53" i="5"/>
  <c r="AL53" i="5"/>
  <c r="AI40" i="5"/>
  <c r="P319" i="5" s="1"/>
  <c r="Q319" i="5" s="1"/>
  <c r="AI14" i="5"/>
  <c r="AL14" i="5"/>
  <c r="S320" i="5"/>
  <c r="T320" i="5" s="1"/>
  <c r="T376" i="5"/>
  <c r="P311" i="5"/>
  <c r="Q311" i="5" s="1"/>
  <c r="AI63" i="5"/>
  <c r="AL40" i="5"/>
  <c r="S319" i="5" s="1"/>
  <c r="T319" i="5" s="1"/>
  <c r="AI65" i="5"/>
  <c r="AI67" i="5" s="1"/>
  <c r="AI45" i="5"/>
  <c r="P355" i="5" s="1"/>
  <c r="Q355" i="5" s="1"/>
  <c r="P320" i="5"/>
  <c r="Q320" i="5" s="1"/>
  <c r="Q376" i="5"/>
  <c r="AI52" i="5"/>
  <c r="P451" i="5" s="1"/>
  <c r="Q451" i="5" s="1"/>
  <c r="AL10" i="5"/>
  <c r="AI10" i="5"/>
  <c r="AL6" i="5"/>
  <c r="S487" i="5" s="1"/>
  <c r="AO306" i="5"/>
  <c r="I334" i="5"/>
  <c r="L334" i="5"/>
  <c r="J382" i="10" l="1"/>
  <c r="F470" i="10" s="1"/>
  <c r="D520" i="9"/>
  <c r="G524" i="9" s="1"/>
  <c r="M382" i="10"/>
  <c r="H470" i="10" s="1"/>
  <c r="E520" i="9"/>
  <c r="H524" i="9" s="1"/>
  <c r="H499" i="9"/>
  <c r="H502" i="9" s="1"/>
  <c r="R73" i="21"/>
  <c r="AT48" i="21"/>
  <c r="P84" i="21"/>
  <c r="AC84" i="21" s="1"/>
  <c r="I500" i="9"/>
  <c r="F500" i="9" s="1"/>
  <c r="S72" i="21"/>
  <c r="AL76" i="5"/>
  <c r="S368" i="5" s="1"/>
  <c r="U33" i="21"/>
  <c r="L90" i="21"/>
  <c r="AB90" i="21" s="1"/>
  <c r="P31" i="21"/>
  <c r="L80" i="21"/>
  <c r="AB80" i="21" s="1"/>
  <c r="P89" i="21"/>
  <c r="AC89" i="21" s="1"/>
  <c r="AN48" i="21"/>
  <c r="O919" i="19"/>
  <c r="H78" i="21"/>
  <c r="S426" i="5"/>
  <c r="T426" i="5" s="1"/>
  <c r="L91" i="21"/>
  <c r="AB91" i="21" s="1"/>
  <c r="X33" i="21"/>
  <c r="AJ42" i="21"/>
  <c r="P82" i="21"/>
  <c r="AC82" i="21" s="1"/>
  <c r="AO48" i="21"/>
  <c r="P88" i="21"/>
  <c r="AC88" i="21" s="1"/>
  <c r="S308" i="5"/>
  <c r="T308" i="5" s="1"/>
  <c r="L89" i="21"/>
  <c r="AB89" i="21" s="1"/>
  <c r="V33" i="21"/>
  <c r="Q689" i="5"/>
  <c r="H91" i="21"/>
  <c r="Q691" i="5"/>
  <c r="AH753" i="19" s="1"/>
  <c r="H86" i="21"/>
  <c r="T406" i="19"/>
  <c r="L404" i="19" s="1"/>
  <c r="G404" i="19" s="1"/>
  <c r="I404" i="19" s="1"/>
  <c r="F107" i="21"/>
  <c r="N921" i="19"/>
  <c r="F80" i="21"/>
  <c r="Q686" i="5"/>
  <c r="AH748" i="19" s="1"/>
  <c r="H90" i="21"/>
  <c r="W33" i="21"/>
  <c r="L88" i="21"/>
  <c r="AB88" i="21" s="1"/>
  <c r="Q440" i="10"/>
  <c r="Q449" i="10" s="1"/>
  <c r="L200" i="19" s="1"/>
  <c r="D131" i="21"/>
  <c r="H131" i="21" s="1"/>
  <c r="T137" i="21" s="1"/>
  <c r="R440" i="10"/>
  <c r="R449" i="10" s="1"/>
  <c r="F131" i="21"/>
  <c r="I131" i="21" s="1"/>
  <c r="X137" i="21" s="1"/>
  <c r="D138" i="21"/>
  <c r="H138" i="21" s="1"/>
  <c r="T142" i="21" s="1"/>
  <c r="AS759" i="19"/>
  <c r="AV759" i="19" s="1"/>
  <c r="Q690" i="5"/>
  <c r="H82" i="21"/>
  <c r="Z33" i="21"/>
  <c r="L83" i="21"/>
  <c r="AB83" i="21" s="1"/>
  <c r="R493" i="10"/>
  <c r="F138" i="21"/>
  <c r="I138" i="21" s="1"/>
  <c r="X142" i="21" s="1"/>
  <c r="AT759" i="19"/>
  <c r="AY759" i="19" s="1"/>
  <c r="L413" i="19"/>
  <c r="G413" i="19" s="1"/>
  <c r="I413" i="19" s="1"/>
  <c r="L416" i="19"/>
  <c r="G416" i="19" s="1"/>
  <c r="I416" i="19" s="1"/>
  <c r="L399" i="19"/>
  <c r="L402" i="19"/>
  <c r="G402" i="19" s="1"/>
  <c r="I402" i="19" s="1"/>
  <c r="Q687" i="5"/>
  <c r="AH751" i="19"/>
  <c r="BC575" i="5"/>
  <c r="Y661" i="5" s="1"/>
  <c r="F165" i="11" s="1"/>
  <c r="E10" i="19"/>
  <c r="I22" i="19"/>
  <c r="E5" i="19"/>
  <c r="I21" i="19"/>
  <c r="G728" i="5"/>
  <c r="I728" i="5" s="1"/>
  <c r="P686" i="5"/>
  <c r="U786" i="19"/>
  <c r="U795" i="19" s="1"/>
  <c r="Q789" i="19"/>
  <c r="W789" i="19"/>
  <c r="U794" i="19"/>
  <c r="S789" i="19"/>
  <c r="Y789" i="19"/>
  <c r="F655" i="5"/>
  <c r="F100" i="21" s="1"/>
  <c r="M66" i="21" s="1"/>
  <c r="N598" i="19"/>
  <c r="G729" i="5"/>
  <c r="I729" i="5" s="1"/>
  <c r="P689" i="5"/>
  <c r="G727" i="5"/>
  <c r="I727" i="5" s="1"/>
  <c r="P687" i="5"/>
  <c r="AG753" i="19"/>
  <c r="J499" i="9"/>
  <c r="J333" i="5"/>
  <c r="G500" i="9"/>
  <c r="H508" i="9"/>
  <c r="G718" i="5"/>
  <c r="I718" i="5" s="1"/>
  <c r="N919" i="19"/>
  <c r="L255" i="19"/>
  <c r="G255" i="19" s="1"/>
  <c r="I255" i="19" s="1"/>
  <c r="L258" i="19"/>
  <c r="G258" i="19" s="1"/>
  <c r="I258" i="19" s="1"/>
  <c r="L334" i="19"/>
  <c r="G332" i="19"/>
  <c r="I332" i="19" s="1"/>
  <c r="L333" i="19"/>
  <c r="G335" i="19"/>
  <c r="I335" i="19" s="1"/>
  <c r="AH752" i="19"/>
  <c r="G720" i="5"/>
  <c r="I720" i="5" s="1"/>
  <c r="P690" i="5"/>
  <c r="G533" i="10"/>
  <c r="I533" i="10" s="1"/>
  <c r="Q493" i="10"/>
  <c r="Q249" i="11"/>
  <c r="K245" i="11"/>
  <c r="E156" i="10"/>
  <c r="AK341" i="10"/>
  <c r="AI341" i="10"/>
  <c r="AV341" i="10"/>
  <c r="AD341" i="10"/>
  <c r="AB341" i="10"/>
  <c r="AX341" i="10"/>
  <c r="AX334" i="10"/>
  <c r="AI334" i="10"/>
  <c r="AV334" i="10"/>
  <c r="AB334" i="10"/>
  <c r="AD334" i="10"/>
  <c r="AK334" i="10"/>
  <c r="P216" i="10"/>
  <c r="Q216" i="10" s="1"/>
  <c r="AI72" i="10"/>
  <c r="P217" i="10" s="1"/>
  <c r="Q217" i="10" s="1"/>
  <c r="I519" i="5"/>
  <c r="J524" i="5"/>
  <c r="C542" i="5" s="1"/>
  <c r="I42" i="12"/>
  <c r="K42" i="12" s="1"/>
  <c r="K23" i="12"/>
  <c r="S245" i="11"/>
  <c r="Q245" i="11"/>
  <c r="J338" i="5"/>
  <c r="S390" i="5"/>
  <c r="T390" i="5" s="1"/>
  <c r="S357" i="5"/>
  <c r="T357" i="5" s="1"/>
  <c r="P386" i="5"/>
  <c r="Q386" i="5" s="1"/>
  <c r="P363" i="5"/>
  <c r="Q363" i="5" s="1"/>
  <c r="P361" i="5"/>
  <c r="Q361" i="5" s="1"/>
  <c r="P390" i="5"/>
  <c r="Q390" i="5" s="1"/>
  <c r="P357" i="5"/>
  <c r="Q357" i="5" s="1"/>
  <c r="P312" i="5"/>
  <c r="Q312" i="5" s="1"/>
  <c r="P370" i="5"/>
  <c r="Q370" i="5" s="1"/>
  <c r="S312" i="5"/>
  <c r="T312" i="5" s="1"/>
  <c r="S370" i="5"/>
  <c r="T370" i="5" s="1"/>
  <c r="Q519" i="5"/>
  <c r="X519" i="5"/>
  <c r="AB519" i="5" s="1"/>
  <c r="T519" i="5"/>
  <c r="L337" i="5"/>
  <c r="M333" i="5" s="1"/>
  <c r="Q337" i="5"/>
  <c r="L534" i="5"/>
  <c r="Y238" i="11"/>
  <c r="I52" i="11"/>
  <c r="K52" i="11" s="1"/>
  <c r="G520" i="5"/>
  <c r="G518" i="5" s="1"/>
  <c r="F173" i="5" s="1"/>
  <c r="E245" i="11" s="1"/>
  <c r="Q236" i="11" s="1"/>
  <c r="I533" i="5"/>
  <c r="U497" i="5"/>
  <c r="BC497" i="5" s="1"/>
  <c r="Y643" i="5" s="1"/>
  <c r="U466" i="5"/>
  <c r="G558" i="10"/>
  <c r="I558" i="10" s="1"/>
  <c r="X661" i="5"/>
  <c r="E165" i="11" s="1"/>
  <c r="G300" i="5"/>
  <c r="G304" i="5" s="1"/>
  <c r="M596" i="5"/>
  <c r="BC596" i="5" s="1"/>
  <c r="Y667" i="5" s="1"/>
  <c r="F167" i="11" s="1"/>
  <c r="F161" i="11" s="1"/>
  <c r="I534" i="5"/>
  <c r="J596" i="5"/>
  <c r="R294" i="10"/>
  <c r="BC568" i="5"/>
  <c r="R233" i="10"/>
  <c r="BB233" i="10" s="1"/>
  <c r="X442" i="10" s="1"/>
  <c r="F186" i="11" s="1"/>
  <c r="S436" i="5"/>
  <c r="T436" i="5" s="1"/>
  <c r="S433" i="5"/>
  <c r="T433" i="5" s="1"/>
  <c r="S430" i="5"/>
  <c r="T430" i="5" s="1"/>
  <c r="P430" i="5"/>
  <c r="Q430" i="5" s="1"/>
  <c r="P436" i="5"/>
  <c r="Q436" i="5" s="1"/>
  <c r="P433" i="5"/>
  <c r="Q433" i="5" s="1"/>
  <c r="S427" i="5"/>
  <c r="T427" i="5" s="1"/>
  <c r="P308" i="5"/>
  <c r="Q308" i="5" s="1"/>
  <c r="P426" i="5"/>
  <c r="Q426" i="5" s="1"/>
  <c r="AI76" i="5"/>
  <c r="P368" i="5" s="1"/>
  <c r="T487" i="5"/>
  <c r="S494" i="5"/>
  <c r="T494" i="5" s="1"/>
  <c r="U490" i="5" s="1"/>
  <c r="P492" i="5"/>
  <c r="Q492" i="5" s="1"/>
  <c r="P474" i="5"/>
  <c r="Q474" i="5" s="1"/>
  <c r="P485" i="5"/>
  <c r="Q485" i="5" s="1"/>
  <c r="P468" i="5"/>
  <c r="Q468" i="5" s="1"/>
  <c r="Q487" i="5"/>
  <c r="P494" i="5"/>
  <c r="Q494" i="5" s="1"/>
  <c r="P439" i="5"/>
  <c r="Q439" i="5" s="1"/>
  <c r="P471" i="5"/>
  <c r="Q471" i="5" s="1"/>
  <c r="P477" i="5"/>
  <c r="Q477" i="5" s="1"/>
  <c r="BB316" i="10"/>
  <c r="X455" i="10" s="1"/>
  <c r="F198" i="11" s="1"/>
  <c r="R200" i="10"/>
  <c r="BB200" i="10" s="1"/>
  <c r="BC294" i="10"/>
  <c r="Y450" i="10" s="1"/>
  <c r="G193" i="11" s="1"/>
  <c r="R264" i="10"/>
  <c r="Q378" i="10" s="1"/>
  <c r="R374" i="10" s="1"/>
  <c r="R281" i="10"/>
  <c r="BB281" i="10" s="1"/>
  <c r="X448" i="10" s="1"/>
  <c r="F191" i="11" s="1"/>
  <c r="U264" i="10"/>
  <c r="AN531" i="5"/>
  <c r="AO531" i="5"/>
  <c r="BB567" i="5"/>
  <c r="P348" i="5"/>
  <c r="Q348" i="5" s="1"/>
  <c r="P377" i="5"/>
  <c r="Q377" i="5" s="1"/>
  <c r="P382" i="5"/>
  <c r="Q382" i="5" s="1"/>
  <c r="P349" i="5"/>
  <c r="Q349" i="5" s="1"/>
  <c r="P379" i="5"/>
  <c r="Q379" i="5" s="1"/>
  <c r="P385" i="5"/>
  <c r="Q385" i="5" s="1"/>
  <c r="S349" i="5"/>
  <c r="T349" i="5" s="1"/>
  <c r="S379" i="5"/>
  <c r="T379" i="5" s="1"/>
  <c r="S385" i="5"/>
  <c r="T385" i="5" s="1"/>
  <c r="P350" i="5"/>
  <c r="Q350" i="5" s="1"/>
  <c r="P344" i="5"/>
  <c r="Q344" i="5" s="1"/>
  <c r="U48" i="5"/>
  <c r="S297" i="5"/>
  <c r="S565" i="5" s="1"/>
  <c r="S566" i="5" s="1"/>
  <c r="S302" i="5"/>
  <c r="P297" i="5"/>
  <c r="P302" i="5"/>
  <c r="BC382" i="10"/>
  <c r="BC389" i="10"/>
  <c r="BC387" i="10"/>
  <c r="Y471" i="10" s="1"/>
  <c r="G214" i="11" s="1"/>
  <c r="G202" i="11" s="1"/>
  <c r="BB387" i="10"/>
  <c r="G549" i="10"/>
  <c r="I549" i="10" s="1"/>
  <c r="AV333" i="5"/>
  <c r="AK333" i="5"/>
  <c r="AD333" i="5"/>
  <c r="AI333" i="5"/>
  <c r="AN333" i="5" s="1"/>
  <c r="AX333" i="5"/>
  <c r="L533" i="5"/>
  <c r="G295" i="5"/>
  <c r="AD374" i="5"/>
  <c r="S448" i="5"/>
  <c r="T448" i="5" s="1"/>
  <c r="P448" i="5"/>
  <c r="Q448" i="5" s="1"/>
  <c r="P501" i="5"/>
  <c r="Q501" i="5" s="1"/>
  <c r="S314" i="5"/>
  <c r="T314" i="5" s="1"/>
  <c r="P314" i="5"/>
  <c r="Q314" i="5" s="1"/>
  <c r="R577" i="5"/>
  <c r="I589" i="5" s="1"/>
  <c r="AX338" i="5"/>
  <c r="T537" i="5"/>
  <c r="R227" i="10"/>
  <c r="R274" i="10"/>
  <c r="T313" i="5"/>
  <c r="Q313" i="5"/>
  <c r="I537" i="5"/>
  <c r="Q537" i="5"/>
  <c r="U245" i="10"/>
  <c r="BC245" i="10" s="1"/>
  <c r="Y444" i="10" s="1"/>
  <c r="G187" i="11" s="1"/>
  <c r="T347" i="10"/>
  <c r="Q347" i="10"/>
  <c r="R341" i="10" s="1"/>
  <c r="L347" i="10"/>
  <c r="M341" i="10" s="1"/>
  <c r="H459" i="10" s="1"/>
  <c r="I347" i="10"/>
  <c r="J341" i="10" s="1"/>
  <c r="F459" i="10" s="1"/>
  <c r="U577" i="5"/>
  <c r="L589" i="5" s="1"/>
  <c r="U328" i="10"/>
  <c r="F194" i="11"/>
  <c r="G553" i="10"/>
  <c r="I553" i="10" s="1"/>
  <c r="BB382" i="10"/>
  <c r="P316" i="5"/>
  <c r="Q316" i="5" s="1"/>
  <c r="P463" i="5"/>
  <c r="Q463" i="5" s="1"/>
  <c r="R462" i="5" s="1"/>
  <c r="S316" i="5"/>
  <c r="T316" i="5" s="1"/>
  <c r="S463" i="5"/>
  <c r="T463" i="5" s="1"/>
  <c r="U462" i="5" s="1"/>
  <c r="BC462" i="5" s="1"/>
  <c r="Y642" i="5" s="1"/>
  <c r="F152" i="11" s="1"/>
  <c r="AK338" i="5"/>
  <c r="AD338" i="5"/>
  <c r="P310" i="5"/>
  <c r="Q310" i="5" s="1"/>
  <c r="AI338" i="5"/>
  <c r="AB338" i="5"/>
  <c r="AI374" i="5"/>
  <c r="AN374" i="5" s="1"/>
  <c r="AK374" i="5"/>
  <c r="AX374" i="5"/>
  <c r="AV374" i="5"/>
  <c r="G734" i="5"/>
  <c r="I734" i="5" s="1"/>
  <c r="E230" i="11"/>
  <c r="S527" i="5"/>
  <c r="T527" i="5" s="1"/>
  <c r="P398" i="5"/>
  <c r="Q398" i="5" s="1"/>
  <c r="S534" i="5"/>
  <c r="T534" i="5" s="1"/>
  <c r="L574" i="5"/>
  <c r="BC574" i="5" s="1"/>
  <c r="P908" i="5"/>
  <c r="Q908" i="5" s="1"/>
  <c r="R907" i="5" s="1"/>
  <c r="P447" i="5"/>
  <c r="Q447" i="5" s="1"/>
  <c r="S908" i="5"/>
  <c r="T908" i="5" s="1"/>
  <c r="U907" i="5" s="1"/>
  <c r="S447" i="5"/>
  <c r="T447" i="5" s="1"/>
  <c r="R334" i="10"/>
  <c r="BC330" i="10"/>
  <c r="L339" i="5"/>
  <c r="X457" i="10"/>
  <c r="F199" i="11" s="1"/>
  <c r="J190" i="11" s="1"/>
  <c r="L190" i="11" s="1"/>
  <c r="F55" i="11" s="1"/>
  <c r="G719" i="5"/>
  <c r="I719" i="5" s="1"/>
  <c r="P339" i="5"/>
  <c r="Q339" i="5" s="1"/>
  <c r="R338" i="5" s="1"/>
  <c r="P401" i="5"/>
  <c r="Q401" i="5" s="1"/>
  <c r="BB294" i="10"/>
  <c r="X450" i="10" s="1"/>
  <c r="F193" i="11" s="1"/>
  <c r="P250" i="10"/>
  <c r="Q250" i="10" s="1"/>
  <c r="R245" i="10" s="1"/>
  <c r="BB245" i="10" s="1"/>
  <c r="X444" i="10" s="1"/>
  <c r="F187" i="11" s="1"/>
  <c r="L399" i="10"/>
  <c r="S344" i="10"/>
  <c r="T344" i="10" s="1"/>
  <c r="S337" i="10"/>
  <c r="T337" i="10" s="1"/>
  <c r="U334" i="10" s="1"/>
  <c r="S301" i="5"/>
  <c r="P916" i="5"/>
  <c r="Q916" i="5" s="1"/>
  <c r="R915" i="5" s="1"/>
  <c r="T309" i="10"/>
  <c r="U308" i="10" s="1"/>
  <c r="BC308" i="10" s="1"/>
  <c r="Y453" i="10" s="1"/>
  <c r="G196" i="11" s="1"/>
  <c r="G534" i="10"/>
  <c r="I534" i="10" s="1"/>
  <c r="G528" i="10"/>
  <c r="I528" i="10" s="1"/>
  <c r="J374" i="10"/>
  <c r="H469" i="10"/>
  <c r="M392" i="10"/>
  <c r="I468" i="10" s="1"/>
  <c r="G539" i="10"/>
  <c r="I539" i="10" s="1"/>
  <c r="P399" i="5"/>
  <c r="Q399" i="5" s="1"/>
  <c r="S399" i="5"/>
  <c r="T399" i="5" s="1"/>
  <c r="Q535" i="5"/>
  <c r="P402" i="5"/>
  <c r="Q402" i="5" s="1"/>
  <c r="T535" i="5"/>
  <c r="S402" i="5"/>
  <c r="T402" i="5" s="1"/>
  <c r="M524" i="5"/>
  <c r="P296" i="5"/>
  <c r="P301" i="5"/>
  <c r="S334" i="5"/>
  <c r="T334" i="5" s="1"/>
  <c r="U333" i="5" s="1"/>
  <c r="P321" i="5"/>
  <c r="Q321" i="5" s="1"/>
  <c r="P526" i="5"/>
  <c r="Q526" i="5" s="1"/>
  <c r="P533" i="5"/>
  <c r="Q533" i="5" s="1"/>
  <c r="P534" i="5"/>
  <c r="Q534" i="5" s="1"/>
  <c r="P527" i="5"/>
  <c r="Q527" i="5" s="1"/>
  <c r="P334" i="5"/>
  <c r="Q334" i="5" s="1"/>
  <c r="S526" i="5"/>
  <c r="T526" i="5" s="1"/>
  <c r="S533" i="5"/>
  <c r="T533" i="5" s="1"/>
  <c r="H505" i="9" l="1"/>
  <c r="H525" i="9"/>
  <c r="H527" i="9"/>
  <c r="H526" i="9"/>
  <c r="D153" i="21"/>
  <c r="H153" i="21" s="1"/>
  <c r="T154" i="21" s="1"/>
  <c r="Q445" i="10"/>
  <c r="Q454" i="10" s="1"/>
  <c r="F164" i="21"/>
  <c r="I164" i="21" s="1"/>
  <c r="X156" i="21" s="1"/>
  <c r="S488" i="19"/>
  <c r="F153" i="21"/>
  <c r="I153" i="21" s="1"/>
  <c r="X154" i="21" s="1"/>
  <c r="R445" i="10"/>
  <c r="R454" i="10" s="1"/>
  <c r="G525" i="9"/>
  <c r="G527" i="9"/>
  <c r="G526" i="9"/>
  <c r="G505" i="10"/>
  <c r="E21" i="11" s="1"/>
  <c r="D35" i="11" s="1"/>
  <c r="F35" i="11" s="1"/>
  <c r="AC52" i="11" s="1"/>
  <c r="AH57" i="11" s="1"/>
  <c r="Q466" i="10"/>
  <c r="R466" i="10" s="1"/>
  <c r="D164" i="21"/>
  <c r="H164" i="21" s="1"/>
  <c r="T156" i="21" s="1"/>
  <c r="T488" i="19"/>
  <c r="U445" i="5"/>
  <c r="AH42" i="21"/>
  <c r="P80" i="21"/>
  <c r="AC80" i="21" s="1"/>
  <c r="AS48" i="21"/>
  <c r="P86" i="21"/>
  <c r="AC86" i="21" s="1"/>
  <c r="S328" i="5"/>
  <c r="T328" i="5" s="1"/>
  <c r="AM48" i="21"/>
  <c r="P90" i="21"/>
  <c r="AC90" i="21" s="1"/>
  <c r="I499" i="9"/>
  <c r="G499" i="9" s="1"/>
  <c r="R72" i="21"/>
  <c r="U72" i="21" s="1"/>
  <c r="P91" i="21"/>
  <c r="AC91" i="21" s="1"/>
  <c r="AP48" i="21"/>
  <c r="H500" i="9"/>
  <c r="H509" i="9" s="1"/>
  <c r="S73" i="21"/>
  <c r="V72" i="21" s="1"/>
  <c r="R31" i="21"/>
  <c r="L82" i="21"/>
  <c r="AB82" i="21" s="1"/>
  <c r="L192" i="19"/>
  <c r="R209" i="10"/>
  <c r="AR48" i="21"/>
  <c r="P83" i="21"/>
  <c r="AC83" i="21" s="1"/>
  <c r="U505" i="10"/>
  <c r="L75" i="19"/>
  <c r="G75" i="19" s="1"/>
  <c r="L415" i="19"/>
  <c r="G399" i="19"/>
  <c r="I399" i="19" s="1"/>
  <c r="L401" i="19"/>
  <c r="G401" i="19" s="1"/>
  <c r="I401" i="19" s="1"/>
  <c r="F155" i="5"/>
  <c r="G299" i="5"/>
  <c r="S794" i="19"/>
  <c r="S786" i="19"/>
  <c r="S795" i="19" s="1"/>
  <c r="J502" i="9"/>
  <c r="J505" i="9"/>
  <c r="J508" i="9"/>
  <c r="AG751" i="19"/>
  <c r="W794" i="19"/>
  <c r="W786" i="19"/>
  <c r="W795" i="19" s="1"/>
  <c r="Q794" i="19"/>
  <c r="Q786" i="19"/>
  <c r="Q795" i="19" s="1"/>
  <c r="O915" i="19"/>
  <c r="Q919" i="19" s="1"/>
  <c r="M260" i="19"/>
  <c r="M339" i="19"/>
  <c r="L343" i="19" s="1"/>
  <c r="G343" i="19" s="1"/>
  <c r="I343" i="19" s="1"/>
  <c r="T597" i="19"/>
  <c r="L598" i="19" s="1"/>
  <c r="G598" i="19" s="1"/>
  <c r="I598" i="19" s="1"/>
  <c r="AJ742" i="19"/>
  <c r="S843" i="19"/>
  <c r="AL748" i="19"/>
  <c r="AG749" i="19"/>
  <c r="J500" i="9"/>
  <c r="AH749" i="19"/>
  <c r="Q518" i="5"/>
  <c r="Y786" i="19"/>
  <c r="Y795" i="19" s="1"/>
  <c r="Y794" i="19"/>
  <c r="AG748" i="19"/>
  <c r="Z696" i="19"/>
  <c r="G192" i="19"/>
  <c r="AL696" i="19"/>
  <c r="G200" i="19"/>
  <c r="F506" i="9"/>
  <c r="F503" i="9"/>
  <c r="F509" i="9"/>
  <c r="G506" i="9"/>
  <c r="G503" i="9"/>
  <c r="G509" i="9"/>
  <c r="G333" i="19"/>
  <c r="I333" i="19" s="1"/>
  <c r="G334" i="19"/>
  <c r="I334" i="19" s="1"/>
  <c r="N257" i="19"/>
  <c r="AG752" i="19"/>
  <c r="AL752" i="19"/>
  <c r="Q505" i="10"/>
  <c r="AO334" i="10"/>
  <c r="BC334" i="10" s="1"/>
  <c r="AO341" i="10"/>
  <c r="AN341" i="10"/>
  <c r="BB341" i="10" s="1"/>
  <c r="F478" i="9" s="1"/>
  <c r="AV351" i="10"/>
  <c r="I402" i="10" s="1"/>
  <c r="J401" i="10" s="1"/>
  <c r="F475" i="10" s="1"/>
  <c r="D169" i="21" s="1"/>
  <c r="H169" i="21" s="1"/>
  <c r="AN334" i="10"/>
  <c r="E155" i="10"/>
  <c r="E180" i="10"/>
  <c r="J250" i="11" s="1"/>
  <c r="J226" i="11"/>
  <c r="AX351" i="10"/>
  <c r="L402" i="10" s="1"/>
  <c r="M401" i="10" s="1"/>
  <c r="H475" i="10" s="1"/>
  <c r="R237" i="11"/>
  <c r="K251" i="11"/>
  <c r="BB264" i="10"/>
  <c r="R483" i="5"/>
  <c r="BB483" i="5" s="1"/>
  <c r="X645" i="5" s="1"/>
  <c r="E155" i="11" s="1"/>
  <c r="R445" i="5"/>
  <c r="BB445" i="5" s="1"/>
  <c r="X641" i="5" s="1"/>
  <c r="E151" i="11" s="1"/>
  <c r="X471" i="10"/>
  <c r="F214" i="11" s="1"/>
  <c r="F202" i="11" s="1"/>
  <c r="Y240" i="11"/>
  <c r="Q248" i="11"/>
  <c r="S248" i="11"/>
  <c r="J531" i="5"/>
  <c r="F650" i="5" s="1"/>
  <c r="F95" i="21" s="1"/>
  <c r="R356" i="5"/>
  <c r="AX519" i="5"/>
  <c r="R497" i="5"/>
  <c r="BB497" i="5" s="1"/>
  <c r="X643" i="5" s="1"/>
  <c r="AK519" i="5"/>
  <c r="R490" i="5"/>
  <c r="BC490" i="5"/>
  <c r="Y646" i="5" s="1"/>
  <c r="F156" i="11" s="1"/>
  <c r="U396" i="5"/>
  <c r="BC396" i="5" s="1"/>
  <c r="Y637" i="5" s="1"/>
  <c r="F147" i="11" s="1"/>
  <c r="R396" i="5"/>
  <c r="BB396" i="5" s="1"/>
  <c r="X637" i="5" s="1"/>
  <c r="E147" i="11" s="1"/>
  <c r="U483" i="5"/>
  <c r="BC483" i="5" s="1"/>
  <c r="Y645" i="5" s="1"/>
  <c r="F155" i="11" s="1"/>
  <c r="R333" i="5"/>
  <c r="BB333" i="5" s="1"/>
  <c r="AV519" i="5"/>
  <c r="AI519" i="5"/>
  <c r="AN519" i="5" s="1"/>
  <c r="AD519" i="5"/>
  <c r="X300" i="5"/>
  <c r="AD300" i="5" s="1"/>
  <c r="M531" i="5"/>
  <c r="H650" i="5" s="1"/>
  <c r="H276" i="11"/>
  <c r="I520" i="5"/>
  <c r="Q520" i="5"/>
  <c r="R518" i="5" s="1"/>
  <c r="I276" i="11"/>
  <c r="T520" i="5"/>
  <c r="U518" i="5" s="1"/>
  <c r="I55" i="11"/>
  <c r="K55" i="11" s="1"/>
  <c r="L520" i="5"/>
  <c r="X520" i="5"/>
  <c r="AD520" i="5" s="1"/>
  <c r="I518" i="5"/>
  <c r="Q235" i="11"/>
  <c r="D275" i="11"/>
  <c r="R466" i="5"/>
  <c r="BB466" i="5" s="1"/>
  <c r="BB490" i="5"/>
  <c r="X646" i="5" s="1"/>
  <c r="E156" i="11" s="1"/>
  <c r="G301" i="5"/>
  <c r="L301" i="5" s="1"/>
  <c r="G303" i="5"/>
  <c r="L303" i="5" s="1"/>
  <c r="F156" i="5"/>
  <c r="E228" i="11" s="1"/>
  <c r="M272" i="11" s="1"/>
  <c r="Q300" i="5"/>
  <c r="G726" i="5"/>
  <c r="I726" i="5" s="1"/>
  <c r="G566" i="5"/>
  <c r="X566" i="5" s="1"/>
  <c r="AU566" i="5" s="1"/>
  <c r="G302" i="5"/>
  <c r="I302" i="5" s="1"/>
  <c r="S304" i="5"/>
  <c r="T304" i="5" s="1"/>
  <c r="BB462" i="5"/>
  <c r="X642" i="5" s="1"/>
  <c r="E152" i="11" s="1"/>
  <c r="P304" i="5"/>
  <c r="Q304" i="5" s="1"/>
  <c r="BC466" i="5"/>
  <c r="L304" i="5"/>
  <c r="I304" i="5"/>
  <c r="F632" i="5"/>
  <c r="S299" i="5"/>
  <c r="P565" i="5"/>
  <c r="P566" i="5" s="1"/>
  <c r="P299" i="5"/>
  <c r="E227" i="11"/>
  <c r="G296" i="5"/>
  <c r="Q296" i="5" s="1"/>
  <c r="BC264" i="10"/>
  <c r="T378" i="10"/>
  <c r="I398" i="10"/>
  <c r="R392" i="10"/>
  <c r="BB378" i="10"/>
  <c r="R374" i="5"/>
  <c r="BB374" i="5" s="1"/>
  <c r="X635" i="5" s="1"/>
  <c r="E146" i="11" s="1"/>
  <c r="R343" i="5"/>
  <c r="BB343" i="5" s="1"/>
  <c r="X633" i="5" s="1"/>
  <c r="E144" i="11" s="1"/>
  <c r="U424" i="5"/>
  <c r="P427" i="5"/>
  <c r="Q427" i="5" s="1"/>
  <c r="R424" i="5" s="1"/>
  <c r="P328" i="5"/>
  <c r="Q328" i="5" s="1"/>
  <c r="R306" i="5" s="1"/>
  <c r="U341" i="10"/>
  <c r="R925" i="5"/>
  <c r="M338" i="5"/>
  <c r="H632" i="5" s="1"/>
  <c r="AO333" i="5"/>
  <c r="BC333" i="5" s="1"/>
  <c r="G297" i="5"/>
  <c r="Q297" i="5" s="1"/>
  <c r="X295" i="5"/>
  <c r="AB295" i="5" s="1"/>
  <c r="G298" i="5"/>
  <c r="Q298" i="5" s="1"/>
  <c r="G294" i="5"/>
  <c r="G293" i="5" s="1"/>
  <c r="G565" i="5"/>
  <c r="X565" i="5" s="1"/>
  <c r="G546" i="10"/>
  <c r="I546" i="10" s="1"/>
  <c r="AO374" i="5"/>
  <c r="BC445" i="5"/>
  <c r="Y641" i="5" s="1"/>
  <c r="F151" i="11" s="1"/>
  <c r="H667" i="5"/>
  <c r="BB596" i="5"/>
  <c r="X667" i="5" s="1"/>
  <c r="E167" i="11" s="1"/>
  <c r="E161" i="11" s="1"/>
  <c r="F667" i="5"/>
  <c r="BB577" i="5"/>
  <c r="BC577" i="5"/>
  <c r="Y457" i="10"/>
  <c r="G199" i="11" s="1"/>
  <c r="K190" i="11" s="1"/>
  <c r="M190" i="11" s="1"/>
  <c r="H55" i="11" s="1"/>
  <c r="AO338" i="5"/>
  <c r="U524" i="5"/>
  <c r="BC524" i="5" s="1"/>
  <c r="AN338" i="5"/>
  <c r="BB338" i="5" s="1"/>
  <c r="R351" i="10"/>
  <c r="I397" i="10" s="1"/>
  <c r="J396" i="10" s="1"/>
  <c r="X437" i="10"/>
  <c r="F182" i="11" s="1"/>
  <c r="J186" i="11" s="1"/>
  <c r="L186" i="11" s="1"/>
  <c r="F51" i="11" s="1"/>
  <c r="F469" i="10"/>
  <c r="J392" i="10"/>
  <c r="G468" i="10" s="1"/>
  <c r="U531" i="5"/>
  <c r="R531" i="5"/>
  <c r="R524" i="5"/>
  <c r="BB524" i="5" s="1"/>
  <c r="AN351" i="10" l="1"/>
  <c r="I367" i="10" s="1"/>
  <c r="H506" i="9"/>
  <c r="H503" i="9"/>
  <c r="AO351" i="10"/>
  <c r="L367" i="10" s="1"/>
  <c r="M366" i="10" s="1"/>
  <c r="BC366" i="10" s="1"/>
  <c r="X445" i="10"/>
  <c r="F188" i="11" s="1"/>
  <c r="D524" i="9"/>
  <c r="S490" i="19"/>
  <c r="L497" i="19"/>
  <c r="L205" i="19"/>
  <c r="BC341" i="10"/>
  <c r="T490" i="19"/>
  <c r="L487" i="19"/>
  <c r="E162" i="21"/>
  <c r="Q459" i="10"/>
  <c r="R459" i="10" s="1"/>
  <c r="F475" i="9"/>
  <c r="F481" i="9"/>
  <c r="L197" i="19"/>
  <c r="AK749" i="19"/>
  <c r="P744" i="19" s="1"/>
  <c r="N671" i="19"/>
  <c r="L671" i="19" s="1"/>
  <c r="G671" i="19" s="1"/>
  <c r="I671" i="19" s="1"/>
  <c r="F112" i="21"/>
  <c r="M72" i="21" s="1"/>
  <c r="L93" i="21"/>
  <c r="AB93" i="21" s="1"/>
  <c r="AD35" i="21"/>
  <c r="R635" i="5"/>
  <c r="R644" i="5" s="1"/>
  <c r="H95" i="21"/>
  <c r="F499" i="9"/>
  <c r="F502" i="9" s="1"/>
  <c r="N918" i="19"/>
  <c r="Q918" i="19" s="1"/>
  <c r="L827" i="19" s="1"/>
  <c r="G827" i="19" s="1"/>
  <c r="I827" i="19" s="1"/>
  <c r="F77" i="21"/>
  <c r="N681" i="19"/>
  <c r="H112" i="21"/>
  <c r="O72" i="21" s="1"/>
  <c r="O918" i="19"/>
  <c r="H77" i="21"/>
  <c r="N684" i="19"/>
  <c r="M684" i="19" s="1"/>
  <c r="L684" i="19" s="1"/>
  <c r="G684" i="19" s="1"/>
  <c r="I684" i="19" s="1"/>
  <c r="F169" i="21"/>
  <c r="I169" i="21" s="1"/>
  <c r="L344" i="19"/>
  <c r="G344" i="19" s="1"/>
  <c r="I344" i="19" s="1"/>
  <c r="T905" i="19"/>
  <c r="T904" i="19"/>
  <c r="T903" i="19"/>
  <c r="T902" i="19"/>
  <c r="T917" i="19"/>
  <c r="U921" i="19" s="1"/>
  <c r="T915" i="19"/>
  <c r="U919" i="19" s="1"/>
  <c r="T914" i="19"/>
  <c r="U918" i="19" s="1"/>
  <c r="N295" i="19"/>
  <c r="U962" i="19"/>
  <c r="I75" i="19"/>
  <c r="I192" i="19"/>
  <c r="N962" i="19"/>
  <c r="G415" i="19"/>
  <c r="I415" i="19" s="1"/>
  <c r="AL749" i="19"/>
  <c r="V744" i="19" s="1"/>
  <c r="L841" i="19"/>
  <c r="G841" i="19" s="1"/>
  <c r="I841" i="19" s="1"/>
  <c r="AK762" i="19"/>
  <c r="AK772" i="19" s="1"/>
  <c r="AN761" i="19"/>
  <c r="AO771" i="19" s="1"/>
  <c r="V743" i="19"/>
  <c r="M836" i="19"/>
  <c r="L836" i="19" s="1"/>
  <c r="G836" i="19" s="1"/>
  <c r="I836" i="19" s="1"/>
  <c r="M822" i="19"/>
  <c r="L822" i="19" s="1"/>
  <c r="G822" i="19" s="1"/>
  <c r="I822" i="19" s="1"/>
  <c r="AK753" i="19"/>
  <c r="AL755" i="19"/>
  <c r="AK755" i="19"/>
  <c r="AL754" i="19"/>
  <c r="AL750" i="19"/>
  <c r="AK754" i="19"/>
  <c r="AK750" i="19"/>
  <c r="AL751" i="19"/>
  <c r="M518" i="5"/>
  <c r="H648" i="5" s="1"/>
  <c r="AK300" i="5"/>
  <c r="AO300" i="5" s="1"/>
  <c r="M681" i="19"/>
  <c r="L681" i="19" s="1"/>
  <c r="G681" i="19" s="1"/>
  <c r="I681" i="19" s="1"/>
  <c r="L599" i="19"/>
  <c r="G599" i="19" s="1"/>
  <c r="I599" i="19" s="1"/>
  <c r="M609" i="19"/>
  <c r="L609" i="19" s="1"/>
  <c r="G609" i="19" s="1"/>
  <c r="I609" i="19" s="1"/>
  <c r="M608" i="19"/>
  <c r="L608" i="19" s="1"/>
  <c r="G608" i="19" s="1"/>
  <c r="I608" i="19" s="1"/>
  <c r="J503" i="9"/>
  <c r="J509" i="9"/>
  <c r="J506" i="9"/>
  <c r="L345" i="19"/>
  <c r="G345" i="19" s="1"/>
  <c r="I345" i="19" s="1"/>
  <c r="L342" i="19"/>
  <c r="G342" i="19" s="1"/>
  <c r="I342" i="19" s="1"/>
  <c r="J518" i="5"/>
  <c r="F648" i="5" s="1"/>
  <c r="F93" i="21" s="1"/>
  <c r="AL753" i="19"/>
  <c r="L262" i="19"/>
  <c r="G262" i="19" s="1"/>
  <c r="I262" i="19" s="1"/>
  <c r="L263" i="19"/>
  <c r="G263" i="19" s="1"/>
  <c r="I263" i="19" s="1"/>
  <c r="L266" i="19"/>
  <c r="G266" i="19" s="1"/>
  <c r="I266" i="19" s="1"/>
  <c r="G731" i="5"/>
  <c r="I731" i="5" s="1"/>
  <c r="Q635" i="5"/>
  <c r="Q644" i="5" s="1"/>
  <c r="AK748" i="19"/>
  <c r="Q921" i="19"/>
  <c r="AK751" i="19"/>
  <c r="G557" i="10"/>
  <c r="I557" i="10" s="1"/>
  <c r="N674" i="19"/>
  <c r="M674" i="19" s="1"/>
  <c r="L674" i="19" s="1"/>
  <c r="G674" i="19" s="1"/>
  <c r="I674" i="19" s="1"/>
  <c r="N939" i="19"/>
  <c r="I200" i="19"/>
  <c r="H463" i="10"/>
  <c r="F157" i="21" s="1"/>
  <c r="I157" i="21" s="1"/>
  <c r="X155" i="21" s="1"/>
  <c r="N612" i="19"/>
  <c r="M612" i="19" s="1"/>
  <c r="L612" i="19" s="1"/>
  <c r="G508" i="9"/>
  <c r="G502" i="9"/>
  <c r="G505" i="9"/>
  <c r="L257" i="19"/>
  <c r="G257" i="19" s="1"/>
  <c r="I257" i="19" s="1"/>
  <c r="L265" i="19"/>
  <c r="G265" i="19" s="1"/>
  <c r="I265" i="19" s="1"/>
  <c r="N253" i="19"/>
  <c r="AN765" i="19"/>
  <c r="AO775" i="19" s="1"/>
  <c r="V747" i="19"/>
  <c r="AK752" i="19"/>
  <c r="N256" i="19"/>
  <c r="L272" i="11"/>
  <c r="BB334" i="10"/>
  <c r="X459" i="10" s="1"/>
  <c r="F200" i="11" s="1"/>
  <c r="J191" i="11" s="1"/>
  <c r="L191" i="11" s="1"/>
  <c r="F56" i="11" s="1"/>
  <c r="J366" i="10"/>
  <c r="N602" i="19" s="1"/>
  <c r="M602" i="19" s="1"/>
  <c r="L602" i="19" s="1"/>
  <c r="J56" i="11"/>
  <c r="R249" i="11"/>
  <c r="Z251" i="11"/>
  <c r="T249" i="11"/>
  <c r="R227" i="11"/>
  <c r="R238" i="11"/>
  <c r="BB519" i="5"/>
  <c r="AO519" i="5"/>
  <c r="BC519" i="5" s="1"/>
  <c r="Y242" i="11"/>
  <c r="Q247" i="11"/>
  <c r="S247" i="11"/>
  <c r="AI300" i="5"/>
  <c r="AV300" i="5"/>
  <c r="AB300" i="5"/>
  <c r="AX300" i="5"/>
  <c r="BC531" i="5"/>
  <c r="I54" i="11"/>
  <c r="K54" i="11" s="1"/>
  <c r="AB566" i="5"/>
  <c r="AK566" i="5"/>
  <c r="AD566" i="5"/>
  <c r="I303" i="5"/>
  <c r="AV520" i="5"/>
  <c r="AX520" i="5"/>
  <c r="AB520" i="5"/>
  <c r="AK520" i="5"/>
  <c r="AO520" i="5" s="1"/>
  <c r="AI520" i="5"/>
  <c r="AI566" i="5"/>
  <c r="T301" i="5"/>
  <c r="T566" i="5"/>
  <c r="AX566" i="5"/>
  <c r="BB531" i="5"/>
  <c r="F178" i="5"/>
  <c r="H178" i="5" s="1"/>
  <c r="Q301" i="5"/>
  <c r="E153" i="11"/>
  <c r="X644" i="5"/>
  <c r="E154" i="11" s="1"/>
  <c r="F153" i="11"/>
  <c r="Y644" i="5"/>
  <c r="F154" i="11" s="1"/>
  <c r="L302" i="5"/>
  <c r="M300" i="5" s="1"/>
  <c r="L566" i="5" s="1"/>
  <c r="S64" i="21" s="1"/>
  <c r="I301" i="5"/>
  <c r="T302" i="5"/>
  <c r="Q566" i="5"/>
  <c r="Q302" i="5"/>
  <c r="X662" i="5"/>
  <c r="E166" i="11" s="1"/>
  <c r="E160" i="11" s="1"/>
  <c r="Y662" i="5"/>
  <c r="F166" i="11" s="1"/>
  <c r="F160" i="11" s="1"/>
  <c r="G717" i="5"/>
  <c r="I717" i="5" s="1"/>
  <c r="L299" i="5"/>
  <c r="I299" i="5"/>
  <c r="T299" i="5"/>
  <c r="Q299" i="5"/>
  <c r="R295" i="5" s="1"/>
  <c r="E154" i="5"/>
  <c r="D226" i="11" s="1"/>
  <c r="U374" i="10"/>
  <c r="BC378" i="10"/>
  <c r="AD295" i="5"/>
  <c r="T297" i="5"/>
  <c r="I297" i="5"/>
  <c r="J415" i="10"/>
  <c r="G473" i="10" s="1"/>
  <c r="L297" i="5"/>
  <c r="AV295" i="5"/>
  <c r="AK295" i="5"/>
  <c r="AI295" i="5"/>
  <c r="AN295" i="5" s="1"/>
  <c r="T296" i="5"/>
  <c r="AX295" i="5"/>
  <c r="T298" i="5"/>
  <c r="T565" i="5"/>
  <c r="I298" i="5"/>
  <c r="Q565" i="5"/>
  <c r="L298" i="5"/>
  <c r="F177" i="5"/>
  <c r="H177" i="5" s="1"/>
  <c r="L296" i="5"/>
  <c r="I296" i="5"/>
  <c r="G743" i="5"/>
  <c r="I743" i="5" s="1"/>
  <c r="AU565" i="5"/>
  <c r="AV564" i="5" s="1"/>
  <c r="AK565" i="5"/>
  <c r="AB565" i="5"/>
  <c r="AD565" i="5"/>
  <c r="AI565" i="5"/>
  <c r="AX565" i="5"/>
  <c r="F474" i="10"/>
  <c r="F551" i="10"/>
  <c r="H551" i="10" s="1"/>
  <c r="G498" i="10"/>
  <c r="C21" i="11" s="1"/>
  <c r="G552" i="10"/>
  <c r="I552" i="10" s="1"/>
  <c r="J907" i="5"/>
  <c r="J925" i="5" s="1"/>
  <c r="I933" i="5" s="1"/>
  <c r="X632" i="5"/>
  <c r="E143" i="11" s="1"/>
  <c r="L142" i="19" l="1"/>
  <c r="G205" i="19"/>
  <c r="AL701" i="19"/>
  <c r="G197" i="19"/>
  <c r="Z701" i="19"/>
  <c r="G497" i="19"/>
  <c r="I497" i="19" s="1"/>
  <c r="L498" i="19"/>
  <c r="L519" i="19" s="1"/>
  <c r="G519" i="19" s="1"/>
  <c r="I519" i="19" s="1"/>
  <c r="D526" i="9"/>
  <c r="D525" i="9"/>
  <c r="D527" i="9"/>
  <c r="Y459" i="10"/>
  <c r="G200" i="11" s="1"/>
  <c r="K191" i="11" s="1"/>
  <c r="M191" i="11" s="1"/>
  <c r="H56" i="11" s="1"/>
  <c r="F479" i="9"/>
  <c r="Y445" i="10"/>
  <c r="G188" i="11" s="1"/>
  <c r="E524" i="9"/>
  <c r="G487" i="19"/>
  <c r="I487" i="19" s="1"/>
  <c r="L488" i="19"/>
  <c r="L508" i="19" s="1"/>
  <c r="G508" i="19" s="1"/>
  <c r="I508" i="19" s="1"/>
  <c r="F508" i="9"/>
  <c r="F505" i="9"/>
  <c r="P93" i="21"/>
  <c r="AC93" i="21" s="1"/>
  <c r="AV54" i="21"/>
  <c r="AC34" i="21"/>
  <c r="L92" i="21"/>
  <c r="AB92" i="21" s="1"/>
  <c r="P79" i="21"/>
  <c r="AC79" i="21" s="1"/>
  <c r="AG42" i="21"/>
  <c r="A521" i="5"/>
  <c r="R634" i="5"/>
  <c r="R643" i="5" s="1"/>
  <c r="H93" i="21"/>
  <c r="L79" i="21"/>
  <c r="AB79" i="21" s="1"/>
  <c r="O31" i="21"/>
  <c r="AN762" i="19"/>
  <c r="AO772" i="19" s="1"/>
  <c r="Q460" i="10"/>
  <c r="R460" i="10" s="1"/>
  <c r="E167" i="21"/>
  <c r="N675" i="19"/>
  <c r="M675" i="19" s="1"/>
  <c r="L675" i="19" s="1"/>
  <c r="G675" i="19" s="1"/>
  <c r="I675" i="19" s="1"/>
  <c r="D168" i="21"/>
  <c r="H168" i="21" s="1"/>
  <c r="T157" i="21" s="1"/>
  <c r="L295" i="19"/>
  <c r="L303" i="19"/>
  <c r="G303" i="19" s="1"/>
  <c r="I303" i="19" s="1"/>
  <c r="N296" i="19"/>
  <c r="A520" i="5"/>
  <c r="AN764" i="19"/>
  <c r="AO774" i="19" s="1"/>
  <c r="V746" i="19"/>
  <c r="AK761" i="19"/>
  <c r="AK771" i="19" s="1"/>
  <c r="P743" i="19"/>
  <c r="G730" i="5"/>
  <c r="I730" i="5" s="1"/>
  <c r="Q634" i="5"/>
  <c r="Q643" i="5" s="1"/>
  <c r="AK763" i="19"/>
  <c r="AK773" i="19" s="1"/>
  <c r="P745" i="19"/>
  <c r="L150" i="19"/>
  <c r="AK767" i="19"/>
  <c r="AK777" i="19" s="1"/>
  <c r="P749" i="19"/>
  <c r="G142" i="19"/>
  <c r="T701" i="19"/>
  <c r="AN763" i="19"/>
  <c r="AO773" i="19" s="1"/>
  <c r="V745" i="19"/>
  <c r="AN767" i="19"/>
  <c r="AO777" i="19" s="1"/>
  <c r="V749" i="19"/>
  <c r="AK764" i="19"/>
  <c r="AK774" i="19" s="1"/>
  <c r="P746" i="19"/>
  <c r="AK768" i="19"/>
  <c r="AK778" i="19" s="1"/>
  <c r="P750" i="19"/>
  <c r="Y650" i="5"/>
  <c r="F158" i="11" s="1"/>
  <c r="J148" i="11" s="1"/>
  <c r="L148" i="11" s="1"/>
  <c r="G56" i="11" s="1"/>
  <c r="F461" i="9"/>
  <c r="AN768" i="19"/>
  <c r="AO778" i="19" s="1"/>
  <c r="V750" i="19"/>
  <c r="X650" i="5"/>
  <c r="E158" i="11" s="1"/>
  <c r="I148" i="11" s="1"/>
  <c r="K148" i="11" s="1"/>
  <c r="E56" i="11" s="1"/>
  <c r="F460" i="9"/>
  <c r="AN766" i="19"/>
  <c r="AO776" i="19" s="1"/>
  <c r="V748" i="19"/>
  <c r="L141" i="19"/>
  <c r="AK766" i="19"/>
  <c r="AK776" i="19" s="1"/>
  <c r="P748" i="19"/>
  <c r="G612" i="19"/>
  <c r="I612" i="19" s="1"/>
  <c r="G602" i="19"/>
  <c r="I602" i="19" s="1"/>
  <c r="L253" i="19"/>
  <c r="G253" i="19" s="1"/>
  <c r="I253" i="19" s="1"/>
  <c r="L261" i="19"/>
  <c r="G261" i="19" s="1"/>
  <c r="I261" i="19" s="1"/>
  <c r="AK765" i="19"/>
  <c r="AK775" i="19" s="1"/>
  <c r="P747" i="19"/>
  <c r="N259" i="19"/>
  <c r="L256" i="19"/>
  <c r="L264" i="19"/>
  <c r="G264" i="19" s="1"/>
  <c r="I264" i="19" s="1"/>
  <c r="D30" i="11"/>
  <c r="F30" i="11" s="1"/>
  <c r="BC362" i="10"/>
  <c r="Y465" i="10" s="1"/>
  <c r="G208" i="11" s="1"/>
  <c r="G201" i="11" s="1"/>
  <c r="K192" i="11" s="1"/>
  <c r="M192" i="11" s="1"/>
  <c r="H57" i="11" s="1"/>
  <c r="M370" i="10"/>
  <c r="I462" i="10" s="1"/>
  <c r="H465" i="10"/>
  <c r="R250" i="11"/>
  <c r="T250" i="11"/>
  <c r="L56" i="11"/>
  <c r="J50" i="11"/>
  <c r="L50" i="11" s="1"/>
  <c r="J370" i="10"/>
  <c r="G462" i="10" s="1"/>
  <c r="F465" i="10"/>
  <c r="G550" i="10" s="1"/>
  <c r="I550" i="10" s="1"/>
  <c r="BB362" i="10"/>
  <c r="X465" i="10" s="1"/>
  <c r="F208" i="11" s="1"/>
  <c r="F201" i="11" s="1"/>
  <c r="J192" i="11" s="1"/>
  <c r="L192" i="11" s="1"/>
  <c r="F57" i="11" s="1"/>
  <c r="F463" i="10"/>
  <c r="BB366" i="10"/>
  <c r="AN300" i="5"/>
  <c r="H179" i="5"/>
  <c r="AL566" i="5"/>
  <c r="AV541" i="5"/>
  <c r="I592" i="5" s="1"/>
  <c r="E250" i="11"/>
  <c r="AY564" i="5"/>
  <c r="L593" i="5" s="1"/>
  <c r="J300" i="5"/>
  <c r="I566" i="5" s="1"/>
  <c r="R64" i="21" s="1"/>
  <c r="BC520" i="5"/>
  <c r="G934" i="5" s="1"/>
  <c r="AX541" i="5"/>
  <c r="L592" i="5" s="1"/>
  <c r="AM566" i="5"/>
  <c r="BC566" i="5" s="1"/>
  <c r="U300" i="5"/>
  <c r="BC300" i="5" s="1"/>
  <c r="R300" i="5"/>
  <c r="R541" i="5" s="1"/>
  <c r="I587" i="5" s="1"/>
  <c r="AN520" i="5"/>
  <c r="BB520" i="5" s="1"/>
  <c r="G933" i="5" s="1"/>
  <c r="U564" i="5"/>
  <c r="L588" i="5" s="1"/>
  <c r="E249" i="11"/>
  <c r="R564" i="5"/>
  <c r="R582" i="5" s="1"/>
  <c r="AO295" i="5"/>
  <c r="AO541" i="5" s="1"/>
  <c r="L557" i="5" s="1"/>
  <c r="M556" i="5" s="1"/>
  <c r="J295" i="5"/>
  <c r="F628" i="5" s="1"/>
  <c r="M295" i="5"/>
  <c r="H628" i="5" s="1"/>
  <c r="U295" i="5"/>
  <c r="L398" i="10"/>
  <c r="U392" i="10"/>
  <c r="G499" i="10"/>
  <c r="C22" i="11" s="1"/>
  <c r="F555" i="10"/>
  <c r="H555" i="10" s="1"/>
  <c r="E176" i="5"/>
  <c r="D248" i="11" s="1"/>
  <c r="G556" i="10"/>
  <c r="I556" i="10" s="1"/>
  <c r="AL565" i="5"/>
  <c r="AM565" i="5"/>
  <c r="F476" i="9" l="1"/>
  <c r="F482" i="9"/>
  <c r="S962" i="19"/>
  <c r="I197" i="19"/>
  <c r="S939" i="19"/>
  <c r="I205" i="19"/>
  <c r="L511" i="19"/>
  <c r="G511" i="19" s="1"/>
  <c r="I511" i="19" s="1"/>
  <c r="G488" i="19"/>
  <c r="I488" i="19" s="1"/>
  <c r="L509" i="19"/>
  <c r="G509" i="19" s="1"/>
  <c r="I509" i="19" s="1"/>
  <c r="L503" i="19"/>
  <c r="G503" i="19" s="1"/>
  <c r="I503" i="19" s="1"/>
  <c r="L502" i="19"/>
  <c r="G502" i="19" s="1"/>
  <c r="I502" i="19" s="1"/>
  <c r="L506" i="19"/>
  <c r="G506" i="19" s="1"/>
  <c r="I506" i="19" s="1"/>
  <c r="L510" i="19"/>
  <c r="G510" i="19" s="1"/>
  <c r="I510" i="19" s="1"/>
  <c r="L507" i="19"/>
  <c r="G507" i="19" s="1"/>
  <c r="I507" i="19" s="1"/>
  <c r="E525" i="9"/>
  <c r="E527" i="9"/>
  <c r="E526" i="9"/>
  <c r="L520" i="19"/>
  <c r="G520" i="19" s="1"/>
  <c r="I520" i="19" s="1"/>
  <c r="L521" i="19"/>
  <c r="G521" i="19" s="1"/>
  <c r="I521" i="19" s="1"/>
  <c r="L517" i="19"/>
  <c r="G517" i="19" s="1"/>
  <c r="I517" i="19" s="1"/>
  <c r="L522" i="19"/>
  <c r="G522" i="19" s="1"/>
  <c r="I522" i="19" s="1"/>
  <c r="L514" i="19"/>
  <c r="G514" i="19" s="1"/>
  <c r="I514" i="19" s="1"/>
  <c r="L513" i="19"/>
  <c r="G513" i="19" s="1"/>
  <c r="I513" i="19" s="1"/>
  <c r="L518" i="19"/>
  <c r="G518" i="19" s="1"/>
  <c r="I518" i="19" s="1"/>
  <c r="G498" i="19"/>
  <c r="I498" i="19" s="1"/>
  <c r="D500" i="9"/>
  <c r="AB520" i="9" s="1"/>
  <c r="S69" i="21"/>
  <c r="R630" i="5"/>
  <c r="R639" i="5" s="1"/>
  <c r="H73" i="21"/>
  <c r="AN541" i="5"/>
  <c r="AU51" i="21"/>
  <c r="P92" i="21"/>
  <c r="AC92" i="21" s="1"/>
  <c r="Q630" i="5"/>
  <c r="Q639" i="5" s="1"/>
  <c r="L145" i="19" s="1"/>
  <c r="F73" i="21"/>
  <c r="G548" i="10"/>
  <c r="I548" i="10" s="1"/>
  <c r="D157" i="21"/>
  <c r="H157" i="21" s="1"/>
  <c r="T155" i="21" s="1"/>
  <c r="Q458" i="10"/>
  <c r="R458" i="10" s="1"/>
  <c r="E156" i="21"/>
  <c r="L81" i="19"/>
  <c r="G81" i="19" s="1"/>
  <c r="L296" i="19"/>
  <c r="L311" i="19" s="1"/>
  <c r="G311" i="19" s="1"/>
  <c r="I311" i="19" s="1"/>
  <c r="L304" i="19"/>
  <c r="G304" i="19" s="1"/>
  <c r="I304" i="19" s="1"/>
  <c r="G295" i="19"/>
  <c r="I295" i="19" s="1"/>
  <c r="G141" i="19"/>
  <c r="T700" i="19"/>
  <c r="F272" i="5"/>
  <c r="L149" i="19"/>
  <c r="F458" i="9"/>
  <c r="F464" i="9"/>
  <c r="S961" i="19"/>
  <c r="I142" i="19"/>
  <c r="D506" i="9"/>
  <c r="D509" i="9"/>
  <c r="I180" i="5"/>
  <c r="J176" i="5"/>
  <c r="BB566" i="5"/>
  <c r="F457" i="9"/>
  <c r="F463" i="9"/>
  <c r="G278" i="5"/>
  <c r="F270" i="5" s="1"/>
  <c r="G279" i="5"/>
  <c r="L137" i="19"/>
  <c r="F273" i="5"/>
  <c r="G150" i="19"/>
  <c r="AF701" i="19"/>
  <c r="F271" i="5"/>
  <c r="N331" i="19"/>
  <c r="L331" i="19" s="1"/>
  <c r="D31" i="11"/>
  <c r="F31" i="11" s="1"/>
  <c r="G256" i="19"/>
  <c r="L259" i="19"/>
  <c r="L267" i="19"/>
  <c r="G267" i="19" s="1"/>
  <c r="I267" i="19" s="1"/>
  <c r="BC556" i="5"/>
  <c r="N607" i="19"/>
  <c r="G504" i="10"/>
  <c r="E20" i="11" s="1"/>
  <c r="D34" i="11" s="1"/>
  <c r="F34" i="11" s="1"/>
  <c r="AC51" i="11" s="1"/>
  <c r="AH56" i="11" s="1"/>
  <c r="Q465" i="10"/>
  <c r="R465" i="10" s="1"/>
  <c r="Y52" i="11"/>
  <c r="AH53" i="11" s="1"/>
  <c r="Q232" i="11"/>
  <c r="F547" i="10"/>
  <c r="H547" i="10" s="1"/>
  <c r="G497" i="10"/>
  <c r="C20" i="11" s="1"/>
  <c r="D29" i="11" s="1"/>
  <c r="F29" i="11" s="1"/>
  <c r="BB300" i="5"/>
  <c r="X648" i="5"/>
  <c r="E157" i="11" s="1"/>
  <c r="I147" i="11" s="1"/>
  <c r="K147" i="11" s="1"/>
  <c r="E55" i="11" s="1"/>
  <c r="Y648" i="5"/>
  <c r="F157" i="11" s="1"/>
  <c r="J147" i="11" s="1"/>
  <c r="L147" i="11" s="1"/>
  <c r="G55" i="11" s="1"/>
  <c r="M591" i="5"/>
  <c r="BC591" i="5" s="1"/>
  <c r="AO564" i="5"/>
  <c r="L573" i="5" s="1"/>
  <c r="M572" i="5" s="1"/>
  <c r="U582" i="5"/>
  <c r="I588" i="5"/>
  <c r="J586" i="5" s="1"/>
  <c r="E254" i="11"/>
  <c r="N272" i="11"/>
  <c r="I181" i="5"/>
  <c r="M560" i="5"/>
  <c r="I653" i="5" s="1"/>
  <c r="G695" i="5" s="1"/>
  <c r="E11" i="11" s="1"/>
  <c r="C34" i="11" s="1"/>
  <c r="E34" i="11" s="1"/>
  <c r="H654" i="5"/>
  <c r="H99" i="21" s="1"/>
  <c r="O65" i="21" s="1"/>
  <c r="BB295" i="5"/>
  <c r="AN564" i="5"/>
  <c r="G715" i="5"/>
  <c r="I715" i="5" s="1"/>
  <c r="BC295" i="5"/>
  <c r="L565" i="5"/>
  <c r="S63" i="21" s="1"/>
  <c r="V63" i="21" s="1"/>
  <c r="I565" i="5"/>
  <c r="E181" i="5"/>
  <c r="D253" i="11" s="1"/>
  <c r="F656" i="5"/>
  <c r="F101" i="21" s="1"/>
  <c r="M67" i="21" s="1"/>
  <c r="H656" i="5"/>
  <c r="H101" i="21" s="1"/>
  <c r="O67" i="21" s="1"/>
  <c r="BC552" i="5"/>
  <c r="Y656" i="5" s="1"/>
  <c r="F164" i="11" s="1"/>
  <c r="F159" i="11" s="1"/>
  <c r="I593" i="5"/>
  <c r="J591" i="5" s="1"/>
  <c r="D503" i="9" l="1"/>
  <c r="I573" i="5"/>
  <c r="J572" i="5" s="1"/>
  <c r="D499" i="9"/>
  <c r="R69" i="21"/>
  <c r="BB552" i="5"/>
  <c r="X656" i="5" s="1"/>
  <c r="E164" i="11" s="1"/>
  <c r="E159" i="11" s="1"/>
  <c r="I149" i="11" s="1"/>
  <c r="K149" i="11" s="1"/>
  <c r="E57" i="11" s="1"/>
  <c r="I557" i="5"/>
  <c r="J556" i="5" s="1"/>
  <c r="F654" i="5" s="1"/>
  <c r="F99" i="21" s="1"/>
  <c r="M65" i="21" s="1"/>
  <c r="M68" i="21" s="1"/>
  <c r="L94" i="21" s="1"/>
  <c r="AB94" i="21" s="1"/>
  <c r="P77" i="21"/>
  <c r="AC77" i="21" s="1"/>
  <c r="AF39" i="21"/>
  <c r="O68" i="21"/>
  <c r="P94" i="21" s="1"/>
  <c r="AC94" i="21" s="1"/>
  <c r="L100" i="21"/>
  <c r="R63" i="21"/>
  <c r="U63" i="21" s="1"/>
  <c r="J564" i="5"/>
  <c r="N30" i="21"/>
  <c r="L77" i="21"/>
  <c r="AB77" i="21" s="1"/>
  <c r="L306" i="19"/>
  <c r="G306" i="19" s="1"/>
  <c r="I306" i="19" s="1"/>
  <c r="L309" i="19"/>
  <c r="G309" i="19" s="1"/>
  <c r="I309" i="19" s="1"/>
  <c r="L312" i="19"/>
  <c r="G312" i="19" s="1"/>
  <c r="I312" i="19" s="1"/>
  <c r="L307" i="19"/>
  <c r="G307" i="19" s="1"/>
  <c r="I307" i="19" s="1"/>
  <c r="L308" i="19"/>
  <c r="G308" i="19" s="1"/>
  <c r="I308" i="19" s="1"/>
  <c r="G296" i="19"/>
  <c r="L310" i="19"/>
  <c r="G310" i="19" s="1"/>
  <c r="I310" i="19" s="1"/>
  <c r="U939" i="19"/>
  <c r="I81" i="19"/>
  <c r="G145" i="19"/>
  <c r="AF696" i="19"/>
  <c r="S932" i="19"/>
  <c r="S938" i="19" s="1"/>
  <c r="I150" i="19"/>
  <c r="AB529" i="9"/>
  <c r="AB524" i="9"/>
  <c r="AF700" i="19"/>
  <c r="G149" i="19"/>
  <c r="T696" i="19"/>
  <c r="G137" i="19"/>
  <c r="F660" i="5"/>
  <c r="F105" i="21" s="1"/>
  <c r="F674" i="5"/>
  <c r="F119" i="21" s="1"/>
  <c r="D502" i="9"/>
  <c r="AB519" i="9"/>
  <c r="D505" i="9"/>
  <c r="D508" i="9"/>
  <c r="BC565" i="5"/>
  <c r="Y628" i="5" s="1"/>
  <c r="F141" i="11" s="1"/>
  <c r="H674" i="5"/>
  <c r="H119" i="21" s="1"/>
  <c r="R961" i="19"/>
  <c r="I141" i="19"/>
  <c r="I256" i="19"/>
  <c r="Y301" i="19"/>
  <c r="L80" i="19"/>
  <c r="G80" i="19" s="1"/>
  <c r="L74" i="19"/>
  <c r="G74" i="19" s="1"/>
  <c r="T962" i="19" s="1"/>
  <c r="N330" i="19"/>
  <c r="L330" i="19" s="1"/>
  <c r="Q330" i="19" s="1"/>
  <c r="Q331" i="19" s="1"/>
  <c r="G331" i="19"/>
  <c r="I331" i="19" s="1"/>
  <c r="O337" i="19"/>
  <c r="L337" i="19" s="1"/>
  <c r="L341" i="19"/>
  <c r="G341" i="19" s="1"/>
  <c r="I341" i="19" s="1"/>
  <c r="L82" i="19"/>
  <c r="G82" i="19" s="1"/>
  <c r="V939" i="19" s="1"/>
  <c r="Y53" i="11"/>
  <c r="AH54" i="11" s="1"/>
  <c r="M607" i="19"/>
  <c r="L607" i="19" s="1"/>
  <c r="L272" i="19"/>
  <c r="G272" i="19" s="1"/>
  <c r="I272" i="19" s="1"/>
  <c r="L269" i="19"/>
  <c r="G269" i="19" s="1"/>
  <c r="I269" i="19" s="1"/>
  <c r="L270" i="19"/>
  <c r="G270" i="19" s="1"/>
  <c r="I270" i="19" s="1"/>
  <c r="L273" i="19"/>
  <c r="G273" i="19" s="1"/>
  <c r="I273" i="19" s="1"/>
  <c r="G259" i="19"/>
  <c r="L275" i="19"/>
  <c r="G275" i="19" s="1"/>
  <c r="I275" i="19" s="1"/>
  <c r="L271" i="19"/>
  <c r="G271" i="19" s="1"/>
  <c r="I271" i="19" s="1"/>
  <c r="L274" i="19"/>
  <c r="G274" i="19" s="1"/>
  <c r="I274" i="19" s="1"/>
  <c r="L103" i="19"/>
  <c r="G103" i="19" s="1"/>
  <c r="T961" i="19" s="1"/>
  <c r="Q244" i="11"/>
  <c r="V233" i="11"/>
  <c r="I51" i="11"/>
  <c r="K51" i="11" s="1"/>
  <c r="Q238" i="11"/>
  <c r="Q250" i="11" s="1"/>
  <c r="S244" i="11"/>
  <c r="Q227" i="11"/>
  <c r="Y237" i="11"/>
  <c r="Y51" i="11"/>
  <c r="AH52" i="11" s="1"/>
  <c r="AB51" i="11"/>
  <c r="AG56" i="11" s="1"/>
  <c r="AL53" i="11" s="1" a="1"/>
  <c r="AL53" i="11" s="1"/>
  <c r="H666" i="5"/>
  <c r="BC573" i="5"/>
  <c r="J149" i="11"/>
  <c r="L149" i="11" s="1"/>
  <c r="G57" i="11" s="1"/>
  <c r="BB573" i="5"/>
  <c r="BB564" i="5"/>
  <c r="BB586" i="5"/>
  <c r="J606" i="5"/>
  <c r="BB565" i="5"/>
  <c r="R68" i="21" s="1"/>
  <c r="M564" i="5"/>
  <c r="BC564" i="5" s="1"/>
  <c r="G735" i="5"/>
  <c r="I735" i="5" s="1"/>
  <c r="F665" i="5"/>
  <c r="F110" i="21" s="1"/>
  <c r="M70" i="21" s="1"/>
  <c r="BC572" i="5"/>
  <c r="H661" i="5"/>
  <c r="BB591" i="5"/>
  <c r="F666" i="5"/>
  <c r="J560" i="5" l="1"/>
  <c r="G653" i="5" s="1"/>
  <c r="G98" i="21" s="1"/>
  <c r="N597" i="19"/>
  <c r="BB556" i="5"/>
  <c r="F661" i="5"/>
  <c r="G738" i="5" s="1"/>
  <c r="I738" i="5" s="1"/>
  <c r="BB572" i="5"/>
  <c r="E500" i="9"/>
  <c r="E509" i="9" s="1"/>
  <c r="K509" i="9" s="1"/>
  <c r="L509" i="9" s="1"/>
  <c r="S68" i="21"/>
  <c r="V70" i="21" s="1"/>
  <c r="N669" i="19"/>
  <c r="L669" i="19" s="1"/>
  <c r="G669" i="19" s="1"/>
  <c r="I669" i="19" s="1"/>
  <c r="F111" i="21"/>
  <c r="M71" i="21" s="1"/>
  <c r="M73" i="21" s="1"/>
  <c r="L96" i="21" s="1"/>
  <c r="AB96" i="21" s="1"/>
  <c r="S407" i="19"/>
  <c r="L419" i="19" s="1"/>
  <c r="G419" i="19" s="1"/>
  <c r="I419" i="19" s="1"/>
  <c r="H106" i="21"/>
  <c r="P95" i="21" s="1"/>
  <c r="AC95" i="21" s="1"/>
  <c r="N679" i="19"/>
  <c r="M679" i="19" s="1"/>
  <c r="L679" i="19" s="1"/>
  <c r="G679" i="19" s="1"/>
  <c r="I679" i="19" s="1"/>
  <c r="H111" i="21"/>
  <c r="O71" i="21" s="1"/>
  <c r="J582" i="5"/>
  <c r="G659" i="5" s="1"/>
  <c r="G104" i="21" s="1"/>
  <c r="U70" i="21"/>
  <c r="I50" i="11"/>
  <c r="K50" i="11" s="1"/>
  <c r="G664" i="5"/>
  <c r="G690" i="5" s="1"/>
  <c r="C13" i="11" s="1"/>
  <c r="L370" i="19"/>
  <c r="I296" i="19"/>
  <c r="G737" i="5"/>
  <c r="I737" i="5" s="1"/>
  <c r="AB528" i="9"/>
  <c r="AB523" i="9"/>
  <c r="T397" i="19"/>
  <c r="N961" i="19"/>
  <c r="I137" i="19"/>
  <c r="T402" i="19"/>
  <c r="L398" i="19" s="1"/>
  <c r="R932" i="19"/>
  <c r="R938" i="19" s="1"/>
  <c r="I149" i="19"/>
  <c r="S402" i="19"/>
  <c r="L412" i="19" s="1"/>
  <c r="X628" i="5"/>
  <c r="E141" i="11" s="1"/>
  <c r="I143" i="11" s="1"/>
  <c r="K143" i="11" s="1"/>
  <c r="E51" i="11" s="1"/>
  <c r="E499" i="9"/>
  <c r="AC520" i="9"/>
  <c r="E503" i="9"/>
  <c r="K503" i="9" s="1"/>
  <c r="L503" i="9" s="1"/>
  <c r="S397" i="19"/>
  <c r="N932" i="19"/>
  <c r="N938" i="19" s="1"/>
  <c r="I145" i="19"/>
  <c r="Y304" i="19"/>
  <c r="Z302" i="19"/>
  <c r="Z303" i="19" s="1"/>
  <c r="Y303" i="19"/>
  <c r="V602" i="19"/>
  <c r="I74" i="19"/>
  <c r="V601" i="19"/>
  <c r="T939" i="19"/>
  <c r="I80" i="19"/>
  <c r="G337" i="19"/>
  <c r="I337" i="19" s="1"/>
  <c r="L347" i="19"/>
  <c r="G347" i="19" s="1"/>
  <c r="I347" i="19" s="1"/>
  <c r="G330" i="19"/>
  <c r="I330" i="19" s="1"/>
  <c r="L340" i="19"/>
  <c r="G340" i="19" s="1"/>
  <c r="I340" i="19" s="1"/>
  <c r="G741" i="5"/>
  <c r="I741" i="5" s="1"/>
  <c r="N670" i="19"/>
  <c r="L670" i="19" s="1"/>
  <c r="I82" i="19"/>
  <c r="W601" i="19"/>
  <c r="S250" i="11"/>
  <c r="V606" i="19"/>
  <c r="I103" i="19"/>
  <c r="L597" i="19"/>
  <c r="S336" i="19"/>
  <c r="I259" i="19"/>
  <c r="G607" i="19"/>
  <c r="I607" i="19" s="1"/>
  <c r="C173" i="11"/>
  <c r="J143" i="11"/>
  <c r="L143" i="11" s="1"/>
  <c r="G51" i="11" s="1"/>
  <c r="M582" i="5"/>
  <c r="H660" i="5"/>
  <c r="H105" i="21" s="1"/>
  <c r="F736" i="5"/>
  <c r="H736" i="5" s="1"/>
  <c r="G733" i="5"/>
  <c r="I733" i="5" s="1"/>
  <c r="F732" i="5"/>
  <c r="H732" i="5" s="1"/>
  <c r="G688" i="5"/>
  <c r="C11" i="11" s="1"/>
  <c r="G742" i="5"/>
  <c r="I742" i="5" s="1"/>
  <c r="K500" i="9" l="1"/>
  <c r="L500" i="9" s="1"/>
  <c r="E506" i="9"/>
  <c r="K506" i="9" s="1"/>
  <c r="L506" i="9" s="1"/>
  <c r="G689" i="5"/>
  <c r="C12" i="11" s="1"/>
  <c r="C30" i="11" s="1"/>
  <c r="E30" i="11" s="1"/>
  <c r="T407" i="19"/>
  <c r="L405" i="19" s="1"/>
  <c r="G405" i="19" s="1"/>
  <c r="I405" i="19" s="1"/>
  <c r="F106" i="21"/>
  <c r="L95" i="21" s="1"/>
  <c r="AB95" i="21" s="1"/>
  <c r="F740" i="5"/>
  <c r="H740" i="5" s="1"/>
  <c r="G109" i="21"/>
  <c r="L378" i="19"/>
  <c r="G378" i="19" s="1"/>
  <c r="I378" i="19" s="1"/>
  <c r="G370" i="19"/>
  <c r="I370" i="19" s="1"/>
  <c r="L371" i="19"/>
  <c r="L110" i="19"/>
  <c r="G110" i="19" s="1"/>
  <c r="V933" i="19" s="1"/>
  <c r="U938" i="19" s="1"/>
  <c r="X52" i="11"/>
  <c r="AG53" i="11" s="1"/>
  <c r="AL54" i="11" s="1" a="1"/>
  <c r="AL54" i="11" s="1"/>
  <c r="L397" i="19"/>
  <c r="G397" i="19" s="1"/>
  <c r="I397" i="19" s="1"/>
  <c r="G412" i="19"/>
  <c r="I412" i="19" s="1"/>
  <c r="L411" i="19"/>
  <c r="G411" i="19" s="1"/>
  <c r="I411" i="19" s="1"/>
  <c r="L417" i="19"/>
  <c r="AC529" i="9"/>
  <c r="AB543" i="9" s="1"/>
  <c r="AC524" i="9"/>
  <c r="AB540" i="9" s="1"/>
  <c r="AB537" i="9"/>
  <c r="E502" i="9"/>
  <c r="K502" i="9" s="1"/>
  <c r="L502" i="9" s="1"/>
  <c r="E508" i="9"/>
  <c r="K508" i="9" s="1"/>
  <c r="L508" i="9" s="1"/>
  <c r="E505" i="9"/>
  <c r="K505" i="9" s="1"/>
  <c r="L505" i="9" s="1"/>
  <c r="AC519" i="9"/>
  <c r="K499" i="9"/>
  <c r="L499" i="9" s="1"/>
  <c r="G398" i="19"/>
  <c r="I398" i="19" s="1"/>
  <c r="L403" i="19"/>
  <c r="L605" i="19"/>
  <c r="U671" i="19"/>
  <c r="M624" i="19"/>
  <c r="L624" i="19" s="1"/>
  <c r="G624" i="19" s="1"/>
  <c r="I624" i="19" s="1"/>
  <c r="M625" i="19"/>
  <c r="L625" i="19" s="1"/>
  <c r="G625" i="19" s="1"/>
  <c r="I625" i="19" s="1"/>
  <c r="M623" i="19"/>
  <c r="L623" i="19" s="1"/>
  <c r="G623" i="19" s="1"/>
  <c r="I623" i="19" s="1"/>
  <c r="L615" i="19"/>
  <c r="U672" i="19"/>
  <c r="M636" i="19"/>
  <c r="L636" i="19" s="1"/>
  <c r="G636" i="19" s="1"/>
  <c r="I636" i="19" s="1"/>
  <c r="M635" i="19"/>
  <c r="L635" i="19" s="1"/>
  <c r="G635" i="19" s="1"/>
  <c r="I635" i="19" s="1"/>
  <c r="M634" i="19"/>
  <c r="L634" i="19" s="1"/>
  <c r="G634" i="19" s="1"/>
  <c r="I634" i="19" s="1"/>
  <c r="I659" i="5"/>
  <c r="G696" i="5" s="1"/>
  <c r="E12" i="11" s="1"/>
  <c r="C35" i="11" s="1"/>
  <c r="E35" i="11" s="1"/>
  <c r="C31" i="11"/>
  <c r="E31" i="11" s="1"/>
  <c r="M629" i="19"/>
  <c r="L629" i="19" s="1"/>
  <c r="G629" i="19" s="1"/>
  <c r="I629" i="19" s="1"/>
  <c r="U676" i="19"/>
  <c r="V671" i="19"/>
  <c r="L677" i="19" s="1"/>
  <c r="M697" i="19"/>
  <c r="L697" i="19" s="1"/>
  <c r="G697" i="19" s="1"/>
  <c r="I697" i="19" s="1"/>
  <c r="M695" i="19"/>
  <c r="L695" i="19" s="1"/>
  <c r="G695" i="19" s="1"/>
  <c r="I695" i="19" s="1"/>
  <c r="M696" i="19"/>
  <c r="L696" i="19" s="1"/>
  <c r="G696" i="19" s="1"/>
  <c r="I696" i="19" s="1"/>
  <c r="G670" i="19"/>
  <c r="I670" i="19" s="1"/>
  <c r="L338" i="19"/>
  <c r="O336" i="19"/>
  <c r="L336" i="19" s="1"/>
  <c r="G597" i="19"/>
  <c r="I597" i="19" s="1"/>
  <c r="M630" i="19"/>
  <c r="L630" i="19" s="1"/>
  <c r="G630" i="19" s="1"/>
  <c r="I630" i="19" s="1"/>
  <c r="L610" i="19"/>
  <c r="M631" i="19"/>
  <c r="L631" i="19" s="1"/>
  <c r="G631" i="19" s="1"/>
  <c r="I631" i="19" s="1"/>
  <c r="C29" i="11"/>
  <c r="E29" i="11" s="1"/>
  <c r="B173" i="11"/>
  <c r="P9" i="4"/>
  <c r="AL5" i="10" s="1"/>
  <c r="L386" i="19" l="1"/>
  <c r="G386" i="19" s="1"/>
  <c r="I386" i="19" s="1"/>
  <c r="L379" i="19"/>
  <c r="G379" i="19" s="1"/>
  <c r="L387" i="19"/>
  <c r="G387" i="19" s="1"/>
  <c r="I387" i="19" s="1"/>
  <c r="L385" i="19"/>
  <c r="G385" i="19" s="1"/>
  <c r="I385" i="19" s="1"/>
  <c r="M313" i="19"/>
  <c r="G371" i="19"/>
  <c r="I371" i="19" s="1"/>
  <c r="L384" i="19"/>
  <c r="G384" i="19" s="1"/>
  <c r="I384" i="19" s="1"/>
  <c r="L388" i="19"/>
  <c r="G388" i="19" s="1"/>
  <c r="I388" i="19" s="1"/>
  <c r="I110" i="19"/>
  <c r="G403" i="19"/>
  <c r="I403" i="19" s="1"/>
  <c r="L407" i="19"/>
  <c r="L431" i="19" s="1"/>
  <c r="G431" i="19" s="1"/>
  <c r="I431" i="19" s="1"/>
  <c r="G417" i="19"/>
  <c r="I417" i="19" s="1"/>
  <c r="L421" i="19"/>
  <c r="AB536" i="9"/>
  <c r="AC528" i="9"/>
  <c r="AB542" i="9" s="1"/>
  <c r="AC523" i="9"/>
  <c r="AB539" i="9" s="1"/>
  <c r="G615" i="19"/>
  <c r="I615" i="19" s="1"/>
  <c r="M637" i="19"/>
  <c r="L637" i="19" s="1"/>
  <c r="G637" i="19" s="1"/>
  <c r="I637" i="19" s="1"/>
  <c r="M626" i="19"/>
  <c r="L626" i="19" s="1"/>
  <c r="G626" i="19" s="1"/>
  <c r="I626" i="19" s="1"/>
  <c r="G605" i="19"/>
  <c r="I605" i="19" s="1"/>
  <c r="AB52" i="11"/>
  <c r="AG57" i="11" s="1"/>
  <c r="AL55" i="11" s="1" a="1"/>
  <c r="AL55" i="11" s="1"/>
  <c r="L104" i="19"/>
  <c r="G104" i="19" s="1"/>
  <c r="L111" i="19"/>
  <c r="G111" i="19" s="1"/>
  <c r="W933" i="19" s="1"/>
  <c r="V938" i="19" s="1"/>
  <c r="X53" i="11"/>
  <c r="AG54" i="11" s="1"/>
  <c r="AL56" i="11" s="1" a="1"/>
  <c r="AL56" i="11" s="1"/>
  <c r="M698" i="19"/>
  <c r="L698" i="19" s="1"/>
  <c r="G698" i="19" s="1"/>
  <c r="I698" i="19" s="1"/>
  <c r="G677" i="19"/>
  <c r="I677" i="19" s="1"/>
  <c r="L109" i="19"/>
  <c r="G109" i="19" s="1"/>
  <c r="U933" i="19" s="1"/>
  <c r="T938" i="19" s="1"/>
  <c r="G610" i="19"/>
  <c r="I610" i="19" s="1"/>
  <c r="M632" i="19"/>
  <c r="L632" i="19" s="1"/>
  <c r="G632" i="19" s="1"/>
  <c r="I632" i="19" s="1"/>
  <c r="L346" i="19"/>
  <c r="G346" i="19" s="1"/>
  <c r="L358" i="19"/>
  <c r="G358" i="19" s="1"/>
  <c r="I358" i="19" s="1"/>
  <c r="G336" i="19"/>
  <c r="I336" i="19" s="1"/>
  <c r="L353" i="19"/>
  <c r="G353" i="19" s="1"/>
  <c r="I353" i="19" s="1"/>
  <c r="L355" i="19"/>
  <c r="G355" i="19" s="1"/>
  <c r="I355" i="19" s="1"/>
  <c r="L352" i="19"/>
  <c r="G352" i="19" s="1"/>
  <c r="I352" i="19" s="1"/>
  <c r="L356" i="19"/>
  <c r="G356" i="19" s="1"/>
  <c r="I356" i="19" s="1"/>
  <c r="L357" i="19"/>
  <c r="G357" i="19" s="1"/>
  <c r="I357" i="19" s="1"/>
  <c r="L351" i="19"/>
  <c r="G351" i="19" s="1"/>
  <c r="I351" i="19" s="1"/>
  <c r="M276" i="19"/>
  <c r="L354" i="19"/>
  <c r="G354" i="19" s="1"/>
  <c r="I354" i="19" s="1"/>
  <c r="L359" i="19"/>
  <c r="G359" i="19" s="1"/>
  <c r="I359" i="19" s="1"/>
  <c r="G338" i="19"/>
  <c r="I338" i="19" s="1"/>
  <c r="L348" i="19"/>
  <c r="G348" i="19" s="1"/>
  <c r="X51" i="11"/>
  <c r="AG52" i="11" s="1"/>
  <c r="AL52" i="11" s="1" a="1"/>
  <c r="AL52" i="11" s="1"/>
  <c r="S318" i="10"/>
  <c r="T318" i="10" s="1"/>
  <c r="BC316" i="10" s="1"/>
  <c r="Y455" i="10" s="1"/>
  <c r="G198" i="11" s="1"/>
  <c r="S205" i="10"/>
  <c r="T205" i="10" s="1"/>
  <c r="U200" i="10" s="1"/>
  <c r="BC200" i="10" s="1"/>
  <c r="Y437" i="10" s="1"/>
  <c r="G182" i="11" s="1"/>
  <c r="K186" i="11" s="1"/>
  <c r="M186" i="11" s="1"/>
  <c r="H51" i="11" s="1"/>
  <c r="S278" i="10"/>
  <c r="T278" i="10" s="1"/>
  <c r="U274" i="10" s="1"/>
  <c r="S301" i="10"/>
  <c r="T301" i="10" s="1"/>
  <c r="U300" i="10" s="1"/>
  <c r="BC300" i="10" s="1"/>
  <c r="Y451" i="10" s="1"/>
  <c r="G194" i="11" s="1"/>
  <c r="T284" i="10"/>
  <c r="S231" i="10"/>
  <c r="S213" i="10"/>
  <c r="T213" i="10" s="1"/>
  <c r="U209" i="10" s="1"/>
  <c r="BC233" i="10"/>
  <c r="Y442" i="10" s="1"/>
  <c r="G186" i="11" s="1"/>
  <c r="AL5" i="5"/>
  <c r="L314" i="19" l="1"/>
  <c r="G314" i="19" s="1"/>
  <c r="I314" i="19" s="1"/>
  <c r="L315" i="19"/>
  <c r="G315" i="19" s="1"/>
  <c r="I315" i="19" s="1"/>
  <c r="L316" i="19"/>
  <c r="G316" i="19" s="1"/>
  <c r="I316" i="19" s="1"/>
  <c r="L317" i="19"/>
  <c r="G317" i="19" s="1"/>
  <c r="I317" i="19" s="1"/>
  <c r="L318" i="19"/>
  <c r="G318" i="19" s="1"/>
  <c r="I318" i="19" s="1"/>
  <c r="L319" i="19"/>
  <c r="G319" i="19" s="1"/>
  <c r="I319" i="19" s="1"/>
  <c r="L320" i="19"/>
  <c r="G320" i="19" s="1"/>
  <c r="I320" i="19" s="1"/>
  <c r="I379" i="19"/>
  <c r="X384" i="19"/>
  <c r="L446" i="19"/>
  <c r="G446" i="19" s="1"/>
  <c r="I446" i="19" s="1"/>
  <c r="L444" i="19"/>
  <c r="G444" i="19" s="1"/>
  <c r="I444" i="19" s="1"/>
  <c r="L441" i="19"/>
  <c r="G441" i="19" s="1"/>
  <c r="I441" i="19" s="1"/>
  <c r="L445" i="19"/>
  <c r="G445" i="19" s="1"/>
  <c r="I445" i="19" s="1"/>
  <c r="G421" i="19"/>
  <c r="I421" i="19" s="1"/>
  <c r="L438" i="19"/>
  <c r="G438" i="19" s="1"/>
  <c r="I438" i="19" s="1"/>
  <c r="L443" i="19"/>
  <c r="G443" i="19" s="1"/>
  <c r="I443" i="19" s="1"/>
  <c r="L440" i="19"/>
  <c r="G440" i="19" s="1"/>
  <c r="I440" i="19" s="1"/>
  <c r="L439" i="19"/>
  <c r="G439" i="19" s="1"/>
  <c r="I439" i="19" s="1"/>
  <c r="L448" i="19"/>
  <c r="G448" i="19" s="1"/>
  <c r="I448" i="19" s="1"/>
  <c r="L442" i="19"/>
  <c r="G442" i="19" s="1"/>
  <c r="I442" i="19" s="1"/>
  <c r="L433" i="19"/>
  <c r="G433" i="19" s="1"/>
  <c r="I433" i="19" s="1"/>
  <c r="G407" i="19"/>
  <c r="I407" i="19" s="1"/>
  <c r="L426" i="19"/>
  <c r="G426" i="19" s="1"/>
  <c r="I426" i="19" s="1"/>
  <c r="L432" i="19"/>
  <c r="G432" i="19" s="1"/>
  <c r="I432" i="19" s="1"/>
  <c r="L425" i="19"/>
  <c r="G425" i="19" s="1"/>
  <c r="I425" i="19" s="1"/>
  <c r="L430" i="19"/>
  <c r="G430" i="19" s="1"/>
  <c r="I430" i="19" s="1"/>
  <c r="L427" i="19"/>
  <c r="G427" i="19" s="1"/>
  <c r="I427" i="19" s="1"/>
  <c r="L435" i="19"/>
  <c r="G435" i="19" s="1"/>
  <c r="I435" i="19" s="1"/>
  <c r="L428" i="19"/>
  <c r="G428" i="19" s="1"/>
  <c r="I428" i="19" s="1"/>
  <c r="L429" i="19"/>
  <c r="G429" i="19" s="1"/>
  <c r="I429" i="19" s="1"/>
  <c r="I104" i="19"/>
  <c r="U961" i="19"/>
  <c r="I348" i="19"/>
  <c r="L54" i="19"/>
  <c r="G54" i="19" s="1"/>
  <c r="I54" i="19" s="1"/>
  <c r="I346" i="19"/>
  <c r="L53" i="19"/>
  <c r="G53" i="19" s="1"/>
  <c r="I53" i="19" s="1"/>
  <c r="X383" i="19"/>
  <c r="L50" i="19"/>
  <c r="G50" i="19" s="1"/>
  <c r="I50" i="19" s="1"/>
  <c r="I111" i="19"/>
  <c r="W605" i="19"/>
  <c r="L282" i="19"/>
  <c r="G282" i="19" s="1"/>
  <c r="I282" i="19" s="1"/>
  <c r="L278" i="19"/>
  <c r="G278" i="19" s="1"/>
  <c r="I278" i="19" s="1"/>
  <c r="L277" i="19"/>
  <c r="G277" i="19" s="1"/>
  <c r="I277" i="19" s="1"/>
  <c r="L281" i="19"/>
  <c r="G281" i="19" s="1"/>
  <c r="I281" i="19" s="1"/>
  <c r="L279" i="19"/>
  <c r="G279" i="19" s="1"/>
  <c r="I279" i="19" s="1"/>
  <c r="L280" i="19"/>
  <c r="G280" i="19" s="1"/>
  <c r="I280" i="19" s="1"/>
  <c r="L283" i="19"/>
  <c r="G283" i="19" s="1"/>
  <c r="I283" i="19" s="1"/>
  <c r="V605" i="19"/>
  <c r="U675" i="19" s="1"/>
  <c r="I109" i="19"/>
  <c r="S386" i="5"/>
  <c r="T386" i="5" s="1"/>
  <c r="U374" i="5" s="1"/>
  <c r="BC374" i="5" s="1"/>
  <c r="Y635" i="5" s="1"/>
  <c r="F146" i="11" s="1"/>
  <c r="S363" i="5"/>
  <c r="T363" i="5" s="1"/>
  <c r="S361" i="5"/>
  <c r="T361" i="5" s="1"/>
  <c r="T231" i="10"/>
  <c r="U227" i="10" s="1"/>
  <c r="U281" i="10"/>
  <c r="BC281" i="10" s="1"/>
  <c r="Y448" i="10" s="1"/>
  <c r="G191" i="11" s="1"/>
  <c r="S350" i="5"/>
  <c r="T350" i="5" s="1"/>
  <c r="U343" i="5" s="1"/>
  <c r="S916" i="5"/>
  <c r="T916" i="5" s="1"/>
  <c r="U915" i="5" s="1"/>
  <c r="U925" i="5" s="1"/>
  <c r="I934" i="5" s="1"/>
  <c r="T339" i="5"/>
  <c r="S321" i="5"/>
  <c r="T321" i="5" s="1"/>
  <c r="U306" i="5" s="1"/>
  <c r="Y383" i="19" l="1"/>
  <c r="Y384" i="19" s="1"/>
  <c r="V675" i="19"/>
  <c r="L672" i="19" s="1"/>
  <c r="M690" i="19"/>
  <c r="L690" i="19" s="1"/>
  <c r="G690" i="19" s="1"/>
  <c r="I690" i="19" s="1"/>
  <c r="M692" i="19"/>
  <c r="L692" i="19" s="1"/>
  <c r="G692" i="19" s="1"/>
  <c r="I692" i="19" s="1"/>
  <c r="M691" i="19"/>
  <c r="L691" i="19" s="1"/>
  <c r="G691" i="19" s="1"/>
  <c r="I691" i="19" s="1"/>
  <c r="U356" i="5"/>
  <c r="M619" i="19"/>
  <c r="L619" i="19" s="1"/>
  <c r="G619" i="19" s="1"/>
  <c r="I619" i="19" s="1"/>
  <c r="L600" i="19"/>
  <c r="M620" i="19"/>
  <c r="L620" i="19" s="1"/>
  <c r="G620" i="19" s="1"/>
  <c r="I620" i="19" s="1"/>
  <c r="M618" i="19"/>
  <c r="L618" i="19" s="1"/>
  <c r="G618" i="19" s="1"/>
  <c r="I618" i="19" s="1"/>
  <c r="U351" i="10"/>
  <c r="L397" i="10" s="1"/>
  <c r="M396" i="10" s="1"/>
  <c r="U338" i="5"/>
  <c r="BC338" i="5" s="1"/>
  <c r="Y632" i="5" s="1"/>
  <c r="F143" i="11" s="1"/>
  <c r="BC343" i="5"/>
  <c r="Y633" i="5" s="1"/>
  <c r="F144" i="11" s="1"/>
  <c r="M693" i="19" l="1"/>
  <c r="L693" i="19" s="1"/>
  <c r="G693" i="19" s="1"/>
  <c r="I693" i="19" s="1"/>
  <c r="G672" i="19"/>
  <c r="I672" i="19" s="1"/>
  <c r="G600" i="19"/>
  <c r="I600" i="19" s="1"/>
  <c r="M621" i="19"/>
  <c r="L621" i="19" s="1"/>
  <c r="G621" i="19" s="1"/>
  <c r="I621" i="19" s="1"/>
  <c r="U541" i="5"/>
  <c r="L587" i="5" s="1"/>
  <c r="M586" i="5" s="1"/>
  <c r="M606" i="5" s="1"/>
  <c r="I664" i="5" s="1"/>
  <c r="G697" i="5" s="1"/>
  <c r="M415" i="10"/>
  <c r="I473" i="10" s="1"/>
  <c r="H474" i="10"/>
  <c r="N685" i="19" l="1"/>
  <c r="M685" i="19" s="1"/>
  <c r="L685" i="19" s="1"/>
  <c r="G685" i="19" s="1"/>
  <c r="I685" i="19" s="1"/>
  <c r="F168" i="21"/>
  <c r="I168" i="21" s="1"/>
  <c r="X157" i="21" s="1"/>
  <c r="G506" i="10"/>
  <c r="E22" i="11" s="1"/>
  <c r="D36" i="11" s="1"/>
  <c r="F36" i="11" s="1"/>
  <c r="Q467" i="10"/>
  <c r="R467" i="10" s="1"/>
  <c r="BC586" i="5"/>
  <c r="E13" i="11"/>
  <c r="H665" i="5"/>
  <c r="N680" i="19" l="1"/>
  <c r="M680" i="19" s="1"/>
  <c r="L680" i="19" s="1"/>
  <c r="G680" i="19" s="1"/>
  <c r="I680" i="19" s="1"/>
  <c r="H110" i="21"/>
  <c r="O70" i="21" s="1"/>
  <c r="O73" i="21" s="1"/>
  <c r="P96" i="21" s="1"/>
  <c r="C36" i="11"/>
  <c r="E36" i="11" s="1"/>
  <c r="L105" i="19" s="1"/>
  <c r="L76" i="19"/>
  <c r="AC53" i="11"/>
  <c r="AH58" i="11" s="1"/>
  <c r="S431" i="7"/>
  <c r="W431" i="7" s="1"/>
  <c r="T431" i="7"/>
  <c r="X431" i="7" s="1"/>
  <c r="S430" i="7"/>
  <c r="W430" i="7" s="1"/>
  <c r="T430" i="7"/>
  <c r="X430" i="7" s="1"/>
  <c r="T429" i="7"/>
  <c r="X429" i="7" s="1"/>
  <c r="S429" i="7"/>
  <c r="W429" i="7" s="1"/>
  <c r="AC96" i="21" l="1"/>
  <c r="AB53" i="11"/>
  <c r="AG58" i="11" s="1"/>
  <c r="AL57" i="11" s="1" a="1"/>
  <c r="AL57" i="11" s="1"/>
  <c r="G76" i="19"/>
  <c r="V962" i="19" s="1"/>
  <c r="G105" i="19"/>
  <c r="V961" i="19" s="1"/>
  <c r="T426" i="7"/>
  <c r="S426" i="7"/>
  <c r="I76" i="19" l="1"/>
  <c r="W602" i="19"/>
  <c r="I105" i="19"/>
  <c r="W606" i="19"/>
  <c r="W426" i="7"/>
  <c r="X426" i="7"/>
  <c r="V676" i="19" l="1"/>
  <c r="L682" i="19" s="1"/>
  <c r="M703" i="19"/>
  <c r="L703" i="19" s="1"/>
  <c r="G703" i="19" s="1"/>
  <c r="I703" i="19" s="1"/>
  <c r="M701" i="19"/>
  <c r="L701" i="19" s="1"/>
  <c r="G701" i="19" s="1"/>
  <c r="I701" i="19" s="1"/>
  <c r="M702" i="19"/>
  <c r="L702" i="19" s="1"/>
  <c r="G702" i="19" s="1"/>
  <c r="I702" i="19" s="1"/>
  <c r="V672" i="19"/>
  <c r="L687" i="19" s="1"/>
  <c r="M708" i="19"/>
  <c r="L708" i="19" s="1"/>
  <c r="G708" i="19" s="1"/>
  <c r="I708" i="19" s="1"/>
  <c r="M706" i="19"/>
  <c r="L706" i="19" s="1"/>
  <c r="G706" i="19" s="1"/>
  <c r="I706" i="19" s="1"/>
  <c r="M707" i="19"/>
  <c r="L707" i="19" s="1"/>
  <c r="G707" i="19" s="1"/>
  <c r="I707" i="19" s="1"/>
  <c r="T428" i="7"/>
  <c r="X428" i="7" s="1"/>
  <c r="S428" i="7"/>
  <c r="W428" i="7" s="1"/>
  <c r="T427" i="7"/>
  <c r="S427" i="7"/>
  <c r="R433" i="7"/>
  <c r="M709" i="19" l="1"/>
  <c r="L709" i="19" s="1"/>
  <c r="G709" i="19" s="1"/>
  <c r="I709" i="19" s="1"/>
  <c r="G687" i="19"/>
  <c r="I687" i="19" s="1"/>
  <c r="M704" i="19"/>
  <c r="L704" i="19" s="1"/>
  <c r="G704" i="19" s="1"/>
  <c r="I704" i="19" s="1"/>
  <c r="G682" i="19"/>
  <c r="I682" i="19" s="1"/>
  <c r="X427" i="7"/>
  <c r="X425" i="7" s="1"/>
  <c r="AD71" i="10" s="1"/>
  <c r="T425" i="7"/>
  <c r="H413" i="7" s="1"/>
  <c r="H411" i="7" s="1"/>
  <c r="G67" i="7" s="1"/>
  <c r="W427" i="7"/>
  <c r="W425" i="7" s="1"/>
  <c r="AA71" i="10" s="1"/>
  <c r="S425" i="7"/>
  <c r="G413" i="7" s="1"/>
  <c r="G411" i="7" s="1"/>
  <c r="F67" i="7" s="1"/>
  <c r="H229" i="10" l="1"/>
  <c r="I229" i="10" s="1"/>
  <c r="H276" i="10"/>
  <c r="I276" i="10" s="1"/>
  <c r="H211" i="10"/>
  <c r="I211" i="10" s="1"/>
  <c r="K229" i="10"/>
  <c r="L229" i="10" s="1"/>
  <c r="K276" i="10"/>
  <c r="L276" i="10" s="1"/>
  <c r="K211" i="10"/>
  <c r="L211" i="10" s="1"/>
  <c r="AA70" i="5"/>
  <c r="H307" i="5" s="1"/>
  <c r="I307" i="5" s="1"/>
  <c r="AA65" i="10"/>
  <c r="AD70" i="5"/>
  <c r="K307" i="5" s="1"/>
  <c r="L307" i="5" s="1"/>
  <c r="AD65" i="10"/>
  <c r="S412" i="7"/>
  <c r="W412" i="7" s="1"/>
  <c r="T412" i="7"/>
  <c r="X412" i="7" s="1"/>
  <c r="S411" i="7"/>
  <c r="W411" i="7" s="1"/>
  <c r="T411" i="7"/>
  <c r="X411" i="7" s="1"/>
  <c r="K210" i="10" l="1"/>
  <c r="L210" i="10" s="1"/>
  <c r="N569" i="19" s="1"/>
  <c r="M569" i="19" s="1"/>
  <c r="L569" i="19" s="1"/>
  <c r="K228" i="10"/>
  <c r="L228" i="10" s="1"/>
  <c r="M227" i="10" s="1"/>
  <c r="K275" i="10"/>
  <c r="L275" i="10" s="1"/>
  <c r="M274" i="10" s="1"/>
  <c r="H210" i="10"/>
  <c r="I210" i="10" s="1"/>
  <c r="N568" i="19" s="1"/>
  <c r="M568" i="19" s="1"/>
  <c r="L568" i="19" s="1"/>
  <c r="H228" i="10"/>
  <c r="I228" i="10" s="1"/>
  <c r="J227" i="10" s="1"/>
  <c r="H275" i="10"/>
  <c r="I275" i="10" s="1"/>
  <c r="J274" i="10" s="1"/>
  <c r="S410" i="7"/>
  <c r="W410" i="7" s="1"/>
  <c r="T410" i="7"/>
  <c r="X410" i="7" s="1"/>
  <c r="G568" i="19" l="1"/>
  <c r="I568" i="19" s="1"/>
  <c r="G569" i="19"/>
  <c r="I569" i="19" s="1"/>
  <c r="F441" i="10"/>
  <c r="D135" i="21" s="1"/>
  <c r="H135" i="21" s="1"/>
  <c r="T140" i="21" s="1"/>
  <c r="BB227" i="10"/>
  <c r="X441" i="10" s="1"/>
  <c r="H441" i="10"/>
  <c r="F135" i="21" s="1"/>
  <c r="I135" i="21" s="1"/>
  <c r="X140" i="21" s="1"/>
  <c r="BC227" i="10"/>
  <c r="Y441" i="10" s="1"/>
  <c r="G185" i="11" s="1"/>
  <c r="F447" i="10"/>
  <c r="BB274" i="10"/>
  <c r="X447" i="10" s="1"/>
  <c r="F190" i="11" s="1"/>
  <c r="J188" i="11" s="1"/>
  <c r="L188" i="11" s="1"/>
  <c r="F53" i="11" s="1"/>
  <c r="H447" i="10"/>
  <c r="BC274" i="10"/>
  <c r="Y447" i="10" s="1"/>
  <c r="G190" i="11" s="1"/>
  <c r="K188" i="11" s="1"/>
  <c r="M188" i="11" s="1"/>
  <c r="H53" i="11" s="1"/>
  <c r="T407" i="7"/>
  <c r="S407" i="7"/>
  <c r="AT762" i="19" l="1"/>
  <c r="AY762" i="19" s="1"/>
  <c r="AY771" i="19" s="1"/>
  <c r="F141" i="21"/>
  <c r="I141" i="21" s="1"/>
  <c r="X145" i="21" s="1"/>
  <c r="AS762" i="19"/>
  <c r="AV762" i="19" s="1"/>
  <c r="AV771" i="19" s="1"/>
  <c r="D141" i="21"/>
  <c r="H141" i="21" s="1"/>
  <c r="T145" i="21" s="1"/>
  <c r="R442" i="10"/>
  <c r="R451" i="10" s="1"/>
  <c r="R496" i="10"/>
  <c r="Q442" i="10"/>
  <c r="Q451" i="10" s="1"/>
  <c r="Q496" i="10"/>
  <c r="F185" i="11"/>
  <c r="G536" i="10"/>
  <c r="I536" i="10" s="1"/>
  <c r="G531" i="10"/>
  <c r="I531" i="10" s="1"/>
  <c r="W407" i="7"/>
  <c r="X407" i="7"/>
  <c r="L202" i="19" l="1"/>
  <c r="L194" i="19"/>
  <c r="Q508" i="10"/>
  <c r="U508" i="10"/>
  <c r="S408" i="7"/>
  <c r="T408" i="7"/>
  <c r="R414" i="7"/>
  <c r="T409" i="7"/>
  <c r="X409" i="7" s="1"/>
  <c r="S409" i="7"/>
  <c r="W409" i="7" s="1"/>
  <c r="Z406" i="7"/>
  <c r="Z698" i="19" l="1"/>
  <c r="G194" i="19"/>
  <c r="Q962" i="19" s="1"/>
  <c r="G202" i="19"/>
  <c r="AL698" i="19"/>
  <c r="X408" i="7"/>
  <c r="X406" i="7" s="1"/>
  <c r="AD72" i="10" s="1"/>
  <c r="K217" i="10" s="1"/>
  <c r="L217" i="10" s="1"/>
  <c r="T406" i="7"/>
  <c r="H408" i="7" s="1"/>
  <c r="H404" i="7" s="1"/>
  <c r="G66" i="7" s="1"/>
  <c r="W408" i="7"/>
  <c r="W406" i="7" s="1"/>
  <c r="S406" i="7"/>
  <c r="G408" i="7" s="1"/>
  <c r="G404" i="7" s="1"/>
  <c r="F66" i="7" s="1"/>
  <c r="I202" i="19" l="1"/>
  <c r="Q939" i="19"/>
  <c r="I194" i="19"/>
  <c r="R852" i="19"/>
  <c r="M890" i="19" s="1"/>
  <c r="L890" i="19" s="1"/>
  <c r="G890" i="19" s="1"/>
  <c r="I890" i="19" s="1"/>
  <c r="AA72" i="10"/>
  <c r="H217" i="10" s="1"/>
  <c r="I217" i="10" s="1"/>
  <c r="AA76" i="5"/>
  <c r="H368" i="5" s="1"/>
  <c r="I368" i="5" s="1"/>
  <c r="AD76" i="5"/>
  <c r="K368" i="5" s="1"/>
  <c r="AA69" i="5"/>
  <c r="H366" i="5" s="1"/>
  <c r="I366" i="5" s="1"/>
  <c r="AA64" i="10"/>
  <c r="H216" i="10" s="1"/>
  <c r="I216" i="10" s="1"/>
  <c r="AD69" i="5"/>
  <c r="K366" i="5" s="1"/>
  <c r="L366" i="5" s="1"/>
  <c r="M356" i="5" s="1"/>
  <c r="AD64" i="10"/>
  <c r="K216" i="10" s="1"/>
  <c r="L216" i="10" s="1"/>
  <c r="N555" i="19" l="1"/>
  <c r="M555" i="19" s="1"/>
  <c r="L555" i="19" s="1"/>
  <c r="G555" i="19" s="1"/>
  <c r="I555" i="19" s="1"/>
  <c r="M209" i="10"/>
  <c r="BC209" i="10" s="1"/>
  <c r="Y439" i="10" s="1"/>
  <c r="Y478" i="10" s="1"/>
  <c r="N556" i="19"/>
  <c r="M556" i="19" s="1"/>
  <c r="L556" i="19" s="1"/>
  <c r="H634" i="5"/>
  <c r="H79" i="21" s="1"/>
  <c r="BC356" i="5"/>
  <c r="Y634" i="5" s="1"/>
  <c r="F145" i="11" s="1"/>
  <c r="J146" i="11" s="1"/>
  <c r="L146" i="11" s="1"/>
  <c r="G54" i="11" s="1"/>
  <c r="J209" i="10"/>
  <c r="BB209" i="10" s="1"/>
  <c r="J356" i="5"/>
  <c r="H427" i="5"/>
  <c r="I427" i="5" s="1"/>
  <c r="H328" i="5"/>
  <c r="I328" i="5" s="1"/>
  <c r="K328" i="5"/>
  <c r="L328" i="5" s="1"/>
  <c r="K427" i="5"/>
  <c r="L427" i="5" s="1"/>
  <c r="K308" i="5"/>
  <c r="L308" i="5" s="1"/>
  <c r="K426" i="5"/>
  <c r="L426" i="5" s="1"/>
  <c r="H308" i="5"/>
  <c r="I308" i="5" s="1"/>
  <c r="H426" i="5"/>
  <c r="I426" i="5" s="1"/>
  <c r="AI42" i="21" l="1"/>
  <c r="P81" i="21"/>
  <c r="AC81" i="21" s="1"/>
  <c r="M351" i="10"/>
  <c r="I435" i="10" s="1"/>
  <c r="N581" i="19"/>
  <c r="M581" i="19" s="1"/>
  <c r="L581" i="19" s="1"/>
  <c r="H439" i="10"/>
  <c r="N582" i="19"/>
  <c r="M582" i="19" s="1"/>
  <c r="L582" i="19" s="1"/>
  <c r="G582" i="19" s="1"/>
  <c r="I582" i="19" s="1"/>
  <c r="G556" i="19"/>
  <c r="I556" i="19" s="1"/>
  <c r="R633" i="5"/>
  <c r="R642" i="5" s="1"/>
  <c r="O920" i="19"/>
  <c r="T916" i="19" s="1"/>
  <c r="U920" i="19" s="1"/>
  <c r="F439" i="10"/>
  <c r="J351" i="10"/>
  <c r="BA352" i="10" s="1"/>
  <c r="F634" i="5"/>
  <c r="F79" i="21" s="1"/>
  <c r="BB356" i="5"/>
  <c r="X634" i="5" s="1"/>
  <c r="E145" i="11" s="1"/>
  <c r="I146" i="11" s="1"/>
  <c r="K146" i="11" s="1"/>
  <c r="E54" i="11" s="1"/>
  <c r="J424" i="5"/>
  <c r="F640" i="5" s="1"/>
  <c r="J306" i="5"/>
  <c r="M306" i="5"/>
  <c r="H630" i="5" s="1"/>
  <c r="G183" i="11"/>
  <c r="G218" i="11"/>
  <c r="E203" i="11" s="1"/>
  <c r="M424" i="5"/>
  <c r="H640" i="5" s="1"/>
  <c r="H85" i="21" s="1"/>
  <c r="X439" i="10"/>
  <c r="X478" i="10" s="1"/>
  <c r="BA351" i="10"/>
  <c r="H478" i="10"/>
  <c r="R631" i="5" l="1"/>
  <c r="R640" i="5" s="1"/>
  <c r="H75" i="21"/>
  <c r="P685" i="5"/>
  <c r="AG747" i="19" s="1"/>
  <c r="F85" i="21"/>
  <c r="L81" i="21"/>
  <c r="AB81" i="21" s="1"/>
  <c r="Q31" i="21"/>
  <c r="P85" i="21"/>
  <c r="AC85" i="21" s="1"/>
  <c r="AL48" i="21"/>
  <c r="Q441" i="10"/>
  <c r="Q450" i="10" s="1"/>
  <c r="L201" i="19" s="1"/>
  <c r="D133" i="21"/>
  <c r="H133" i="21" s="1"/>
  <c r="T138" i="21" s="1"/>
  <c r="R441" i="10"/>
  <c r="R450" i="10" s="1"/>
  <c r="L193" i="19" s="1"/>
  <c r="Z697" i="19" s="1"/>
  <c r="F133" i="21"/>
  <c r="I133" i="21" s="1"/>
  <c r="X138" i="21" s="1"/>
  <c r="M417" i="10"/>
  <c r="I479" i="10" s="1"/>
  <c r="F478" i="10"/>
  <c r="X482" i="10" s="1"/>
  <c r="G529" i="10"/>
  <c r="I529" i="10" s="1"/>
  <c r="I559" i="10" s="1"/>
  <c r="K529" i="10" s="1"/>
  <c r="L140" i="19"/>
  <c r="G140" i="19" s="1"/>
  <c r="G581" i="19"/>
  <c r="I581" i="19" s="1"/>
  <c r="Q633" i="5"/>
  <c r="Q642" i="5" s="1"/>
  <c r="N920" i="19"/>
  <c r="Q920" i="19" s="1"/>
  <c r="R632" i="5"/>
  <c r="R641" i="5" s="1"/>
  <c r="Q685" i="5"/>
  <c r="J417" i="10"/>
  <c r="F88" i="10" s="1"/>
  <c r="H88" i="10" s="1"/>
  <c r="G435" i="10"/>
  <c r="K448" i="10" s="1"/>
  <c r="N439" i="10"/>
  <c r="Q464" i="10"/>
  <c r="R464" i="10" s="1"/>
  <c r="G723" i="5"/>
  <c r="I723" i="5" s="1"/>
  <c r="Q632" i="5"/>
  <c r="Q641" i="5" s="1"/>
  <c r="BC306" i="5"/>
  <c r="Y630" i="5" s="1"/>
  <c r="F142" i="11" s="1"/>
  <c r="J144" i="11" s="1"/>
  <c r="L144" i="11" s="1"/>
  <c r="G52" i="11" s="1"/>
  <c r="F218" i="11"/>
  <c r="D192" i="11" s="1"/>
  <c r="E186" i="11"/>
  <c r="E194" i="11"/>
  <c r="E202" i="11"/>
  <c r="E195" i="11"/>
  <c r="E188" i="11"/>
  <c r="E196" i="11"/>
  <c r="E189" i="11"/>
  <c r="E197" i="11"/>
  <c r="E190" i="11"/>
  <c r="E198" i="11"/>
  <c r="E191" i="11"/>
  <c r="E199" i="11"/>
  <c r="E184" i="11"/>
  <c r="E192" i="11"/>
  <c r="E200" i="11"/>
  <c r="E185" i="11"/>
  <c r="E193" i="11"/>
  <c r="E201" i="11"/>
  <c r="E187" i="11"/>
  <c r="E182" i="11"/>
  <c r="K187" i="11"/>
  <c r="M187" i="11" s="1"/>
  <c r="H52" i="11" s="1"/>
  <c r="E183" i="11"/>
  <c r="BB424" i="5"/>
  <c r="X640" i="5" s="1"/>
  <c r="E150" i="11" s="1"/>
  <c r="I145" i="11" s="1"/>
  <c r="BC424" i="5"/>
  <c r="Y640" i="5" s="1"/>
  <c r="F150" i="11" s="1"/>
  <c r="M541" i="5"/>
  <c r="I626" i="5" s="1"/>
  <c r="F630" i="5"/>
  <c r="F75" i="21" s="1"/>
  <c r="J541" i="5"/>
  <c r="BB306" i="5"/>
  <c r="X630" i="5" s="1"/>
  <c r="F183" i="11"/>
  <c r="N454" i="10"/>
  <c r="I478" i="10"/>
  <c r="N450" i="10"/>
  <c r="N445" i="10"/>
  <c r="N444" i="10"/>
  <c r="N438" i="10"/>
  <c r="N447" i="10"/>
  <c r="N453" i="10"/>
  <c r="N459" i="10"/>
  <c r="N441" i="10"/>
  <c r="N437" i="10"/>
  <c r="N442" i="10"/>
  <c r="N451" i="10"/>
  <c r="N446" i="10"/>
  <c r="N448" i="10"/>
  <c r="N440" i="10"/>
  <c r="N449" i="10"/>
  <c r="N452" i="10"/>
  <c r="G503" i="10"/>
  <c r="E19" i="11" s="1"/>
  <c r="N457" i="10"/>
  <c r="N455" i="10"/>
  <c r="N443" i="10"/>
  <c r="H669" i="5"/>
  <c r="H114" i="21" s="1"/>
  <c r="L138" i="19" l="1"/>
  <c r="L422" i="19" s="1"/>
  <c r="G422" i="19" s="1"/>
  <c r="F89" i="10"/>
  <c r="L85" i="21"/>
  <c r="AB85" i="21" s="1"/>
  <c r="T33" i="21"/>
  <c r="L198" i="19"/>
  <c r="G198" i="19" s="1"/>
  <c r="AK45" i="21"/>
  <c r="P78" i="21"/>
  <c r="AC78" i="21" s="1"/>
  <c r="S32" i="21"/>
  <c r="L78" i="21"/>
  <c r="AB78" i="21" s="1"/>
  <c r="G193" i="19"/>
  <c r="P962" i="19" s="1"/>
  <c r="T481" i="10"/>
  <c r="X158" i="21"/>
  <c r="O159" i="21"/>
  <c r="T158" i="21"/>
  <c r="AA138" i="21" s="1"/>
  <c r="N159" i="21"/>
  <c r="BA542" i="5"/>
  <c r="J608" i="5"/>
  <c r="E933" i="5" s="1"/>
  <c r="M933" i="5" s="1"/>
  <c r="Q933" i="5" s="1"/>
  <c r="I140" i="19"/>
  <c r="O961" i="19"/>
  <c r="K457" i="10"/>
  <c r="K452" i="10"/>
  <c r="T699" i="19"/>
  <c r="I193" i="19"/>
  <c r="G201" i="19"/>
  <c r="AL697" i="19"/>
  <c r="L206" i="19"/>
  <c r="L148" i="19"/>
  <c r="G148" i="19" s="1"/>
  <c r="Q932" i="19" s="1"/>
  <c r="O938" i="19" s="1"/>
  <c r="AK747" i="19"/>
  <c r="AG756" i="19"/>
  <c r="AK756" i="19" s="1"/>
  <c r="P751" i="19" s="1"/>
  <c r="AH747" i="19"/>
  <c r="G478" i="10"/>
  <c r="Q461" i="10" s="1"/>
  <c r="R461" i="10" s="1"/>
  <c r="K445" i="10"/>
  <c r="K441" i="10"/>
  <c r="K446" i="10"/>
  <c r="K437" i="10"/>
  <c r="R636" i="5"/>
  <c r="R645" i="5" s="1"/>
  <c r="K455" i="10"/>
  <c r="K458" i="10"/>
  <c r="K447" i="10"/>
  <c r="K449" i="10"/>
  <c r="L139" i="19"/>
  <c r="L147" i="19"/>
  <c r="L38" i="19"/>
  <c r="G38" i="19" s="1"/>
  <c r="I38" i="19" s="1"/>
  <c r="G479" i="10"/>
  <c r="K459" i="10"/>
  <c r="K451" i="10"/>
  <c r="Q457" i="10"/>
  <c r="R457" i="10" s="1"/>
  <c r="G496" i="10"/>
  <c r="C19" i="11" s="1"/>
  <c r="K454" i="10"/>
  <c r="K443" i="10"/>
  <c r="K453" i="10"/>
  <c r="F527" i="10"/>
  <c r="H527" i="10" s="1"/>
  <c r="J527" i="10" s="1"/>
  <c r="K440" i="10"/>
  <c r="K444" i="10"/>
  <c r="K442" i="10"/>
  <c r="K439" i="10"/>
  <c r="K450" i="10"/>
  <c r="K438" i="10"/>
  <c r="G716" i="5"/>
  <c r="I716" i="5" s="1"/>
  <c r="I744" i="5" s="1"/>
  <c r="J743" i="5" s="1"/>
  <c r="Q631" i="5"/>
  <c r="Y482" i="10"/>
  <c r="Q468" i="10"/>
  <c r="R468" i="10" s="1"/>
  <c r="D33" i="11"/>
  <c r="F33" i="11" s="1"/>
  <c r="H50" i="11"/>
  <c r="N628" i="5"/>
  <c r="N634" i="5"/>
  <c r="F90" i="10"/>
  <c r="G92" i="10"/>
  <c r="H89" i="10"/>
  <c r="F94" i="10"/>
  <c r="D187" i="11"/>
  <c r="D191" i="11"/>
  <c r="D189" i="11"/>
  <c r="D186" i="11"/>
  <c r="D188" i="11"/>
  <c r="D185" i="11"/>
  <c r="D198" i="11"/>
  <c r="D184" i="11"/>
  <c r="D190" i="11"/>
  <c r="D199" i="11"/>
  <c r="D194" i="11"/>
  <c r="D201" i="11"/>
  <c r="D182" i="11"/>
  <c r="D200" i="11"/>
  <c r="D202" i="11"/>
  <c r="D197" i="11"/>
  <c r="D196" i="11"/>
  <c r="D195" i="11"/>
  <c r="E179" i="11"/>
  <c r="Y669" i="5"/>
  <c r="N630" i="5"/>
  <c r="N637" i="5"/>
  <c r="N650" i="5"/>
  <c r="N641" i="5"/>
  <c r="N635" i="5"/>
  <c r="N648" i="5"/>
  <c r="N642" i="5"/>
  <c r="G694" i="5"/>
  <c r="N639" i="5"/>
  <c r="M608" i="5"/>
  <c r="E934" i="5" s="1"/>
  <c r="M934" i="5" s="1"/>
  <c r="Q934" i="5" s="1"/>
  <c r="N643" i="5"/>
  <c r="I669" i="5"/>
  <c r="O659" i="5" s="1"/>
  <c r="N632" i="5"/>
  <c r="N640" i="5"/>
  <c r="E142" i="11"/>
  <c r="D193" i="11"/>
  <c r="D203" i="11"/>
  <c r="J187" i="11"/>
  <c r="L187" i="11" s="1"/>
  <c r="F52" i="11" s="1"/>
  <c r="D183" i="11"/>
  <c r="J145" i="11"/>
  <c r="L145" i="11" s="1"/>
  <c r="G53" i="11" s="1"/>
  <c r="F669" i="5"/>
  <c r="F114" i="21" s="1"/>
  <c r="N633" i="5"/>
  <c r="N647" i="5"/>
  <c r="N645" i="5"/>
  <c r="N644" i="5"/>
  <c r="N646" i="5"/>
  <c r="BA541" i="5"/>
  <c r="G626" i="5"/>
  <c r="K634" i="5" s="1"/>
  <c r="N478" i="10"/>
  <c r="M454" i="10"/>
  <c r="M474" i="10"/>
  <c r="M446" i="10"/>
  <c r="M459" i="10"/>
  <c r="O468" i="10"/>
  <c r="M457" i="10"/>
  <c r="M453" i="10"/>
  <c r="M443" i="10"/>
  <c r="M449" i="10"/>
  <c r="M448" i="10"/>
  <c r="O473" i="10"/>
  <c r="M452" i="10"/>
  <c r="O462" i="10"/>
  <c r="M438" i="10"/>
  <c r="M445" i="10"/>
  <c r="M469" i="10"/>
  <c r="M465" i="10"/>
  <c r="M444" i="10"/>
  <c r="M455" i="10"/>
  <c r="M440" i="10"/>
  <c r="M475" i="10"/>
  <c r="G507" i="10"/>
  <c r="M442" i="10"/>
  <c r="M476" i="10"/>
  <c r="M450" i="10"/>
  <c r="M437" i="10"/>
  <c r="M441" i="10"/>
  <c r="M451" i="10"/>
  <c r="M447" i="10"/>
  <c r="M463" i="10"/>
  <c r="M471" i="10"/>
  <c r="M464" i="10"/>
  <c r="M470" i="10"/>
  <c r="M439" i="10"/>
  <c r="O435" i="10"/>
  <c r="K531" i="10"/>
  <c r="J535" i="10"/>
  <c r="J532" i="10"/>
  <c r="J541" i="10"/>
  <c r="K541" i="10"/>
  <c r="K542" i="10"/>
  <c r="K537" i="10"/>
  <c r="K550" i="10"/>
  <c r="K549" i="10"/>
  <c r="J543" i="10"/>
  <c r="K536" i="10"/>
  <c r="J546" i="10"/>
  <c r="J536" i="10"/>
  <c r="J531" i="10"/>
  <c r="K547" i="10"/>
  <c r="K554" i="10"/>
  <c r="K546" i="10"/>
  <c r="K557" i="10"/>
  <c r="J537" i="10"/>
  <c r="K543" i="10"/>
  <c r="J552" i="10"/>
  <c r="J530" i="10"/>
  <c r="J544" i="10"/>
  <c r="K558" i="10"/>
  <c r="K545" i="10"/>
  <c r="K539" i="10"/>
  <c r="K552" i="10"/>
  <c r="J538" i="10"/>
  <c r="J542" i="10"/>
  <c r="J556" i="10"/>
  <c r="J550" i="10"/>
  <c r="K555" i="10"/>
  <c r="J539" i="10"/>
  <c r="K530" i="10"/>
  <c r="K534" i="10"/>
  <c r="J551" i="10"/>
  <c r="J549" i="10"/>
  <c r="K527" i="10"/>
  <c r="J548" i="10"/>
  <c r="K544" i="10"/>
  <c r="K551" i="10"/>
  <c r="K532" i="10"/>
  <c r="K553" i="10"/>
  <c r="J555" i="10"/>
  <c r="J540" i="10"/>
  <c r="K556" i="10"/>
  <c r="J528" i="10"/>
  <c r="J529" i="10"/>
  <c r="J545" i="10"/>
  <c r="K540" i="10"/>
  <c r="K528" i="10"/>
  <c r="J534" i="10"/>
  <c r="J558" i="10"/>
  <c r="J554" i="10"/>
  <c r="J533" i="10"/>
  <c r="J557" i="10"/>
  <c r="K538" i="10"/>
  <c r="K533" i="10"/>
  <c r="K548" i="10"/>
  <c r="J553" i="10"/>
  <c r="J547" i="10"/>
  <c r="K535" i="10"/>
  <c r="Z702" i="19" l="1"/>
  <c r="AB697" i="19" s="1"/>
  <c r="T697" i="19"/>
  <c r="G138" i="19"/>
  <c r="P961" i="19" s="1"/>
  <c r="U602" i="19"/>
  <c r="AB97" i="21"/>
  <c r="T78" i="21" s="1"/>
  <c r="AC97" i="21"/>
  <c r="X78" i="21" s="1"/>
  <c r="AA145" i="21"/>
  <c r="AA153" i="21"/>
  <c r="AA144" i="21"/>
  <c r="AA146" i="21"/>
  <c r="AA154" i="21"/>
  <c r="AA152" i="21"/>
  <c r="AA139" i="21"/>
  <c r="AA147" i="21"/>
  <c r="AA140" i="21"/>
  <c r="AA148" i="21"/>
  <c r="AA156" i="21"/>
  <c r="AA143" i="21"/>
  <c r="AA141" i="21"/>
  <c r="AA149" i="21"/>
  <c r="AA151" i="21"/>
  <c r="AA137" i="21"/>
  <c r="AA142" i="21"/>
  <c r="AA150" i="21"/>
  <c r="AA157" i="21"/>
  <c r="AA155" i="21"/>
  <c r="AE142" i="21"/>
  <c r="AE150" i="21"/>
  <c r="AE137" i="21"/>
  <c r="AE143" i="21"/>
  <c r="AE151" i="21"/>
  <c r="AE148" i="21"/>
  <c r="AE144" i="21"/>
  <c r="AE152" i="21"/>
  <c r="AE156" i="21"/>
  <c r="AE145" i="21"/>
  <c r="AE153" i="21"/>
  <c r="AE149" i="21"/>
  <c r="AE146" i="21"/>
  <c r="AE154" i="21"/>
  <c r="AE139" i="21"/>
  <c r="AE147" i="21"/>
  <c r="AE140" i="21"/>
  <c r="AE141" i="21"/>
  <c r="AE155" i="21"/>
  <c r="AE157" i="21"/>
  <c r="AE138" i="21"/>
  <c r="L435" i="10"/>
  <c r="L473" i="10"/>
  <c r="I138" i="19"/>
  <c r="L462" i="10"/>
  <c r="J451" i="10"/>
  <c r="AF699" i="19"/>
  <c r="J463" i="10"/>
  <c r="J450" i="10"/>
  <c r="J471" i="10"/>
  <c r="J439" i="10"/>
  <c r="J448" i="10"/>
  <c r="G500" i="10"/>
  <c r="H499" i="10" s="1"/>
  <c r="D22" i="11" s="1"/>
  <c r="J476" i="10"/>
  <c r="AL747" i="19"/>
  <c r="AH756" i="19"/>
  <c r="AL756" i="19" s="1"/>
  <c r="V751" i="19" s="1"/>
  <c r="L468" i="10"/>
  <c r="R743" i="19"/>
  <c r="R745" i="19"/>
  <c r="R744" i="19"/>
  <c r="R746" i="19"/>
  <c r="R750" i="19"/>
  <c r="R751" i="19"/>
  <c r="R749" i="19"/>
  <c r="R748" i="19"/>
  <c r="R747" i="19"/>
  <c r="J443" i="10"/>
  <c r="J437" i="10"/>
  <c r="J469" i="10"/>
  <c r="J475" i="10"/>
  <c r="AK760" i="19"/>
  <c r="AK770" i="19" s="1"/>
  <c r="P742" i="19"/>
  <c r="R742" i="19" s="1"/>
  <c r="G206" i="19"/>
  <c r="AL702" i="19"/>
  <c r="AN697" i="19" s="1"/>
  <c r="T672" i="19"/>
  <c r="L571" i="19"/>
  <c r="G571" i="19" s="1"/>
  <c r="I571" i="19" s="1"/>
  <c r="L558" i="19"/>
  <c r="G558" i="19" s="1"/>
  <c r="I558" i="19" s="1"/>
  <c r="J470" i="10"/>
  <c r="J445" i="10"/>
  <c r="J457" i="10"/>
  <c r="J442" i="10"/>
  <c r="J464" i="10"/>
  <c r="J444" i="10"/>
  <c r="J446" i="10"/>
  <c r="J452" i="10"/>
  <c r="U601" i="19"/>
  <c r="P939" i="19"/>
  <c r="I201" i="19"/>
  <c r="AB698" i="19"/>
  <c r="AB696" i="19"/>
  <c r="AB700" i="19"/>
  <c r="AB702" i="19"/>
  <c r="AB699" i="19"/>
  <c r="AB701" i="19"/>
  <c r="J447" i="10"/>
  <c r="J438" i="10"/>
  <c r="J453" i="10"/>
  <c r="J441" i="10"/>
  <c r="J449" i="10"/>
  <c r="J465" i="10"/>
  <c r="J455" i="10"/>
  <c r="U606" i="19"/>
  <c r="I422" i="19"/>
  <c r="M225" i="19"/>
  <c r="I198" i="19"/>
  <c r="I148" i="19"/>
  <c r="J474" i="10"/>
  <c r="J440" i="10"/>
  <c r="J459" i="10"/>
  <c r="J454" i="10"/>
  <c r="L143" i="19"/>
  <c r="T702" i="19" s="1"/>
  <c r="G147" i="19"/>
  <c r="P932" i="19" s="1"/>
  <c r="Q938" i="19" s="1"/>
  <c r="AF698" i="19"/>
  <c r="T698" i="19"/>
  <c r="G139" i="19"/>
  <c r="L73" i="19"/>
  <c r="L41" i="19"/>
  <c r="Q636" i="5"/>
  <c r="Q645" i="5" s="1"/>
  <c r="Q640" i="5"/>
  <c r="K478" i="10"/>
  <c r="AC50" i="11"/>
  <c r="AH55" i="11" s="1"/>
  <c r="D28" i="11"/>
  <c r="F28" i="11" s="1"/>
  <c r="E10" i="11"/>
  <c r="C33" i="11" s="1"/>
  <c r="E33" i="11" s="1"/>
  <c r="F50" i="11"/>
  <c r="G50" i="11"/>
  <c r="AA631" i="5"/>
  <c r="AA634" i="5"/>
  <c r="M647" i="5"/>
  <c r="M634" i="5"/>
  <c r="AA646" i="5"/>
  <c r="AA662" i="5"/>
  <c r="AA639" i="5"/>
  <c r="AA650" i="5"/>
  <c r="AA647" i="5"/>
  <c r="AA641" i="5"/>
  <c r="AA653" i="5"/>
  <c r="AA640" i="5"/>
  <c r="AA635" i="5"/>
  <c r="AA637" i="5"/>
  <c r="AA660" i="5"/>
  <c r="AA632" i="5"/>
  <c r="AA648" i="5"/>
  <c r="AA629" i="5"/>
  <c r="AA657" i="5"/>
  <c r="AA665" i="5"/>
  <c r="AA630" i="5"/>
  <c r="AA659" i="5"/>
  <c r="AA652" i="5"/>
  <c r="AA651" i="5"/>
  <c r="AA667" i="5"/>
  <c r="AA643" i="5"/>
  <c r="K643" i="5"/>
  <c r="G687" i="5"/>
  <c r="C10" i="11" s="1"/>
  <c r="C28" i="11" s="1"/>
  <c r="I144" i="11"/>
  <c r="K144" i="11" s="1"/>
  <c r="E52" i="11" s="1"/>
  <c r="AA661" i="5"/>
  <c r="AA636" i="5"/>
  <c r="AA664" i="5"/>
  <c r="AA654" i="5"/>
  <c r="AA669" i="5"/>
  <c r="AA658" i="5"/>
  <c r="AA633" i="5"/>
  <c r="AA656" i="5"/>
  <c r="AA666" i="5"/>
  <c r="AA663" i="5"/>
  <c r="AA628" i="5"/>
  <c r="AA649" i="5"/>
  <c r="F169" i="11"/>
  <c r="M654" i="5"/>
  <c r="AA645" i="5"/>
  <c r="AA655" i="5"/>
  <c r="AA668" i="5"/>
  <c r="X669" i="5"/>
  <c r="X672" i="5" s="1"/>
  <c r="AA642" i="5"/>
  <c r="AA644" i="5"/>
  <c r="M630" i="5"/>
  <c r="M637" i="5"/>
  <c r="M641" i="5"/>
  <c r="M648" i="5"/>
  <c r="M655" i="5"/>
  <c r="M632" i="5"/>
  <c r="M656" i="5"/>
  <c r="K714" i="5"/>
  <c r="J736" i="5"/>
  <c r="K641" i="5"/>
  <c r="K639" i="5"/>
  <c r="K633" i="5"/>
  <c r="M667" i="5"/>
  <c r="M660" i="5"/>
  <c r="K629" i="5"/>
  <c r="M633" i="5"/>
  <c r="O626" i="5"/>
  <c r="M628" i="5"/>
  <c r="M639" i="5"/>
  <c r="M662" i="5"/>
  <c r="M666" i="5"/>
  <c r="M665" i="5"/>
  <c r="M640" i="5"/>
  <c r="I670" i="5"/>
  <c r="O653" i="5"/>
  <c r="O664" i="5"/>
  <c r="G698" i="5"/>
  <c r="K648" i="5"/>
  <c r="M650" i="5"/>
  <c r="M635" i="5"/>
  <c r="M661" i="5"/>
  <c r="F89" i="5"/>
  <c r="J737" i="5"/>
  <c r="D179" i="11"/>
  <c r="Y672" i="5"/>
  <c r="M642" i="5"/>
  <c r="M644" i="5"/>
  <c r="M643" i="5"/>
  <c r="M646" i="5"/>
  <c r="M645" i="5"/>
  <c r="K631" i="5"/>
  <c r="G669" i="5"/>
  <c r="G114" i="21" s="1"/>
  <c r="K630" i="5"/>
  <c r="K628" i="5"/>
  <c r="K33" i="21" s="1"/>
  <c r="K637" i="5"/>
  <c r="K636" i="5"/>
  <c r="K649" i="5"/>
  <c r="F714" i="5"/>
  <c r="H714" i="5" s="1"/>
  <c r="J714" i="5" s="1"/>
  <c r="K742" i="5"/>
  <c r="J723" i="5"/>
  <c r="J741" i="5"/>
  <c r="J726" i="5"/>
  <c r="K733" i="5"/>
  <c r="K734" i="5"/>
  <c r="K743" i="5"/>
  <c r="J716" i="5"/>
  <c r="K726" i="5"/>
  <c r="J734" i="5"/>
  <c r="J727" i="5"/>
  <c r="K740" i="5"/>
  <c r="K723" i="5"/>
  <c r="J733" i="5"/>
  <c r="K725" i="5"/>
  <c r="K718" i="5"/>
  <c r="J718" i="5"/>
  <c r="K737" i="5"/>
  <c r="K741" i="5"/>
  <c r="K145" i="11"/>
  <c r="E53" i="11" s="1"/>
  <c r="J735" i="5"/>
  <c r="J717" i="5"/>
  <c r="K719" i="5"/>
  <c r="K715" i="5"/>
  <c r="J722" i="5"/>
  <c r="K716" i="5"/>
  <c r="K722" i="5"/>
  <c r="J719" i="5"/>
  <c r="K724" i="5"/>
  <c r="K727" i="5"/>
  <c r="J739" i="5"/>
  <c r="J715" i="5"/>
  <c r="K731" i="5"/>
  <c r="J730" i="5"/>
  <c r="J728" i="5"/>
  <c r="J729" i="5"/>
  <c r="K730" i="5"/>
  <c r="J731" i="5"/>
  <c r="K729" i="5"/>
  <c r="K728" i="5"/>
  <c r="K735" i="5"/>
  <c r="J721" i="5"/>
  <c r="J732" i="5"/>
  <c r="J720" i="5"/>
  <c r="J740" i="5"/>
  <c r="J725" i="5"/>
  <c r="K739" i="5"/>
  <c r="K721" i="5"/>
  <c r="J738" i="5"/>
  <c r="J742" i="5"/>
  <c r="K732" i="5"/>
  <c r="K720" i="5"/>
  <c r="J724" i="5"/>
  <c r="K738" i="5"/>
  <c r="K736" i="5"/>
  <c r="K717" i="5"/>
  <c r="N669" i="5"/>
  <c r="K632" i="5"/>
  <c r="K647" i="5"/>
  <c r="K645" i="5"/>
  <c r="K644" i="5"/>
  <c r="K646" i="5"/>
  <c r="K635" i="5"/>
  <c r="K650" i="5"/>
  <c r="K640" i="5"/>
  <c r="K642" i="5"/>
  <c r="G670" i="5"/>
  <c r="G115" i="21" s="1"/>
  <c r="F88" i="5"/>
  <c r="H88" i="5" s="1"/>
  <c r="H503" i="10"/>
  <c r="F19" i="11" s="1"/>
  <c r="H506" i="10"/>
  <c r="F22" i="11" s="1"/>
  <c r="H507" i="10"/>
  <c r="F23" i="11" s="1"/>
  <c r="E23" i="11"/>
  <c r="N9" i="19" s="1"/>
  <c r="AD787" i="19" s="1"/>
  <c r="H504" i="10"/>
  <c r="F20" i="11" s="1"/>
  <c r="H505" i="10"/>
  <c r="F21" i="11" s="1"/>
  <c r="M478" i="10"/>
  <c r="X96" i="21" l="1"/>
  <c r="X93" i="21"/>
  <c r="X80" i="21"/>
  <c r="X91" i="21"/>
  <c r="X87" i="21"/>
  <c r="X95" i="21"/>
  <c r="X79" i="21"/>
  <c r="X90" i="21"/>
  <c r="X86" i="21"/>
  <c r="X92" i="21"/>
  <c r="X88" i="21"/>
  <c r="X94" i="21"/>
  <c r="X89" i="21"/>
  <c r="X82" i="21"/>
  <c r="X77" i="21"/>
  <c r="X84" i="21"/>
  <c r="X83" i="21"/>
  <c r="X81" i="21"/>
  <c r="X85" i="21"/>
  <c r="T91" i="21"/>
  <c r="T80" i="21"/>
  <c r="T95" i="21"/>
  <c r="T84" i="21"/>
  <c r="T94" i="21"/>
  <c r="T93" i="21"/>
  <c r="T89" i="21"/>
  <c r="T82" i="21"/>
  <c r="T92" i="21"/>
  <c r="T86" i="21"/>
  <c r="T77" i="21"/>
  <c r="T79" i="21"/>
  <c r="T90" i="21"/>
  <c r="T87" i="21"/>
  <c r="T88" i="21"/>
  <c r="T83" i="21"/>
  <c r="T96" i="21"/>
  <c r="T81" i="21"/>
  <c r="T85" i="21"/>
  <c r="H496" i="10"/>
  <c r="D19" i="11" s="1"/>
  <c r="C23" i="11"/>
  <c r="M9" i="19" s="1"/>
  <c r="AC787" i="19" s="1"/>
  <c r="U801" i="19" s="1"/>
  <c r="Q808" i="19" s="1"/>
  <c r="Q816" i="19" s="1"/>
  <c r="I139" i="19"/>
  <c r="Q961" i="19"/>
  <c r="J478" i="10"/>
  <c r="V933" i="5"/>
  <c r="K128" i="5"/>
  <c r="H498" i="10"/>
  <c r="D21" i="11" s="1"/>
  <c r="L227" i="19"/>
  <c r="G227" i="19" s="1"/>
  <c r="I227" i="19" s="1"/>
  <c r="L230" i="19"/>
  <c r="G230" i="19" s="1"/>
  <c r="I230" i="19" s="1"/>
  <c r="L226" i="19"/>
  <c r="G226" i="19" s="1"/>
  <c r="I226" i="19" s="1"/>
  <c r="L229" i="19"/>
  <c r="G229" i="19" s="1"/>
  <c r="I229" i="19" s="1"/>
  <c r="L231" i="19"/>
  <c r="G231" i="19" s="1"/>
  <c r="I231" i="19" s="1"/>
  <c r="L228" i="19"/>
  <c r="G228" i="19" s="1"/>
  <c r="I228" i="19" s="1"/>
  <c r="L232" i="19"/>
  <c r="G232" i="19" s="1"/>
  <c r="I232" i="19" s="1"/>
  <c r="M233" i="19"/>
  <c r="L483" i="19"/>
  <c r="I206" i="19"/>
  <c r="T671" i="19"/>
  <c r="L570" i="19"/>
  <c r="G570" i="19" s="1"/>
  <c r="I570" i="19" s="1"/>
  <c r="L557" i="19"/>
  <c r="G557" i="19" s="1"/>
  <c r="I557" i="19" s="1"/>
  <c r="X748" i="19"/>
  <c r="X744" i="19"/>
  <c r="X746" i="19"/>
  <c r="X750" i="19"/>
  <c r="X743" i="19"/>
  <c r="X745" i="19"/>
  <c r="X749" i="19"/>
  <c r="X751" i="19"/>
  <c r="X747" i="19"/>
  <c r="T676" i="19"/>
  <c r="L584" i="19"/>
  <c r="G584" i="19" s="1"/>
  <c r="I584" i="19" s="1"/>
  <c r="L146" i="19"/>
  <c r="H497" i="10"/>
  <c r="D20" i="11" s="1"/>
  <c r="H500" i="10"/>
  <c r="D23" i="11" s="1"/>
  <c r="AN760" i="19"/>
  <c r="AO770" i="19" s="1"/>
  <c r="V742" i="19"/>
  <c r="X742" i="19" s="1"/>
  <c r="AN698" i="19"/>
  <c r="AN701" i="19"/>
  <c r="AN699" i="19"/>
  <c r="AN700" i="19"/>
  <c r="AN696" i="19"/>
  <c r="AN702" i="19"/>
  <c r="I147" i="19"/>
  <c r="R853" i="19"/>
  <c r="M877" i="19" s="1"/>
  <c r="L877" i="19" s="1"/>
  <c r="G877" i="19" s="1"/>
  <c r="I877" i="19" s="1"/>
  <c r="U802" i="19"/>
  <c r="Q809" i="19" s="1"/>
  <c r="Q817" i="19" s="1"/>
  <c r="Q802" i="19"/>
  <c r="O809" i="19" s="1"/>
  <c r="W802" i="19"/>
  <c r="R809" i="19" s="1"/>
  <c r="Y802" i="19"/>
  <c r="S809" i="19" s="1"/>
  <c r="S802" i="19"/>
  <c r="P809" i="19" s="1"/>
  <c r="G479" i="9"/>
  <c r="I479" i="9" s="1"/>
  <c r="J479" i="9" s="1"/>
  <c r="U478" i="9" s="1"/>
  <c r="K522" i="9"/>
  <c r="K524" i="9" s="1"/>
  <c r="N524" i="9" s="1"/>
  <c r="G143" i="19"/>
  <c r="M170" i="19" s="1"/>
  <c r="L79" i="19"/>
  <c r="G73" i="19"/>
  <c r="L77" i="19"/>
  <c r="L85" i="19" s="1"/>
  <c r="G85" i="19" s="1"/>
  <c r="I85" i="19" s="1"/>
  <c r="L151" i="19"/>
  <c r="L102" i="19"/>
  <c r="V702" i="19"/>
  <c r="V697" i="19"/>
  <c r="V696" i="19"/>
  <c r="V698" i="19"/>
  <c r="V701" i="19"/>
  <c r="V700" i="19"/>
  <c r="V699" i="19"/>
  <c r="L24" i="19"/>
  <c r="G24" i="19" s="1"/>
  <c r="I24" i="19" s="1"/>
  <c r="G41" i="19"/>
  <c r="I41" i="19" s="1"/>
  <c r="L40" i="19"/>
  <c r="G40" i="19" s="1"/>
  <c r="I40" i="19" s="1"/>
  <c r="L42" i="19"/>
  <c r="G42" i="19" s="1"/>
  <c r="I42" i="19" s="1"/>
  <c r="L39" i="19"/>
  <c r="G39" i="19" s="1"/>
  <c r="I39" i="19" s="1"/>
  <c r="Y50" i="11"/>
  <c r="AH51" i="11" s="1"/>
  <c r="G90" i="5"/>
  <c r="AB50" i="11"/>
  <c r="AG55" i="11" s="1"/>
  <c r="AL51" i="11" s="1" a="1"/>
  <c r="AL51" i="11" s="1"/>
  <c r="E28" i="11"/>
  <c r="D161" i="11"/>
  <c r="D145" i="11"/>
  <c r="J646" i="5"/>
  <c r="J634" i="5"/>
  <c r="H89" i="5"/>
  <c r="G92" i="5"/>
  <c r="F94" i="5"/>
  <c r="T672" i="5"/>
  <c r="E169" i="11"/>
  <c r="J635" i="5"/>
  <c r="D142" i="11"/>
  <c r="D146" i="11"/>
  <c r="D141" i="11"/>
  <c r="D160" i="11"/>
  <c r="D151" i="11"/>
  <c r="D158" i="11"/>
  <c r="D152" i="11"/>
  <c r="D156" i="11"/>
  <c r="C174" i="11"/>
  <c r="C175" i="11" s="1"/>
  <c r="D157" i="11"/>
  <c r="D150" i="11"/>
  <c r="D147" i="11"/>
  <c r="D144" i="11"/>
  <c r="D155" i="11"/>
  <c r="D149" i="11"/>
  <c r="D159" i="11"/>
  <c r="D153" i="11"/>
  <c r="D143" i="11"/>
  <c r="D154" i="11"/>
  <c r="E50" i="11"/>
  <c r="H697" i="5"/>
  <c r="F13" i="11" s="1"/>
  <c r="J655" i="5"/>
  <c r="J644" i="5"/>
  <c r="J648" i="5"/>
  <c r="J637" i="5"/>
  <c r="J665" i="5"/>
  <c r="J643" i="5"/>
  <c r="J640" i="5"/>
  <c r="J647" i="5"/>
  <c r="J628" i="5"/>
  <c r="J33" i="21" s="1"/>
  <c r="J654" i="5"/>
  <c r="J662" i="5"/>
  <c r="J642" i="5"/>
  <c r="G691" i="5"/>
  <c r="J666" i="5"/>
  <c r="J660" i="5"/>
  <c r="L653" i="5"/>
  <c r="J630" i="5"/>
  <c r="H698" i="5"/>
  <c r="F14" i="11" s="1"/>
  <c r="H696" i="5"/>
  <c r="F12" i="11" s="1"/>
  <c r="J667" i="5"/>
  <c r="L626" i="5"/>
  <c r="L664" i="5"/>
  <c r="J639" i="5"/>
  <c r="H695" i="5"/>
  <c r="F11" i="11" s="1"/>
  <c r="L659" i="5"/>
  <c r="H694" i="5"/>
  <c r="F10" i="11" s="1"/>
  <c r="E14" i="11"/>
  <c r="N8" i="19" s="1"/>
  <c r="J632" i="5"/>
  <c r="J650" i="5"/>
  <c r="J633" i="5"/>
  <c r="J645" i="5"/>
  <c r="M669" i="5"/>
  <c r="J641" i="5"/>
  <c r="J656" i="5"/>
  <c r="J661" i="5"/>
  <c r="K669" i="5"/>
  <c r="W801" i="19" l="1"/>
  <c r="R808" i="19" s="1"/>
  <c r="X98" i="21"/>
  <c r="Y78" i="21" s="1"/>
  <c r="T98" i="21"/>
  <c r="M100" i="21" s="1"/>
  <c r="Y91" i="21"/>
  <c r="Y81" i="21"/>
  <c r="Y96" i="21"/>
  <c r="J522" i="9"/>
  <c r="J524" i="9" s="1"/>
  <c r="M524" i="9" s="1"/>
  <c r="S524" i="9" s="1"/>
  <c r="Y801" i="19"/>
  <c r="S808" i="19" s="1"/>
  <c r="S816" i="19" s="1"/>
  <c r="G478" i="9"/>
  <c r="G481" i="9" s="1"/>
  <c r="I481" i="9" s="1"/>
  <c r="J481" i="9" s="1"/>
  <c r="W477" i="9" s="1"/>
  <c r="Q801" i="19"/>
  <c r="O808" i="19" s="1"/>
  <c r="S801" i="19"/>
  <c r="P808" i="19" s="1"/>
  <c r="P816" i="19" s="1"/>
  <c r="AD786" i="19"/>
  <c r="S797" i="19" s="1"/>
  <c r="P807" i="19" s="1"/>
  <c r="AH1012" i="19"/>
  <c r="Y1021" i="19" s="1"/>
  <c r="G485" i="9"/>
  <c r="I485" i="9" s="1"/>
  <c r="J485" i="9" s="1"/>
  <c r="Y478" i="9" s="1"/>
  <c r="P817" i="19"/>
  <c r="G482" i="9"/>
  <c r="I482" i="9" s="1"/>
  <c r="J482" i="9" s="1"/>
  <c r="W478" i="9" s="1"/>
  <c r="V934" i="5"/>
  <c r="K129" i="5"/>
  <c r="G476" i="9"/>
  <c r="I476" i="9" s="1"/>
  <c r="J476" i="9" s="1"/>
  <c r="S478" i="9" s="1"/>
  <c r="AF697" i="19"/>
  <c r="G146" i="19"/>
  <c r="L408" i="19"/>
  <c r="G408" i="19" s="1"/>
  <c r="L504" i="19"/>
  <c r="G504" i="19" s="1"/>
  <c r="I504" i="19" s="1"/>
  <c r="G483" i="19"/>
  <c r="I483" i="19" s="1"/>
  <c r="L238" i="19"/>
  <c r="G238" i="19" s="1"/>
  <c r="I238" i="19" s="1"/>
  <c r="L234" i="19"/>
  <c r="G234" i="19" s="1"/>
  <c r="I234" i="19" s="1"/>
  <c r="L237" i="19"/>
  <c r="G237" i="19" s="1"/>
  <c r="I237" i="19" s="1"/>
  <c r="L239" i="19"/>
  <c r="G239" i="19" s="1"/>
  <c r="I239" i="19" s="1"/>
  <c r="L236" i="19"/>
  <c r="G236" i="19" s="1"/>
  <c r="I236" i="19" s="1"/>
  <c r="L235" i="19"/>
  <c r="G235" i="19" s="1"/>
  <c r="I235" i="19" s="1"/>
  <c r="L240" i="19"/>
  <c r="G240" i="19" s="1"/>
  <c r="I240" i="19" s="1"/>
  <c r="O816" i="19"/>
  <c r="R816" i="19"/>
  <c r="S817" i="19"/>
  <c r="R817" i="19"/>
  <c r="O817" i="19"/>
  <c r="I143" i="19"/>
  <c r="I478" i="9"/>
  <c r="J478" i="9" s="1"/>
  <c r="U477" i="9" s="1"/>
  <c r="T524" i="9"/>
  <c r="I544" i="9" s="1"/>
  <c r="I551" i="9" s="1"/>
  <c r="K525" i="9"/>
  <c r="N525" i="9" s="1"/>
  <c r="G461" i="9"/>
  <c r="G458" i="9" s="1"/>
  <c r="I458" i="9" s="1"/>
  <c r="J458" i="9" s="1"/>
  <c r="S482" i="9" s="1"/>
  <c r="Q494" i="9"/>
  <c r="G79" i="19"/>
  <c r="L83" i="19"/>
  <c r="L88" i="19"/>
  <c r="G88" i="19" s="1"/>
  <c r="I88" i="19" s="1"/>
  <c r="AD697" i="19"/>
  <c r="L89" i="19"/>
  <c r="G89" i="19" s="1"/>
  <c r="I89" i="19" s="1"/>
  <c r="L86" i="19"/>
  <c r="G86" i="19" s="1"/>
  <c r="I86" i="19" s="1"/>
  <c r="AD700" i="19"/>
  <c r="AD701" i="19"/>
  <c r="G77" i="19"/>
  <c r="AE1004" i="19" s="1"/>
  <c r="AD696" i="19"/>
  <c r="L87" i="19"/>
  <c r="G87" i="19" s="1"/>
  <c r="I87" i="19" s="1"/>
  <c r="AD699" i="19"/>
  <c r="AD698" i="19"/>
  <c r="AD702" i="19"/>
  <c r="L493" i="19"/>
  <c r="T602" i="19"/>
  <c r="S672" i="19" s="1"/>
  <c r="I73" i="19"/>
  <c r="L108" i="19"/>
  <c r="L172" i="19"/>
  <c r="G172" i="19" s="1"/>
  <c r="I172" i="19" s="1"/>
  <c r="L176" i="19"/>
  <c r="G176" i="19" s="1"/>
  <c r="I176" i="19" s="1"/>
  <c r="L173" i="19"/>
  <c r="G173" i="19" s="1"/>
  <c r="I173" i="19" s="1"/>
  <c r="L171" i="19"/>
  <c r="G171" i="19" s="1"/>
  <c r="I171" i="19" s="1"/>
  <c r="L175" i="19"/>
  <c r="G175" i="19" s="1"/>
  <c r="I175" i="19" s="1"/>
  <c r="L174" i="19"/>
  <c r="G174" i="19" s="1"/>
  <c r="I174" i="19" s="1"/>
  <c r="L177" i="19"/>
  <c r="G177" i="19" s="1"/>
  <c r="I177" i="19" s="1"/>
  <c r="G102" i="19"/>
  <c r="L106" i="19"/>
  <c r="L115" i="19" s="1"/>
  <c r="G115" i="19" s="1"/>
  <c r="I115" i="19" s="1"/>
  <c r="G151" i="19"/>
  <c r="AF702" i="19"/>
  <c r="F90" i="5"/>
  <c r="L27" i="19"/>
  <c r="X50" i="11"/>
  <c r="AG51" i="11" s="1"/>
  <c r="AL50" i="11" s="1" a="1"/>
  <c r="AL50" i="11" s="1"/>
  <c r="F91" i="5"/>
  <c r="C161" i="11"/>
  <c r="C145" i="11"/>
  <c r="C164" i="11"/>
  <c r="C163" i="11"/>
  <c r="B174" i="11"/>
  <c r="B175" i="11" s="1"/>
  <c r="C142" i="11"/>
  <c r="C156" i="11"/>
  <c r="C159" i="11"/>
  <c r="C154" i="11"/>
  <c r="C143" i="11"/>
  <c r="C144" i="11"/>
  <c r="C165" i="11"/>
  <c r="C160" i="11"/>
  <c r="C146" i="11"/>
  <c r="C157" i="11"/>
  <c r="C153" i="11"/>
  <c r="C147" i="11"/>
  <c r="C158" i="11"/>
  <c r="C151" i="11"/>
  <c r="C141" i="11"/>
  <c r="C149" i="11"/>
  <c r="C152" i="11"/>
  <c r="C150" i="11"/>
  <c r="C166" i="11"/>
  <c r="C155" i="11"/>
  <c r="D169" i="11"/>
  <c r="H691" i="5"/>
  <c r="D14" i="11" s="1"/>
  <c r="H688" i="5"/>
  <c r="D11" i="11" s="1"/>
  <c r="H687" i="5"/>
  <c r="D10" i="11" s="1"/>
  <c r="H689" i="5"/>
  <c r="D12" i="11" s="1"/>
  <c r="C14" i="11"/>
  <c r="M8" i="19" s="1"/>
  <c r="H690" i="5"/>
  <c r="D13" i="11" s="1"/>
  <c r="J669" i="5"/>
  <c r="J525" i="9" l="1"/>
  <c r="M525" i="9" s="1"/>
  <c r="Y83" i="21"/>
  <c r="Y89" i="21"/>
  <c r="Y92" i="21"/>
  <c r="Y95" i="21"/>
  <c r="Y82" i="21"/>
  <c r="Y80" i="21"/>
  <c r="Y90" i="21"/>
  <c r="Y88" i="21"/>
  <c r="Y79" i="21"/>
  <c r="Y84" i="21"/>
  <c r="Y85" i="21"/>
  <c r="Y77" i="21"/>
  <c r="Y86" i="21"/>
  <c r="Y94" i="21"/>
  <c r="Y93" i="21"/>
  <c r="Y87" i="21"/>
  <c r="G475" i="9"/>
  <c r="I475" i="9" s="1"/>
  <c r="J475" i="9" s="1"/>
  <c r="S477" i="9" s="1"/>
  <c r="G484" i="9"/>
  <c r="I484" i="9" s="1"/>
  <c r="J484" i="9" s="1"/>
  <c r="Y477" i="9" s="1"/>
  <c r="W797" i="19"/>
  <c r="R807" i="19" s="1"/>
  <c r="Q797" i="19"/>
  <c r="O807" i="19" s="1"/>
  <c r="Y797" i="19"/>
  <c r="S807" i="19" s="1"/>
  <c r="U797" i="19"/>
  <c r="Q807" i="19" s="1"/>
  <c r="Q815" i="19" s="1"/>
  <c r="AK1005" i="19"/>
  <c r="AK1008" i="19" s="1"/>
  <c r="AA1007" i="19" s="1"/>
  <c r="AJ1005" i="19"/>
  <c r="AJ1008" i="19" s="1"/>
  <c r="Y1007" i="19" s="1"/>
  <c r="AI1005" i="19"/>
  <c r="AI1008" i="19" s="1"/>
  <c r="W1007" i="19" s="1"/>
  <c r="AH1005" i="19"/>
  <c r="AH1008" i="19" s="1"/>
  <c r="U1007" i="19" s="1"/>
  <c r="AA1021" i="19"/>
  <c r="AC786" i="19"/>
  <c r="S796" i="19" s="1"/>
  <c r="P806" i="19" s="1"/>
  <c r="AH1011" i="19"/>
  <c r="Y1020" i="19" s="1"/>
  <c r="L91" i="19"/>
  <c r="G91" i="19" s="1"/>
  <c r="I91" i="19" s="1"/>
  <c r="U605" i="19"/>
  <c r="L583" i="19" s="1"/>
  <c r="I408" i="19"/>
  <c r="O932" i="19"/>
  <c r="P938" i="19" s="1"/>
  <c r="I146" i="19"/>
  <c r="Q500" i="9"/>
  <c r="R500" i="9" s="1"/>
  <c r="S500" i="9" s="1"/>
  <c r="I541" i="9" s="1"/>
  <c r="I548" i="9" s="1"/>
  <c r="AD515" i="9"/>
  <c r="G467" i="9"/>
  <c r="I467" i="9" s="1"/>
  <c r="J467" i="9" s="1"/>
  <c r="Y482" i="9" s="1"/>
  <c r="G464" i="9"/>
  <c r="I464" i="9" s="1"/>
  <c r="J464" i="9" s="1"/>
  <c r="W482" i="9" s="1"/>
  <c r="K526" i="9"/>
  <c r="N526" i="9" s="1"/>
  <c r="T525" i="9"/>
  <c r="I461" i="9"/>
  <c r="J461" i="9" s="1"/>
  <c r="U482" i="9" s="1"/>
  <c r="J526" i="9"/>
  <c r="M526" i="9" s="1"/>
  <c r="S525" i="9"/>
  <c r="V524" i="9"/>
  <c r="I543" i="9"/>
  <c r="I550" i="9" s="1"/>
  <c r="G460" i="9"/>
  <c r="I460" i="9" s="1"/>
  <c r="J460" i="9" s="1"/>
  <c r="U481" i="9" s="1"/>
  <c r="Q493" i="9"/>
  <c r="S602" i="19"/>
  <c r="R560" i="19"/>
  <c r="L563" i="19" s="1"/>
  <c r="G493" i="19"/>
  <c r="I493" i="19" s="1"/>
  <c r="L515" i="19"/>
  <c r="G515" i="19" s="1"/>
  <c r="I515" i="19" s="1"/>
  <c r="L494" i="19"/>
  <c r="L538" i="19" s="1"/>
  <c r="G538" i="19" s="1"/>
  <c r="I538" i="19" s="1"/>
  <c r="I77" i="19"/>
  <c r="M208" i="19"/>
  <c r="L94" i="19"/>
  <c r="G94" i="19" s="1"/>
  <c r="I94" i="19" s="1"/>
  <c r="L92" i="19"/>
  <c r="G92" i="19" s="1"/>
  <c r="I92" i="19" s="1"/>
  <c r="AP696" i="19"/>
  <c r="G83" i="19"/>
  <c r="AE1003" i="19" s="1"/>
  <c r="AP697" i="19"/>
  <c r="L95" i="19"/>
  <c r="G95" i="19" s="1"/>
  <c r="I95" i="19" s="1"/>
  <c r="AP699" i="19"/>
  <c r="AP700" i="19"/>
  <c r="AP701" i="19"/>
  <c r="L93" i="19"/>
  <c r="G93" i="19" s="1"/>
  <c r="I93" i="19" s="1"/>
  <c r="AP698" i="19"/>
  <c r="AP702" i="19"/>
  <c r="T601" i="19"/>
  <c r="S671" i="19" s="1"/>
  <c r="I79" i="19"/>
  <c r="AH702" i="19"/>
  <c r="AH697" i="19"/>
  <c r="AH698" i="19"/>
  <c r="AH700" i="19"/>
  <c r="AH701" i="19"/>
  <c r="AH696" i="19"/>
  <c r="AH699" i="19"/>
  <c r="M178" i="19"/>
  <c r="I151" i="19"/>
  <c r="L118" i="19"/>
  <c r="G118" i="19" s="1"/>
  <c r="I118" i="19" s="1"/>
  <c r="X704" i="19"/>
  <c r="X697" i="19"/>
  <c r="L116" i="19"/>
  <c r="G116" i="19" s="1"/>
  <c r="I116" i="19" s="1"/>
  <c r="L48" i="19"/>
  <c r="X698" i="19"/>
  <c r="X696" i="19"/>
  <c r="G106" i="19"/>
  <c r="AF1004" i="19" s="1"/>
  <c r="AK1012" i="19" s="1"/>
  <c r="Y1010" i="19" s="1"/>
  <c r="L119" i="19"/>
  <c r="G119" i="19" s="1"/>
  <c r="I119" i="19" s="1"/>
  <c r="X700" i="19"/>
  <c r="L117" i="19"/>
  <c r="G117" i="19" s="1"/>
  <c r="I117" i="19" s="1"/>
  <c r="X701" i="19"/>
  <c r="X699" i="19"/>
  <c r="X702" i="19"/>
  <c r="T606" i="19"/>
  <c r="S676" i="19" s="1"/>
  <c r="I102" i="19"/>
  <c r="G108" i="19"/>
  <c r="T933" i="19" s="1"/>
  <c r="L112" i="19"/>
  <c r="L121" i="19" s="1"/>
  <c r="G121" i="19" s="1"/>
  <c r="I121" i="19" s="1"/>
  <c r="G27" i="19"/>
  <c r="I27" i="19" s="1"/>
  <c r="L28" i="19"/>
  <c r="G28" i="19" s="1"/>
  <c r="I28" i="19" s="1"/>
  <c r="L26" i="19"/>
  <c r="G26" i="19" s="1"/>
  <c r="I26" i="19" s="1"/>
  <c r="L25" i="19"/>
  <c r="G25" i="19" s="1"/>
  <c r="I25" i="19" s="1"/>
  <c r="C169" i="11"/>
  <c r="R815" i="19" l="1"/>
  <c r="S815" i="19"/>
  <c r="O815" i="19"/>
  <c r="P815" i="19"/>
  <c r="Q796" i="19"/>
  <c r="O806" i="19" s="1"/>
  <c r="Y796" i="19"/>
  <c r="S806" i="19" s="1"/>
  <c r="W796" i="19"/>
  <c r="R806" i="19" s="1"/>
  <c r="AL1012" i="19"/>
  <c r="AA1010" i="19" s="1"/>
  <c r="AI1004" i="19"/>
  <c r="AI1007" i="19" s="1"/>
  <c r="W1006" i="19" s="1"/>
  <c r="AH1004" i="19"/>
  <c r="AH1007" i="19" s="1"/>
  <c r="U1006" i="19" s="1"/>
  <c r="AK1004" i="19"/>
  <c r="AK1007" i="19" s="1"/>
  <c r="AA1006" i="19" s="1"/>
  <c r="AJ1004" i="19"/>
  <c r="AJ1007" i="19" s="1"/>
  <c r="Y1006" i="19" s="1"/>
  <c r="AA1020" i="19"/>
  <c r="U796" i="19"/>
  <c r="Q806" i="19" s="1"/>
  <c r="Q814" i="19" s="1"/>
  <c r="L49" i="19"/>
  <c r="L52" i="19" s="1"/>
  <c r="Q506" i="9"/>
  <c r="R506" i="9" s="1"/>
  <c r="S506" i="9" s="1"/>
  <c r="K541" i="9" s="1"/>
  <c r="Q503" i="9"/>
  <c r="R503" i="9" s="1"/>
  <c r="S503" i="9" s="1"/>
  <c r="U503" i="9" s="1"/>
  <c r="G534" i="9" s="1"/>
  <c r="Q509" i="9"/>
  <c r="R509" i="9" s="1"/>
  <c r="S509" i="9" s="1"/>
  <c r="U509" i="9" s="1"/>
  <c r="M534" i="9" s="1"/>
  <c r="T675" i="19"/>
  <c r="G583" i="19"/>
  <c r="I583" i="19" s="1"/>
  <c r="Q754" i="19"/>
  <c r="Z742" i="19" s="1"/>
  <c r="R848" i="19"/>
  <c r="Q499" i="9"/>
  <c r="R499" i="9" s="1"/>
  <c r="S499" i="9" s="1"/>
  <c r="I540" i="9" s="1"/>
  <c r="I547" i="9" s="1"/>
  <c r="AD514" i="9"/>
  <c r="AC543" i="9"/>
  <c r="AE543" i="9" s="1"/>
  <c r="AG543" i="9" s="1"/>
  <c r="AC540" i="9"/>
  <c r="AE540" i="9" s="1"/>
  <c r="AG540" i="9" s="1"/>
  <c r="AC537" i="9"/>
  <c r="AE537" i="9" s="1"/>
  <c r="AG537" i="9" s="1"/>
  <c r="AE551" i="9" s="1"/>
  <c r="G457" i="9"/>
  <c r="I457" i="9" s="1"/>
  <c r="J457" i="9" s="1"/>
  <c r="S481" i="9" s="1"/>
  <c r="G466" i="9"/>
  <c r="I466" i="9" s="1"/>
  <c r="J466" i="9" s="1"/>
  <c r="Y481" i="9" s="1"/>
  <c r="G543" i="9"/>
  <c r="V525" i="9"/>
  <c r="G536" i="9" s="1"/>
  <c r="J527" i="9"/>
  <c r="S526" i="9"/>
  <c r="G544" i="9"/>
  <c r="W525" i="9"/>
  <c r="G537" i="9" s="1"/>
  <c r="K527" i="9"/>
  <c r="T526" i="9"/>
  <c r="G463" i="9"/>
  <c r="I463" i="9" s="1"/>
  <c r="J463" i="9" s="1"/>
  <c r="W481" i="9" s="1"/>
  <c r="R672" i="19"/>
  <c r="M731" i="19"/>
  <c r="L731" i="19" s="1"/>
  <c r="G731" i="19" s="1"/>
  <c r="I731" i="19" s="1"/>
  <c r="M729" i="19"/>
  <c r="L729" i="19" s="1"/>
  <c r="G729" i="19" s="1"/>
  <c r="I729" i="19" s="1"/>
  <c r="M730" i="19"/>
  <c r="L730" i="19" s="1"/>
  <c r="G730" i="19" s="1"/>
  <c r="I730" i="19" s="1"/>
  <c r="M732" i="19"/>
  <c r="L732" i="19" s="1"/>
  <c r="G732" i="19" s="1"/>
  <c r="I732" i="19" s="1"/>
  <c r="G563" i="19"/>
  <c r="I563" i="19" s="1"/>
  <c r="L565" i="19"/>
  <c r="R559" i="19"/>
  <c r="L562" i="19" s="1"/>
  <c r="S601" i="19"/>
  <c r="M660" i="19"/>
  <c r="L660" i="19" s="1"/>
  <c r="G660" i="19" s="1"/>
  <c r="I660" i="19" s="1"/>
  <c r="M657" i="19"/>
  <c r="L657" i="19" s="1"/>
  <c r="G657" i="19" s="1"/>
  <c r="I657" i="19" s="1"/>
  <c r="M658" i="19"/>
  <c r="L658" i="19" s="1"/>
  <c r="G658" i="19" s="1"/>
  <c r="I658" i="19" s="1"/>
  <c r="M659" i="19"/>
  <c r="L659" i="19" s="1"/>
  <c r="G659" i="19" s="1"/>
  <c r="I659" i="19" s="1"/>
  <c r="L560" i="19"/>
  <c r="G560" i="19" s="1"/>
  <c r="I560" i="19" s="1"/>
  <c r="L573" i="19"/>
  <c r="G573" i="19" s="1"/>
  <c r="I573" i="19" s="1"/>
  <c r="M216" i="19"/>
  <c r="L484" i="19"/>
  <c r="I83" i="19"/>
  <c r="L213" i="19"/>
  <c r="G213" i="19" s="1"/>
  <c r="I213" i="19" s="1"/>
  <c r="L212" i="19"/>
  <c r="G212" i="19" s="1"/>
  <c r="I212" i="19" s="1"/>
  <c r="L210" i="19"/>
  <c r="G210" i="19" s="1"/>
  <c r="I210" i="19" s="1"/>
  <c r="L209" i="19"/>
  <c r="G209" i="19" s="1"/>
  <c r="I209" i="19" s="1"/>
  <c r="L214" i="19"/>
  <c r="G214" i="19" s="1"/>
  <c r="I214" i="19" s="1"/>
  <c r="L211" i="19"/>
  <c r="G211" i="19" s="1"/>
  <c r="I211" i="19" s="1"/>
  <c r="L215" i="19"/>
  <c r="G215" i="19" s="1"/>
  <c r="I215" i="19" s="1"/>
  <c r="L545" i="19"/>
  <c r="G545" i="19" s="1"/>
  <c r="I545" i="19" s="1"/>
  <c r="L516" i="19"/>
  <c r="G516" i="19" s="1"/>
  <c r="I516" i="19" s="1"/>
  <c r="L539" i="19"/>
  <c r="G539" i="19" s="1"/>
  <c r="I539" i="19" s="1"/>
  <c r="L536" i="19"/>
  <c r="G536" i="19" s="1"/>
  <c r="I536" i="19" s="1"/>
  <c r="L543" i="19"/>
  <c r="G543" i="19" s="1"/>
  <c r="I543" i="19" s="1"/>
  <c r="L537" i="19"/>
  <c r="G537" i="19" s="1"/>
  <c r="I537" i="19" s="1"/>
  <c r="L540" i="19"/>
  <c r="G540" i="19" s="1"/>
  <c r="I540" i="19" s="1"/>
  <c r="G494" i="19"/>
  <c r="I494" i="19" s="1"/>
  <c r="L542" i="19"/>
  <c r="G542" i="19" s="1"/>
  <c r="I542" i="19" s="1"/>
  <c r="L544" i="19"/>
  <c r="G544" i="19" s="1"/>
  <c r="I544" i="19" s="1"/>
  <c r="L541" i="19"/>
  <c r="G541" i="19" s="1"/>
  <c r="I541" i="19" s="1"/>
  <c r="L51" i="19"/>
  <c r="G51" i="19" s="1"/>
  <c r="I51" i="19" s="1"/>
  <c r="G48" i="19"/>
  <c r="I48" i="19" s="1"/>
  <c r="S606" i="19"/>
  <c r="I106" i="19"/>
  <c r="M153" i="19"/>
  <c r="L420" i="19"/>
  <c r="AJ702" i="19"/>
  <c r="AJ701" i="19"/>
  <c r="L124" i="19"/>
  <c r="G124" i="19" s="1"/>
  <c r="I124" i="19" s="1"/>
  <c r="AJ697" i="19"/>
  <c r="L122" i="19"/>
  <c r="G122" i="19" s="1"/>
  <c r="I122" i="19" s="1"/>
  <c r="AJ696" i="19"/>
  <c r="L125" i="19"/>
  <c r="G125" i="19" s="1"/>
  <c r="I125" i="19" s="1"/>
  <c r="L123" i="19"/>
  <c r="G123" i="19" s="1"/>
  <c r="I123" i="19" s="1"/>
  <c r="AJ698" i="19"/>
  <c r="AJ700" i="19"/>
  <c r="G112" i="19"/>
  <c r="AF1003" i="19" s="1"/>
  <c r="AK1011" i="19" s="1"/>
  <c r="Y1009" i="19" s="1"/>
  <c r="AJ699" i="19"/>
  <c r="T605" i="19"/>
  <c r="S675" i="19" s="1"/>
  <c r="I108" i="19"/>
  <c r="L181" i="19"/>
  <c r="G181" i="19" s="1"/>
  <c r="I181" i="19" s="1"/>
  <c r="L180" i="19"/>
  <c r="G180" i="19" s="1"/>
  <c r="I180" i="19" s="1"/>
  <c r="L179" i="19"/>
  <c r="G179" i="19" s="1"/>
  <c r="I179" i="19" s="1"/>
  <c r="L184" i="19"/>
  <c r="G184" i="19" s="1"/>
  <c r="I184" i="19" s="1"/>
  <c r="L183" i="19"/>
  <c r="G183" i="19" s="1"/>
  <c r="I183" i="19" s="1"/>
  <c r="L182" i="19"/>
  <c r="G182" i="19" s="1"/>
  <c r="I182" i="19" s="1"/>
  <c r="L185" i="19"/>
  <c r="G185" i="19" s="1"/>
  <c r="I185" i="19" s="1"/>
  <c r="O814" i="19" l="1"/>
  <c r="S814" i="19"/>
  <c r="AL1011" i="19"/>
  <c r="AA1009" i="19"/>
  <c r="U506" i="9"/>
  <c r="K534" i="9" s="1"/>
  <c r="G541" i="9"/>
  <c r="G548" i="9" s="1"/>
  <c r="P814" i="19"/>
  <c r="R814" i="19"/>
  <c r="M541" i="9"/>
  <c r="M548" i="9" s="1"/>
  <c r="Q502" i="9"/>
  <c r="R502" i="9" s="1"/>
  <c r="S502" i="9" s="1"/>
  <c r="U502" i="9" s="1"/>
  <c r="G533" i="9" s="1"/>
  <c r="Z747" i="19"/>
  <c r="Z751" i="19"/>
  <c r="Z745" i="19"/>
  <c r="Z746" i="19"/>
  <c r="Z748" i="19"/>
  <c r="Z743" i="19"/>
  <c r="Z750" i="19"/>
  <c r="Z744" i="19"/>
  <c r="Q508" i="9"/>
  <c r="R508" i="9" s="1"/>
  <c r="S508" i="9" s="1"/>
  <c r="M540" i="9" s="1"/>
  <c r="G551" i="9"/>
  <c r="Z749" i="19"/>
  <c r="Q505" i="9"/>
  <c r="R505" i="9" s="1"/>
  <c r="S505" i="9" s="1"/>
  <c r="K540" i="9" s="1"/>
  <c r="M863" i="19"/>
  <c r="L863" i="19" s="1"/>
  <c r="G863" i="19" s="1"/>
  <c r="I863" i="19" s="1"/>
  <c r="L868" i="19"/>
  <c r="G868" i="19" s="1"/>
  <c r="I868" i="19" s="1"/>
  <c r="G550" i="9"/>
  <c r="P754" i="19"/>
  <c r="T749" i="19" s="1"/>
  <c r="R849" i="19"/>
  <c r="AI540" i="9"/>
  <c r="AJ540" i="9" s="1"/>
  <c r="AC551" i="9" s="1"/>
  <c r="AI543" i="9"/>
  <c r="AJ543" i="9" s="1"/>
  <c r="AG551" i="9" s="1"/>
  <c r="M527" i="9"/>
  <c r="S527" i="9" s="1"/>
  <c r="N527" i="9"/>
  <c r="T527" i="9" s="1"/>
  <c r="AC542" i="9"/>
  <c r="AE542" i="9" s="1"/>
  <c r="AG542" i="9" s="1"/>
  <c r="AC539" i="9"/>
  <c r="AE539" i="9" s="1"/>
  <c r="AG539" i="9" s="1"/>
  <c r="AC536" i="9"/>
  <c r="AE536" i="9" s="1"/>
  <c r="AG536" i="9" s="1"/>
  <c r="AE550" i="9" s="1"/>
  <c r="K543" i="9"/>
  <c r="V526" i="9"/>
  <c r="K536" i="9" s="1"/>
  <c r="K548" i="9"/>
  <c r="K544" i="9"/>
  <c r="W526" i="9"/>
  <c r="K537" i="9" s="1"/>
  <c r="R671" i="19"/>
  <c r="M720" i="19"/>
  <c r="L720" i="19" s="1"/>
  <c r="G720" i="19" s="1"/>
  <c r="I720" i="19" s="1"/>
  <c r="M718" i="19"/>
  <c r="L718" i="19" s="1"/>
  <c r="G718" i="19" s="1"/>
  <c r="I718" i="19" s="1"/>
  <c r="M719" i="19"/>
  <c r="L719" i="19" s="1"/>
  <c r="G719" i="19" s="1"/>
  <c r="I719" i="19" s="1"/>
  <c r="M721" i="19"/>
  <c r="L721" i="19" s="1"/>
  <c r="G721" i="19" s="1"/>
  <c r="I721" i="19" s="1"/>
  <c r="G562" i="19"/>
  <c r="I562" i="19" s="1"/>
  <c r="L564" i="19"/>
  <c r="R676" i="19"/>
  <c r="M727" i="19"/>
  <c r="L727" i="19" s="1"/>
  <c r="G727" i="19" s="1"/>
  <c r="I727" i="19" s="1"/>
  <c r="M726" i="19"/>
  <c r="L726" i="19" s="1"/>
  <c r="G726" i="19" s="1"/>
  <c r="I726" i="19" s="1"/>
  <c r="M724" i="19"/>
  <c r="L724" i="19" s="1"/>
  <c r="G724" i="19" s="1"/>
  <c r="I724" i="19" s="1"/>
  <c r="M725" i="19"/>
  <c r="L725" i="19" s="1"/>
  <c r="G725" i="19" s="1"/>
  <c r="I725" i="19" s="1"/>
  <c r="G565" i="19"/>
  <c r="I565" i="19" s="1"/>
  <c r="L576" i="19"/>
  <c r="G576" i="19" s="1"/>
  <c r="I576" i="19" s="1"/>
  <c r="L218" i="19"/>
  <c r="G218" i="19" s="1"/>
  <c r="I218" i="19" s="1"/>
  <c r="L220" i="19"/>
  <c r="G220" i="19" s="1"/>
  <c r="I220" i="19" s="1"/>
  <c r="L222" i="19"/>
  <c r="G222" i="19" s="1"/>
  <c r="I222" i="19" s="1"/>
  <c r="L217" i="19"/>
  <c r="G217" i="19" s="1"/>
  <c r="I217" i="19" s="1"/>
  <c r="L221" i="19"/>
  <c r="G221" i="19" s="1"/>
  <c r="I221" i="19" s="1"/>
  <c r="L219" i="19"/>
  <c r="G219" i="19" s="1"/>
  <c r="I219" i="19" s="1"/>
  <c r="L223" i="19"/>
  <c r="G223" i="19" s="1"/>
  <c r="I223" i="19" s="1"/>
  <c r="M649" i="19"/>
  <c r="L649" i="19" s="1"/>
  <c r="G649" i="19" s="1"/>
  <c r="I649" i="19" s="1"/>
  <c r="M646" i="19"/>
  <c r="L646" i="19" s="1"/>
  <c r="G646" i="19" s="1"/>
  <c r="I646" i="19" s="1"/>
  <c r="M648" i="19"/>
  <c r="L648" i="19" s="1"/>
  <c r="G648" i="19" s="1"/>
  <c r="I648" i="19" s="1"/>
  <c r="M647" i="19"/>
  <c r="L647" i="19" s="1"/>
  <c r="G647" i="19" s="1"/>
  <c r="I647" i="19" s="1"/>
  <c r="L559" i="19"/>
  <c r="G559" i="19" s="1"/>
  <c r="I559" i="19" s="1"/>
  <c r="L572" i="19"/>
  <c r="G572" i="19" s="1"/>
  <c r="I572" i="19" s="1"/>
  <c r="L528" i="19"/>
  <c r="G528" i="19" s="1"/>
  <c r="I528" i="19" s="1"/>
  <c r="G484" i="19"/>
  <c r="I484" i="19" s="1"/>
  <c r="L505" i="19"/>
  <c r="G505" i="19" s="1"/>
  <c r="I505" i="19" s="1"/>
  <c r="L534" i="19"/>
  <c r="G534" i="19" s="1"/>
  <c r="I534" i="19" s="1"/>
  <c r="L525" i="19"/>
  <c r="G525" i="19" s="1"/>
  <c r="I525" i="19" s="1"/>
  <c r="L533" i="19"/>
  <c r="G533" i="19" s="1"/>
  <c r="I533" i="19" s="1"/>
  <c r="L530" i="19"/>
  <c r="G530" i="19" s="1"/>
  <c r="I530" i="19" s="1"/>
  <c r="L529" i="19"/>
  <c r="G529" i="19" s="1"/>
  <c r="I529" i="19" s="1"/>
  <c r="L532" i="19"/>
  <c r="G532" i="19" s="1"/>
  <c r="I532" i="19" s="1"/>
  <c r="L531" i="19"/>
  <c r="G531" i="19" s="1"/>
  <c r="I531" i="19" s="1"/>
  <c r="L526" i="19"/>
  <c r="G526" i="19" s="1"/>
  <c r="I526" i="19" s="1"/>
  <c r="L527" i="19"/>
  <c r="G527" i="19" s="1"/>
  <c r="I527" i="19" s="1"/>
  <c r="G49" i="19"/>
  <c r="I49" i="19" s="1"/>
  <c r="G52" i="19"/>
  <c r="I52" i="19" s="1"/>
  <c r="L468" i="19"/>
  <c r="G468" i="19" s="1"/>
  <c r="I468" i="19" s="1"/>
  <c r="L469" i="19"/>
  <c r="G469" i="19" s="1"/>
  <c r="I469" i="19" s="1"/>
  <c r="L475" i="19"/>
  <c r="G475" i="19" s="1"/>
  <c r="I475" i="19" s="1"/>
  <c r="L474" i="19"/>
  <c r="G474" i="19" s="1"/>
  <c r="I474" i="19" s="1"/>
  <c r="L470" i="19"/>
  <c r="G470" i="19" s="1"/>
  <c r="I470" i="19" s="1"/>
  <c r="L476" i="19"/>
  <c r="G476" i="19" s="1"/>
  <c r="I476" i="19" s="1"/>
  <c r="G420" i="19"/>
  <c r="I420" i="19" s="1"/>
  <c r="L472" i="19"/>
  <c r="G472" i="19" s="1"/>
  <c r="I472" i="19" s="1"/>
  <c r="L473" i="19"/>
  <c r="G473" i="19" s="1"/>
  <c r="I473" i="19" s="1"/>
  <c r="L465" i="19"/>
  <c r="G465" i="19" s="1"/>
  <c r="I465" i="19" s="1"/>
  <c r="L466" i="19"/>
  <c r="G466" i="19" s="1"/>
  <c r="I466" i="19" s="1"/>
  <c r="L447" i="19"/>
  <c r="G447" i="19" s="1"/>
  <c r="I447" i="19" s="1"/>
  <c r="L467" i="19"/>
  <c r="G467" i="19" s="1"/>
  <c r="I467" i="19" s="1"/>
  <c r="L471" i="19"/>
  <c r="G471" i="19" s="1"/>
  <c r="I471" i="19" s="1"/>
  <c r="L155" i="19"/>
  <c r="G155" i="19" s="1"/>
  <c r="I155" i="19" s="1"/>
  <c r="L158" i="19"/>
  <c r="G158" i="19" s="1"/>
  <c r="I158" i="19" s="1"/>
  <c r="L156" i="19"/>
  <c r="G156" i="19" s="1"/>
  <c r="I156" i="19" s="1"/>
  <c r="L154" i="19"/>
  <c r="G154" i="19" s="1"/>
  <c r="I154" i="19" s="1"/>
  <c r="L159" i="19"/>
  <c r="G159" i="19" s="1"/>
  <c r="I159" i="19" s="1"/>
  <c r="L157" i="19"/>
  <c r="G157" i="19" s="1"/>
  <c r="I157" i="19" s="1"/>
  <c r="L160" i="19"/>
  <c r="G160" i="19" s="1"/>
  <c r="I160" i="19" s="1"/>
  <c r="M654" i="19"/>
  <c r="L654" i="19" s="1"/>
  <c r="G654" i="19" s="1"/>
  <c r="I654" i="19" s="1"/>
  <c r="L586" i="19"/>
  <c r="G586" i="19" s="1"/>
  <c r="I586" i="19" s="1"/>
  <c r="M653" i="19"/>
  <c r="L653" i="19" s="1"/>
  <c r="G653" i="19" s="1"/>
  <c r="I653" i="19" s="1"/>
  <c r="M652" i="19"/>
  <c r="L652" i="19" s="1"/>
  <c r="G652" i="19" s="1"/>
  <c r="I652" i="19" s="1"/>
  <c r="M655" i="19"/>
  <c r="L655" i="19" s="1"/>
  <c r="G655" i="19" s="1"/>
  <c r="I655" i="19" s="1"/>
  <c r="S605" i="19"/>
  <c r="I112" i="19"/>
  <c r="M161" i="19"/>
  <c r="L406" i="19"/>
  <c r="U505" i="9" l="1"/>
  <c r="K533" i="9" s="1"/>
  <c r="G540" i="9"/>
  <c r="G547" i="9" s="1"/>
  <c r="T750" i="19"/>
  <c r="U508" i="9"/>
  <c r="M533" i="9" s="1"/>
  <c r="M547" i="9" s="1"/>
  <c r="T751" i="19"/>
  <c r="T742" i="19"/>
  <c r="T745" i="19"/>
  <c r="T748" i="19"/>
  <c r="T743" i="19"/>
  <c r="T746" i="19"/>
  <c r="T747" i="19"/>
  <c r="T744" i="19"/>
  <c r="M850" i="19"/>
  <c r="L850" i="19" s="1"/>
  <c r="G850" i="19" s="1"/>
  <c r="I850" i="19" s="1"/>
  <c r="L855" i="19"/>
  <c r="G855" i="19" s="1"/>
  <c r="I855" i="19" s="1"/>
  <c r="AI542" i="9"/>
  <c r="AJ542" i="9" s="1"/>
  <c r="AG550" i="9" s="1"/>
  <c r="AI539" i="9"/>
  <c r="AJ539" i="9" s="1"/>
  <c r="AC550" i="9" s="1"/>
  <c r="M544" i="9"/>
  <c r="W527" i="9"/>
  <c r="M537" i="9" s="1"/>
  <c r="V527" i="9"/>
  <c r="M536" i="9" s="1"/>
  <c r="M543" i="9"/>
  <c r="K547" i="9"/>
  <c r="K550" i="9"/>
  <c r="K551" i="9"/>
  <c r="R675" i="19"/>
  <c r="M716" i="19"/>
  <c r="L716" i="19" s="1"/>
  <c r="G716" i="19" s="1"/>
  <c r="I716" i="19" s="1"/>
  <c r="M715" i="19"/>
  <c r="L715" i="19" s="1"/>
  <c r="G715" i="19" s="1"/>
  <c r="I715" i="19" s="1"/>
  <c r="M714" i="19"/>
  <c r="L714" i="19" s="1"/>
  <c r="G714" i="19" s="1"/>
  <c r="I714" i="19" s="1"/>
  <c r="M713" i="19"/>
  <c r="L713" i="19" s="1"/>
  <c r="G713" i="19" s="1"/>
  <c r="I713" i="19" s="1"/>
  <c r="G564" i="19"/>
  <c r="I564" i="19" s="1"/>
  <c r="L575" i="19"/>
  <c r="G575" i="19" s="1"/>
  <c r="I575" i="19" s="1"/>
  <c r="L459" i="19"/>
  <c r="G459" i="19" s="1"/>
  <c r="I459" i="19" s="1"/>
  <c r="L458" i="19"/>
  <c r="G458" i="19" s="1"/>
  <c r="I458" i="19" s="1"/>
  <c r="L453" i="19"/>
  <c r="G453" i="19" s="1"/>
  <c r="I453" i="19" s="1"/>
  <c r="L456" i="19"/>
  <c r="G456" i="19" s="1"/>
  <c r="I456" i="19" s="1"/>
  <c r="L455" i="19"/>
  <c r="G455" i="19" s="1"/>
  <c r="I455" i="19" s="1"/>
  <c r="L461" i="19"/>
  <c r="G461" i="19" s="1"/>
  <c r="I461" i="19" s="1"/>
  <c r="L462" i="19"/>
  <c r="G462" i="19" s="1"/>
  <c r="I462" i="19" s="1"/>
  <c r="L434" i="19"/>
  <c r="G434" i="19" s="1"/>
  <c r="I434" i="19" s="1"/>
  <c r="L463" i="19"/>
  <c r="G463" i="19" s="1"/>
  <c r="I463" i="19" s="1"/>
  <c r="L454" i="19"/>
  <c r="G454" i="19" s="1"/>
  <c r="I454" i="19" s="1"/>
  <c r="L457" i="19"/>
  <c r="G457" i="19" s="1"/>
  <c r="I457" i="19" s="1"/>
  <c r="L452" i="19"/>
  <c r="G452" i="19" s="1"/>
  <c r="I452" i="19" s="1"/>
  <c r="L460" i="19"/>
  <c r="G460" i="19" s="1"/>
  <c r="I460" i="19" s="1"/>
  <c r="G406" i="19"/>
  <c r="I406" i="19" s="1"/>
  <c r="L167" i="19"/>
  <c r="G167" i="19" s="1"/>
  <c r="I167" i="19" s="1"/>
  <c r="L166" i="19"/>
  <c r="G166" i="19" s="1"/>
  <c r="I166" i="19" s="1"/>
  <c r="L163" i="19"/>
  <c r="G163" i="19" s="1"/>
  <c r="I163" i="19" s="1"/>
  <c r="L162" i="19"/>
  <c r="G162" i="19" s="1"/>
  <c r="I162" i="19" s="1"/>
  <c r="L164" i="19"/>
  <c r="G164" i="19" s="1"/>
  <c r="I164" i="19" s="1"/>
  <c r="L165" i="19"/>
  <c r="G165" i="19" s="1"/>
  <c r="I165" i="19" s="1"/>
  <c r="L168" i="19"/>
  <c r="G168" i="19" s="1"/>
  <c r="I168" i="19" s="1"/>
  <c r="M642" i="19"/>
  <c r="L642" i="19" s="1"/>
  <c r="G642" i="19" s="1"/>
  <c r="I642" i="19" s="1"/>
  <c r="M643" i="19"/>
  <c r="L643" i="19" s="1"/>
  <c r="G643" i="19" s="1"/>
  <c r="I643" i="19" s="1"/>
  <c r="L585" i="19"/>
  <c r="G585" i="19" s="1"/>
  <c r="I585" i="19" s="1"/>
  <c r="M641" i="19"/>
  <c r="L641" i="19" s="1"/>
  <c r="G641" i="19" s="1"/>
  <c r="I641" i="19" s="1"/>
  <c r="M644" i="19"/>
  <c r="L644" i="19" s="1"/>
  <c r="G644" i="19" s="1"/>
  <c r="I644" i="19" s="1"/>
  <c r="M551" i="9" l="1"/>
  <c r="M550"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<sst xmlns="http://schemas.openxmlformats.org/spreadsheetml/2006/main" count="7579" uniqueCount="2138">
  <si>
    <t>Dyneema</t>
  </si>
  <si>
    <t>mass</t>
  </si>
  <si>
    <t>coating</t>
  </si>
  <si>
    <t>rope making</t>
  </si>
  <si>
    <t>transport</t>
  </si>
  <si>
    <t>aircraft</t>
  </si>
  <si>
    <t>CFRP</t>
  </si>
  <si>
    <t>avg steel</t>
  </si>
  <si>
    <t>impact</t>
  </si>
  <si>
    <t>impact per unit</t>
  </si>
  <si>
    <t>amount</t>
  </si>
  <si>
    <t>kg or tkm</t>
  </si>
  <si>
    <t>steel</t>
  </si>
  <si>
    <t>deck structure</t>
  </si>
  <si>
    <t>Tether</t>
  </si>
  <si>
    <t>Aircraft</t>
  </si>
  <si>
    <t>LLA</t>
  </si>
  <si>
    <t>catapult</t>
  </si>
  <si>
    <t xml:space="preserve">yaw </t>
  </si>
  <si>
    <t>motor</t>
  </si>
  <si>
    <t>PGA</t>
  </si>
  <si>
    <t>generator</t>
  </si>
  <si>
    <t>gearbox</t>
  </si>
  <si>
    <t>cast iron</t>
  </si>
  <si>
    <t>chromium</t>
  </si>
  <si>
    <t>avg chromium</t>
  </si>
  <si>
    <t>transformer</t>
  </si>
  <si>
    <t>foundation</t>
  </si>
  <si>
    <t>concrete</t>
  </si>
  <si>
    <t>rebar</t>
  </si>
  <si>
    <t>steel plate</t>
  </si>
  <si>
    <t>steel low alloy</t>
  </si>
  <si>
    <t>GWP</t>
  </si>
  <si>
    <t>Cf</t>
  </si>
  <si>
    <t>rated power</t>
  </si>
  <si>
    <t>losses cable</t>
  </si>
  <si>
    <t>lossses drivetrain</t>
  </si>
  <si>
    <t>losses total</t>
  </si>
  <si>
    <t>AEP before loss</t>
  </si>
  <si>
    <t>AEP after losses</t>
  </si>
  <si>
    <t>lifetime energy after losses</t>
  </si>
  <si>
    <t>replacements</t>
  </si>
  <si>
    <t>batteries</t>
  </si>
  <si>
    <t>Transport</t>
  </si>
  <si>
    <t>OenM</t>
  </si>
  <si>
    <t>lubricant</t>
  </si>
  <si>
    <t>coolant</t>
  </si>
  <si>
    <t>EOL</t>
  </si>
  <si>
    <t>Manufacturing</t>
  </si>
  <si>
    <t>Installation</t>
  </si>
  <si>
    <t>Foundation</t>
  </si>
  <si>
    <t>Replacements</t>
  </si>
  <si>
    <t>GWP per system</t>
  </si>
  <si>
    <t>ship</t>
  </si>
  <si>
    <t>per tkm</t>
  </si>
  <si>
    <t>total</t>
  </si>
  <si>
    <t>truck</t>
  </si>
  <si>
    <t>ship type</t>
  </si>
  <si>
    <t xml:space="preserve">total </t>
  </si>
  <si>
    <t>truck type</t>
  </si>
  <si>
    <t>container</t>
  </si>
  <si>
    <t>large</t>
  </si>
  <si>
    <t>small</t>
  </si>
  <si>
    <t>Total first instal</t>
  </si>
  <si>
    <t>x=</t>
  </si>
  <si>
    <t>kg</t>
  </si>
  <si>
    <t>times</t>
  </si>
  <si>
    <t>Digging</t>
  </si>
  <si>
    <t>cable</t>
  </si>
  <si>
    <t>crane</t>
  </si>
  <si>
    <t>(per h)</t>
  </si>
  <si>
    <t>foundations</t>
  </si>
  <si>
    <t>assumptions</t>
  </si>
  <si>
    <t>Concrete</t>
  </si>
  <si>
    <t>Replacement</t>
  </si>
  <si>
    <t>transport first instal</t>
  </si>
  <si>
    <t>Transport replacements</t>
  </si>
  <si>
    <t>Transport EOL</t>
  </si>
  <si>
    <t>transport concrete</t>
  </si>
  <si>
    <t>transport concrete EOL</t>
  </si>
  <si>
    <t>OenM mass</t>
  </si>
  <si>
    <t>Nr of visits</t>
  </si>
  <si>
    <t>a year</t>
  </si>
  <si>
    <t>Lifetime</t>
  </si>
  <si>
    <t>years</t>
  </si>
  <si>
    <t>over life</t>
  </si>
  <si>
    <t>Times</t>
  </si>
  <si>
    <t>construction</t>
  </si>
  <si>
    <t>cable trench</t>
  </si>
  <si>
    <t>width</t>
  </si>
  <si>
    <t>depth</t>
  </si>
  <si>
    <t>m</t>
  </si>
  <si>
    <t>m3</t>
  </si>
  <si>
    <t>h</t>
  </si>
  <si>
    <t>Generator running</t>
  </si>
  <si>
    <t>Specs</t>
  </si>
  <si>
    <t>inter array cable</t>
  </si>
  <si>
    <t>distance from grid</t>
  </si>
  <si>
    <t>x tether</t>
  </si>
  <si>
    <t>tether length</t>
  </si>
  <si>
    <t>meter</t>
  </si>
  <si>
    <t>Energy production</t>
  </si>
  <si>
    <t>MW</t>
  </si>
  <si>
    <t>MWh</t>
  </si>
  <si>
    <t>Results</t>
  </si>
  <si>
    <t xml:space="preserve">Global warming potential </t>
  </si>
  <si>
    <t>heat</t>
  </si>
  <si>
    <t>lectricity</t>
  </si>
  <si>
    <t>low alloy</t>
  </si>
  <si>
    <t>paint zinc</t>
  </si>
  <si>
    <t>section</t>
  </si>
  <si>
    <t>drive steel</t>
  </si>
  <si>
    <t>same as chromium atm?</t>
  </si>
  <si>
    <t>copper</t>
  </si>
  <si>
    <t>reinforcing steel</t>
  </si>
  <si>
    <t>PCA</t>
  </si>
  <si>
    <t>hot roling</t>
  </si>
  <si>
    <t>Glue CFRP</t>
  </si>
  <si>
    <t>cold roling</t>
  </si>
  <si>
    <t>Titatium</t>
  </si>
  <si>
    <t>avg metal</t>
  </si>
  <si>
    <t>misc</t>
  </si>
  <si>
    <t>avg metal chromium</t>
  </si>
  <si>
    <t>GFRP</t>
  </si>
  <si>
    <t>wire drawing</t>
  </si>
  <si>
    <t>HDPE</t>
  </si>
  <si>
    <t>Tether making</t>
  </si>
  <si>
    <t>LDPE</t>
  </si>
  <si>
    <t>Tehter coating</t>
  </si>
  <si>
    <t>PVC</t>
  </si>
  <si>
    <t>Tire</t>
  </si>
  <si>
    <t>Trasnformer</t>
  </si>
  <si>
    <t>Motor</t>
  </si>
  <si>
    <t>Electronics</t>
  </si>
  <si>
    <t>Battery</t>
  </si>
  <si>
    <t>Plastic pipe</t>
  </si>
  <si>
    <t>copper wire draw</t>
  </si>
  <si>
    <t>Welding</t>
  </si>
  <si>
    <t>paint</t>
  </si>
  <si>
    <t>BOS</t>
  </si>
  <si>
    <t>inter array</t>
  </si>
  <si>
    <t>alu</t>
  </si>
  <si>
    <t>Cable inter array</t>
  </si>
  <si>
    <t>cable export</t>
  </si>
  <si>
    <t>plastic piping</t>
  </si>
  <si>
    <t>dyneema</t>
  </si>
  <si>
    <t>Metals</t>
  </si>
  <si>
    <t>Metal processing</t>
  </si>
  <si>
    <t>Plastics</t>
  </si>
  <si>
    <t>Fibre reiinforced polimers</t>
  </si>
  <si>
    <t>Plastic processing</t>
  </si>
  <si>
    <t>Machines etc</t>
  </si>
  <si>
    <t>truck large</t>
  </si>
  <si>
    <t>truck small</t>
  </si>
  <si>
    <t>ship ferry</t>
  </si>
  <si>
    <t>Transport total</t>
  </si>
  <si>
    <t>distance</t>
  </si>
  <si>
    <t xml:space="preserve">Truck  </t>
  </si>
  <si>
    <t>Ship</t>
  </si>
  <si>
    <t>hydroulic digger</t>
  </si>
  <si>
    <t>per kg</t>
  </si>
  <si>
    <t xml:space="preserve">large </t>
  </si>
  <si>
    <t>CED</t>
  </si>
  <si>
    <t>Material/proces</t>
  </si>
  <si>
    <t>Transport and installation activities</t>
  </si>
  <si>
    <t>Electricity and heat</t>
  </si>
  <si>
    <t>inspections</t>
  </si>
  <si>
    <t>Transport summary</t>
  </si>
  <si>
    <t>of initial systems</t>
  </si>
  <si>
    <t>crane operation and diesel generator</t>
  </si>
  <si>
    <t>O&amp;M</t>
  </si>
  <si>
    <t>Lubrications and consumables etc</t>
  </si>
  <si>
    <t>Sumary of transport of O&amp;M</t>
  </si>
  <si>
    <t>Replacements transport</t>
  </si>
  <si>
    <t>lubricants transport</t>
  </si>
  <si>
    <t>EOL of final systems</t>
  </si>
  <si>
    <t>EOL of replacements</t>
  </si>
  <si>
    <t>EOL of 'consumables'</t>
  </si>
  <si>
    <t>EOL transport</t>
  </si>
  <si>
    <t>EOL treatment</t>
  </si>
  <si>
    <t>servicing</t>
  </si>
  <si>
    <t>(7500kg transport)</t>
  </si>
  <si>
    <t>distacne for servicing</t>
  </si>
  <si>
    <t>km (50km two ways)</t>
  </si>
  <si>
    <t>Nr of visits farm</t>
  </si>
  <si>
    <t xml:space="preserve">Nr visits per system </t>
  </si>
  <si>
    <t>Nr of systems per visit</t>
  </si>
  <si>
    <t>visits per system over life</t>
  </si>
  <si>
    <t>Transport EOL of final systems</t>
  </si>
  <si>
    <t>Transport EOL of replacements</t>
  </si>
  <si>
    <t>Transport EOL of 'consumables'</t>
  </si>
  <si>
    <t>Total</t>
  </si>
  <si>
    <t>materials and processing/activities</t>
  </si>
  <si>
    <t>Lubricant and consumables</t>
  </si>
  <si>
    <t>Disassembly activities</t>
  </si>
  <si>
    <t>transport EOL replacements</t>
  </si>
  <si>
    <t xml:space="preserve">Manufacturing </t>
  </si>
  <si>
    <t>wt% rebar</t>
  </si>
  <si>
    <t xml:space="preserve">concrete type </t>
  </si>
  <si>
    <t>Diameter</t>
  </si>
  <si>
    <t>Wingspan</t>
  </si>
  <si>
    <t>Densities</t>
  </si>
  <si>
    <t>Foam core</t>
  </si>
  <si>
    <t>Resin</t>
  </si>
  <si>
    <t>kg/m3</t>
  </si>
  <si>
    <t>length inter array cable</t>
  </si>
  <si>
    <t>length export cable</t>
  </si>
  <si>
    <t>tether aerial</t>
  </si>
  <si>
    <t>tether winding</t>
  </si>
  <si>
    <t>Teter aerial</t>
  </si>
  <si>
    <t>Tether winding</t>
  </si>
  <si>
    <t>Drum</t>
  </si>
  <si>
    <t>converter</t>
  </si>
  <si>
    <t>Distance</t>
  </si>
  <si>
    <t>typre truck</t>
  </si>
  <si>
    <t xml:space="preserve">Aircraft </t>
  </si>
  <si>
    <t>is calculated in different page</t>
  </si>
  <si>
    <t>Mass per meter</t>
  </si>
  <si>
    <t>Export</t>
  </si>
  <si>
    <t>diatmeter</t>
  </si>
  <si>
    <t>conductor size</t>
  </si>
  <si>
    <t>insulator</t>
  </si>
  <si>
    <t>sheet</t>
  </si>
  <si>
    <t>pvc</t>
  </si>
  <si>
    <t>xple</t>
  </si>
  <si>
    <t>cple</t>
  </si>
  <si>
    <t>conductor material</t>
  </si>
  <si>
    <t>aluminium</t>
  </si>
  <si>
    <t>length</t>
  </si>
  <si>
    <t>for 1 system</t>
  </si>
  <si>
    <t>nr of system in farm</t>
  </si>
  <si>
    <t xml:space="preserve">size of sysztems </t>
  </si>
  <si>
    <t>farm size</t>
  </si>
  <si>
    <t>Vollume digging</t>
  </si>
  <si>
    <t>notes</t>
  </si>
  <si>
    <t>lubricant is not a 'manufactured product, it should be modeled without transport</t>
  </si>
  <si>
    <t>Deck</t>
  </si>
  <si>
    <t>diameter</t>
  </si>
  <si>
    <t>surface</t>
  </si>
  <si>
    <t>vollume</t>
  </si>
  <si>
    <t>thickness</t>
  </si>
  <si>
    <t>mm</t>
  </si>
  <si>
    <t>materal</t>
  </si>
  <si>
    <t>steel reinforcing</t>
  </si>
  <si>
    <t>density</t>
  </si>
  <si>
    <t>Mass</t>
  </si>
  <si>
    <t>Deck surface</t>
  </si>
  <si>
    <t>Deck support</t>
  </si>
  <si>
    <t>area</t>
  </si>
  <si>
    <t>collective density</t>
  </si>
  <si>
    <t>Mass reinforced concrete</t>
  </si>
  <si>
    <t xml:space="preserve">More </t>
  </si>
  <si>
    <t>Gearbox</t>
  </si>
  <si>
    <t>Yaw</t>
  </si>
  <si>
    <t>max tension</t>
  </si>
  <si>
    <t>Tether force</t>
  </si>
  <si>
    <t>MPA</t>
  </si>
  <si>
    <t>section 1</t>
  </si>
  <si>
    <t>section 2</t>
  </si>
  <si>
    <t>mm2</t>
  </si>
  <si>
    <t>m2</t>
  </si>
  <si>
    <t xml:space="preserve">components in yaw sytsten </t>
  </si>
  <si>
    <t xml:space="preserve">motor </t>
  </si>
  <si>
    <t>I-beam xircel</t>
  </si>
  <si>
    <t>pillars</t>
  </si>
  <si>
    <t>kg CO2 eq /MWh</t>
  </si>
  <si>
    <t>Cumulative Energy Density</t>
  </si>
  <si>
    <t>kg CO2 eq</t>
  </si>
  <si>
    <t>MJ</t>
  </si>
  <si>
    <t>per MWh</t>
  </si>
  <si>
    <t>MJ/MWh</t>
  </si>
  <si>
    <t>More detailed assessment found below.</t>
  </si>
  <si>
    <t>Materials and manufacturing</t>
  </si>
  <si>
    <t>installation</t>
  </si>
  <si>
    <t>treatment</t>
  </si>
  <si>
    <t>disassembly</t>
  </si>
  <si>
    <t>consumables</t>
  </si>
  <si>
    <t>digging</t>
  </si>
  <si>
    <t>crane operation</t>
  </si>
  <si>
    <t xml:space="preserve">generator </t>
  </si>
  <si>
    <t>drum</t>
  </si>
  <si>
    <t>cables</t>
  </si>
  <si>
    <t>total check</t>
  </si>
  <si>
    <t>% of total</t>
  </si>
  <si>
    <t>% of sub</t>
  </si>
  <si>
    <t>%sub of tot</t>
  </si>
  <si>
    <t>subsystems</t>
  </si>
  <si>
    <t>systems</t>
  </si>
  <si>
    <t>sub systems</t>
  </si>
  <si>
    <t>wt%</t>
  </si>
  <si>
    <t>total mass</t>
  </si>
  <si>
    <t>alluminium wrought</t>
  </si>
  <si>
    <t>cumulative 1 system</t>
  </si>
  <si>
    <t>Alu</t>
  </si>
  <si>
    <t>CRES</t>
  </si>
  <si>
    <t>Titanium</t>
  </si>
  <si>
    <t>CFRP glue</t>
  </si>
  <si>
    <t>High steel</t>
  </si>
  <si>
    <t>Paint</t>
  </si>
  <si>
    <t>unknown</t>
  </si>
  <si>
    <t xml:space="preserve">tire </t>
  </si>
  <si>
    <t>Steel low alloy</t>
  </si>
  <si>
    <t>mass of concrete</t>
  </si>
  <si>
    <t>mass of rebar</t>
  </si>
  <si>
    <t>avg titanium?</t>
  </si>
  <si>
    <t>deck surface</t>
  </si>
  <si>
    <t>impacts calculations</t>
  </si>
  <si>
    <t>Impact data collection</t>
  </si>
  <si>
    <t>Graphic displays</t>
  </si>
  <si>
    <t>GWP fractions of the components</t>
  </si>
  <si>
    <t>per life cylce stage</t>
  </si>
  <si>
    <t>Totals per component</t>
  </si>
  <si>
    <t>recycling rates</t>
  </si>
  <si>
    <t>unalloyed</t>
  </si>
  <si>
    <t>Landfilling</t>
  </si>
  <si>
    <t>incineration</t>
  </si>
  <si>
    <t>Recycling</t>
  </si>
  <si>
    <t>last</t>
  </si>
  <si>
    <t>process specific burdens, inert material landfill CH</t>
  </si>
  <si>
    <t>Landfilling inert 
CH, in general</t>
  </si>
  <si>
    <t>Process specific burden, CH, municipal waste incineration</t>
  </si>
  <si>
    <t>specific burdens,
municipal waste incineration CH</t>
  </si>
  <si>
    <t>scrap steel incineration CH</t>
  </si>
  <si>
    <t>unalloyed steel</t>
  </si>
  <si>
    <t>NOT included yet….....                                                              ..............NOT included yet</t>
  </si>
  <si>
    <t>For anti freeze</t>
  </si>
  <si>
    <t>Lubricant</t>
  </si>
  <si>
    <t>ch</t>
  </si>
  <si>
    <t>electronics</t>
  </si>
  <si>
    <t>waste concrete, EU without CH, inert material landfill</t>
  </si>
  <si>
    <t>Transformer</t>
  </si>
  <si>
    <t>PWB</t>
  </si>
  <si>
    <t>sanitary</t>
  </si>
  <si>
    <t>undefined</t>
  </si>
  <si>
    <t>using simapro on my latest tire, may still change</t>
  </si>
  <si>
    <t xml:space="preserve">ROW ^^ </t>
  </si>
  <si>
    <t>europe withouth CH, Of waste rubber, unspecified</t>
  </si>
  <si>
    <t>treatment of waste paint</t>
  </si>
  <si>
    <t>the alkalite 60% solution paint data</t>
  </si>
  <si>
    <t>If same as CFRP</t>
  </si>
  <si>
    <t>CFRP Glue</t>
  </si>
  <si>
    <t>used in simapro for their CFRP</t>
  </si>
  <si>
    <t>CH</t>
  </si>
  <si>
    <t>Waste Polyurethane, sanitary landfill</t>
  </si>
  <si>
    <t>Flexible polimer foam RER market// waste Polyerethane, ROW market</t>
  </si>
  <si>
    <t>Flexible polimer foam</t>
  </si>
  <si>
    <t>Tether coating</t>
  </si>
  <si>
    <t>Main plastics</t>
  </si>
  <si>
    <t>LDPE is substitute for XPLE, the insulation in the cables</t>
  </si>
  <si>
    <t>Drive steel</t>
  </si>
  <si>
    <t>Section</t>
  </si>
  <si>
    <t>titanium</t>
  </si>
  <si>
    <t>apos:0,271 and 3,97</t>
  </si>
  <si>
    <t>scrap alu, municipal incineration, treatment of, RoW</t>
  </si>
  <si>
    <t>ROW</t>
  </si>
  <si>
    <t>europe without CH</t>
  </si>
  <si>
    <t>GFRP Glue</t>
  </si>
  <si>
    <t>Alluminium</t>
  </si>
  <si>
    <t>Converter</t>
  </si>
  <si>
    <t>Un alloyed</t>
  </si>
  <si>
    <t>additional stps are required for additions</t>
  </si>
  <si>
    <t>Only the existing elements within this box are included in further calculations</t>
  </si>
  <si>
    <t>Ferro metal</t>
  </si>
  <si>
    <t>Rebar</t>
  </si>
  <si>
    <t>reinforcing stee;</t>
  </si>
  <si>
    <t>landfillig</t>
  </si>
  <si>
    <t>recycling</t>
  </si>
  <si>
    <t>landfilling</t>
  </si>
  <si>
    <t>Collection from tables below</t>
  </si>
  <si>
    <t>Low alloy steel</t>
  </si>
  <si>
    <t>metals</t>
  </si>
  <si>
    <t>PU</t>
  </si>
  <si>
    <t>PE</t>
  </si>
  <si>
    <t>epoxies</t>
  </si>
  <si>
    <t>location</t>
  </si>
  <si>
    <t>Type</t>
  </si>
  <si>
    <t>Waste material</t>
  </si>
  <si>
    <t xml:space="preserve">Others </t>
  </si>
  <si>
    <t>Simtapro, CH method, 1 kg of the material</t>
  </si>
  <si>
    <t>self made</t>
  </si>
  <si>
    <t>incineration?</t>
  </si>
  <si>
    <t>simapro</t>
  </si>
  <si>
    <t>test EP resin</t>
  </si>
  <si>
    <t>IDEMAT</t>
  </si>
  <si>
    <t>needs checking</t>
  </si>
  <si>
    <t>Earlier tests</t>
  </si>
  <si>
    <t>literature</t>
  </si>
  <si>
    <t>Simapro CML</t>
  </si>
  <si>
    <t>colour coding</t>
  </si>
  <si>
    <t>Per material</t>
  </si>
  <si>
    <t xml:space="preserve">landfilling </t>
  </si>
  <si>
    <t>Representative</t>
  </si>
  <si>
    <t>Method for EOL</t>
  </si>
  <si>
    <t>tether</t>
  </si>
  <si>
    <t>cpper</t>
  </si>
  <si>
    <t>steel and iron</t>
  </si>
  <si>
    <t>Import of selected material EOL methods</t>
  </si>
  <si>
    <t>cumulative</t>
  </si>
  <si>
    <t>percentual</t>
  </si>
  <si>
    <t>structure</t>
  </si>
  <si>
    <t>34CrAl6</t>
  </si>
  <si>
    <t>idemat through simapro</t>
  </si>
  <si>
    <t>C55</t>
  </si>
  <si>
    <t>ugh, what do I do with all these options?</t>
  </si>
  <si>
    <t>C45</t>
  </si>
  <si>
    <t>Value used:</t>
  </si>
  <si>
    <t>high grade steels</t>
  </si>
  <si>
    <t>buring in ship</t>
  </si>
  <si>
    <t>per mj</t>
  </si>
  <si>
    <t>burning</t>
  </si>
  <si>
    <t>glo</t>
  </si>
  <si>
    <t>market for</t>
  </si>
  <si>
    <t>eu</t>
  </si>
  <si>
    <t xml:space="preserve">diesel </t>
  </si>
  <si>
    <t>copper regional storage RER U</t>
  </si>
  <si>
    <t>MG-Silicon at plant NO U</t>
  </si>
  <si>
    <t>silica</t>
  </si>
  <si>
    <t>concrete extracting, at plant CH U</t>
  </si>
  <si>
    <t>reinforcing steel, at plant RER</t>
  </si>
  <si>
    <t>cast iron at plant/RER</t>
  </si>
  <si>
    <t>iron</t>
  </si>
  <si>
    <t>glass fibre reinforces plastic poly amide injection molding at plant rer U</t>
  </si>
  <si>
    <t>fibre glass/resin</t>
  </si>
  <si>
    <t>The stuff used by martinez</t>
  </si>
  <si>
    <t>cast irons</t>
  </si>
  <si>
    <t>Ships idemat</t>
  </si>
  <si>
    <t>Sheet rolling chromium GLO</t>
  </si>
  <si>
    <t>sheet rolling chromium RER</t>
  </si>
  <si>
    <t>AVG chromium working GLO</t>
  </si>
  <si>
    <t>avg chromium working RER</t>
  </si>
  <si>
    <t>deep drawing steel</t>
  </si>
  <si>
    <t>roling steel</t>
  </si>
  <si>
    <t>extruding alu</t>
  </si>
  <si>
    <t>not yet included</t>
  </si>
  <si>
    <t>Other potentially interesting data sets</t>
  </si>
  <si>
    <t>Fe520</t>
  </si>
  <si>
    <t>C35</t>
  </si>
  <si>
    <t>C15</t>
  </si>
  <si>
    <t>idemat</t>
  </si>
  <si>
    <t>other steel</t>
  </si>
  <si>
    <t>42CrMo4</t>
  </si>
  <si>
    <t>30CrNiMo8</t>
  </si>
  <si>
    <t>25CRMo4</t>
  </si>
  <si>
    <t>idemat high strenght</t>
  </si>
  <si>
    <t>other metals</t>
  </si>
  <si>
    <t>glo market for un-alloyed steel</t>
  </si>
  <si>
    <t>hot rolled steel sheet</t>
  </si>
  <si>
    <t>more idemat steel</t>
  </si>
  <si>
    <t>steel wire</t>
  </si>
  <si>
    <t>imposibly true</t>
  </si>
  <si>
    <t>steel section</t>
  </si>
  <si>
    <t>steel hotrolled coil</t>
  </si>
  <si>
    <t>these are all based on the 2017 worldsteel database</t>
  </si>
  <si>
    <t>industry metals</t>
  </si>
  <si>
    <t>14 turbines report</t>
  </si>
  <si>
    <t>per h</t>
  </si>
  <si>
    <t>high load factor</t>
  </si>
  <si>
    <t>Machine operating ????</t>
  </si>
  <si>
    <t xml:space="preserve">per m3 GLO market </t>
  </si>
  <si>
    <t>Per M3 RER processing</t>
  </si>
  <si>
    <t>Hydraulic digger</t>
  </si>
  <si>
    <t>other?</t>
  </si>
  <si>
    <t>Truck 4</t>
  </si>
  <si>
    <t>Truck 3</t>
  </si>
  <si>
    <t>truck 2</t>
  </si>
  <si>
    <t>make a statement about the load factor</t>
  </si>
  <si>
    <t>Truck 1</t>
  </si>
  <si>
    <t>Truck</t>
  </si>
  <si>
    <t>according to idemat, burning of deisel -~2,72 kg co2</t>
  </si>
  <si>
    <t>Ferry</t>
  </si>
  <si>
    <t>Heat</t>
  </si>
  <si>
    <t>&gt;3mw onshore</t>
  </si>
  <si>
    <t>BE, Wind energy, high voltage</t>
  </si>
  <si>
    <t>per MJ</t>
  </si>
  <si>
    <t>1-3MW onshore</t>
  </si>
  <si>
    <t>DE</t>
  </si>
  <si>
    <t>PL medium voltage</t>
  </si>
  <si>
    <t>NL medium voltage</t>
  </si>
  <si>
    <t>DK medium voltage</t>
  </si>
  <si>
    <t>Electricity</t>
  </si>
  <si>
    <t>Electricity 
and heat</t>
  </si>
  <si>
    <t>coating layer = 65microns if 2sided and 130microns if one sided</t>
  </si>
  <si>
    <t>zing coat pieces glo market</t>
  </si>
  <si>
    <t>zinc coating, not really accurate but the best I see</t>
  </si>
  <si>
    <t>per m2</t>
  </si>
  <si>
    <t>zinc</t>
  </si>
  <si>
    <t>Alkyd paint, white, without solvent, 60% solution state, market for RER</t>
  </si>
  <si>
    <t>anti freeze</t>
  </si>
  <si>
    <t>ethylene glycol GLO market</t>
  </si>
  <si>
    <t>R134A GLO market</t>
  </si>
  <si>
    <t>idemat ethylene glycol through simapro, but this is antifreeze</t>
  </si>
  <si>
    <t>Ethynol glycol = antifreeze, probably not what should be used</t>
  </si>
  <si>
    <t>idemat ethylene glycol, no idea if this is correct</t>
  </si>
  <si>
    <t>Coolings</t>
  </si>
  <si>
    <t>Lubricant Ecoinvent</t>
  </si>
  <si>
    <t>Lubrications</t>
  </si>
  <si>
    <t>There is a large fluctuation</t>
  </si>
  <si>
    <t>anotehr source says ~80 kg co2 per kwh, at 0.1kwh per kg, this would be ~8 kg co2 per kg battery</t>
  </si>
  <si>
    <t>battery cell Li ion, glo market</t>
  </si>
  <si>
    <t>LiMn2O4 cathode, LiPF6 electrolite in thylenecarbonate</t>
  </si>
  <si>
    <t>this one is stated to be usable for battery of a mechanical drive of an electrical vehicle</t>
  </si>
  <si>
    <r>
      <t>Battery Li-ion rechar, prismatic glo</t>
    </r>
    <r>
      <rPr>
        <sz val="11"/>
        <color rgb="FFFF0000"/>
        <rFont val="Calibri"/>
        <family val="2"/>
        <scheme val="minor"/>
      </rPr>
      <t xml:space="preserve"> market for</t>
    </r>
  </si>
  <si>
    <r>
      <t>Battery Li-ion rechar, prismatic glo</t>
    </r>
    <r>
      <rPr>
        <sz val="11"/>
        <color rgb="FFFF0000"/>
        <rFont val="Calibri"/>
        <family val="2"/>
        <scheme val="minor"/>
      </rPr>
      <t xml:space="preserve"> Production</t>
    </r>
  </si>
  <si>
    <t>Electronics for control, GLO market</t>
  </si>
  <si>
    <t>per kg, subtracting the market value from the production value for Row case</t>
  </si>
  <si>
    <t>transport of concrete is therefore:</t>
  </si>
  <si>
    <t>RNA, market</t>
  </si>
  <si>
    <t>per m3</t>
  </si>
  <si>
    <t>density south african concrete</t>
  </si>
  <si>
    <t>north amarica witout quebec, production</t>
  </si>
  <si>
    <t>density north amarica concrete</t>
  </si>
  <si>
    <t>GLO</t>
  </si>
  <si>
    <t>^^</t>
  </si>
  <si>
    <t>assume density concrete</t>
  </si>
  <si>
    <t>at denstity of</t>
  </si>
  <si>
    <t>this uses south african concrete</t>
  </si>
  <si>
    <t>concrete 35MPA market RoW</t>
  </si>
  <si>
    <t>per 1m3</t>
  </si>
  <si>
    <t>concrete 35MPA production row</t>
  </si>
  <si>
    <t>far lower percentage steel</t>
  </si>
  <si>
    <t>other way?</t>
  </si>
  <si>
    <t>Comcrete</t>
  </si>
  <si>
    <t>Electric car motor</t>
  </si>
  <si>
    <t>check this self made estimate for literature</t>
  </si>
  <si>
    <t>PWB laptob, PB holding</t>
  </si>
  <si>
    <t>GLO market</t>
  </si>
  <si>
    <t>unspecified cable per kg,</t>
  </si>
  <si>
    <t>Extrusion plastic pipe</t>
  </si>
  <si>
    <t>Plastic piping</t>
  </si>
  <si>
    <t>low density PE granulates GLO market</t>
  </si>
  <si>
    <t>ADD energy to make it into XPLE?</t>
  </si>
  <si>
    <t>High density pe granulate GLO market</t>
  </si>
  <si>
    <t>Wiki says this is the most common method, not worth it to spend more time on it</t>
  </si>
  <si>
    <t>glo market, polyvinylchloride suspension polymerised</t>
  </si>
  <si>
    <t>glo market, polyvinylchloride bulk polymerised</t>
  </si>
  <si>
    <t>EUCIA output through simapro, RI</t>
  </si>
  <si>
    <t>1,22 by ILCD 2011midpoints V1,06</t>
  </si>
  <si>
    <t>EUCIA eco calculator output</t>
  </si>
  <si>
    <t>1,25/1,22</t>
  </si>
  <si>
    <t>EUCIA</t>
  </si>
  <si>
    <t>Dacomat project EU, Resin Infusion</t>
  </si>
  <si>
    <t>Value used</t>
  </si>
  <si>
    <t>Processing</t>
  </si>
  <si>
    <t>66.66% epoxy, 33.33% hardener as used above</t>
  </si>
  <si>
    <t>Glue</t>
  </si>
  <si>
    <t>MJ   EUCIA calculator, not CML not sure about the rest</t>
  </si>
  <si>
    <t>combo self made</t>
  </si>
  <si>
    <t>pvc suspended + polymer foaming, markets, glo</t>
  </si>
  <si>
    <t>core</t>
  </si>
  <si>
    <t>same product as EUCIA uses</t>
  </si>
  <si>
    <t>Simapro, system, ethylendamine rer market for</t>
  </si>
  <si>
    <t>Hardener</t>
  </si>
  <si>
    <t>EUCIA, not CML yet</t>
  </si>
  <si>
    <t>ep+hardener</t>
  </si>
  <si>
    <t>simapro?</t>
  </si>
  <si>
    <t>idemat 2021 Epoxy resin</t>
  </si>
  <si>
    <t>Epoxy resin</t>
  </si>
  <si>
    <t>kg CO2 by ILCD 2011 midpoint+ v1,06</t>
  </si>
  <si>
    <t>direct woven</t>
  </si>
  <si>
    <t>Glass fibre mat</t>
  </si>
  <si>
    <t>Wet chopped strands</t>
  </si>
  <si>
    <t>dry choped strands</t>
  </si>
  <si>
    <t>Glass fibres</t>
  </si>
  <si>
    <t>processing</t>
  </si>
  <si>
    <t>Das lignin</t>
  </si>
  <si>
    <t>EU report lignin</t>
  </si>
  <si>
    <t>~</t>
  </si>
  <si>
    <t>Coating</t>
  </si>
  <si>
    <t>Lignin</t>
  </si>
  <si>
    <t>Core</t>
  </si>
  <si>
    <t>EP</t>
  </si>
  <si>
    <t>Bacnmann</t>
  </si>
  <si>
    <t>Das</t>
  </si>
  <si>
    <t>pan based EUCIA, CML</t>
  </si>
  <si>
    <t>More on GFRP</t>
  </si>
  <si>
    <t>idemat 2021 carbon fibre</t>
  </si>
  <si>
    <t>Carbon fibres</t>
  </si>
  <si>
    <t>Rough calculations, still need improvements</t>
  </si>
  <si>
    <t>GFRP total</t>
  </si>
  <si>
    <t>glass</t>
  </si>
  <si>
    <t>The carbon fibre in Simapro</t>
  </si>
  <si>
    <t>per calculation:</t>
  </si>
  <si>
    <t>CRRP</t>
  </si>
  <si>
    <t>for 25% carbon fibres, with epoxy 2,24, Carbon fibres 48,72</t>
  </si>
  <si>
    <t>totals</t>
  </si>
  <si>
    <t>scraps</t>
  </si>
  <si>
    <t>material used</t>
  </si>
  <si>
    <t>CFRP total</t>
  </si>
  <si>
    <t>carbon</t>
  </si>
  <si>
    <t>More on CFRP</t>
  </si>
  <si>
    <t>CFRP/GFRP</t>
  </si>
  <si>
    <t>backup, was:</t>
  </si>
  <si>
    <t>electricity</t>
  </si>
  <si>
    <t>energy and heat to get the base UHMWPE material</t>
  </si>
  <si>
    <t>spinning extruder for polimer filaments 80-500 dtex)</t>
  </si>
  <si>
    <t>temporary tether processing</t>
  </si>
  <si>
    <t>nr mj electricty</t>
  </si>
  <si>
    <t>Roping</t>
  </si>
  <si>
    <t>or if 100% electricity</t>
  </si>
  <si>
    <t>these values need checking, found by the Nylon climbing rope LCA, but data from paper by voogtland</t>
  </si>
  <si>
    <t>yarning</t>
  </si>
  <si>
    <t>Sum</t>
  </si>
  <si>
    <t>Additional</t>
  </si>
  <si>
    <t>MJ electriciy =</t>
  </si>
  <si>
    <t>the nr of MJs are:</t>
  </si>
  <si>
    <t>1 MJ=</t>
  </si>
  <si>
    <t>a 50/50 mixture is</t>
  </si>
  <si>
    <t>RER</t>
  </si>
  <si>
    <t>Poly urethane flex foam, RER market</t>
  </si>
  <si>
    <t>heat, this one is still wrong, maybe use nat gas?</t>
  </si>
  <si>
    <t>electricyt , medium voltage NL., 1 MJ</t>
  </si>
  <si>
    <t>UHMWPE =</t>
  </si>
  <si>
    <t>assume this comes from electricity and heat alone. 50%/50%</t>
  </si>
  <si>
    <t>from comunication</t>
  </si>
  <si>
    <t>HDPE=</t>
  </si>
  <si>
    <t>biobased</t>
  </si>
  <si>
    <t>Tether making proces representative</t>
  </si>
  <si>
    <t>kg co2/kg</t>
  </si>
  <si>
    <t>from memory</t>
  </si>
  <si>
    <t>the production steps to make UHMWPE from a HDPE base are apparently</t>
  </si>
  <si>
    <t>mid timeframe</t>
  </si>
  <si>
    <t>?</t>
  </si>
  <si>
    <t>UHMWPE has a GWP of:</t>
  </si>
  <si>
    <t>UHMWPE</t>
  </si>
  <si>
    <t>HDPE, UHMWPE making, a coating and processing</t>
  </si>
  <si>
    <t>or</t>
  </si>
  <si>
    <t>UHMWPE, a coating and the processing</t>
  </si>
  <si>
    <t>this is the value of a UHMWPE tether without coating</t>
  </si>
  <si>
    <t>UHMWPE rope</t>
  </si>
  <si>
    <t>The tether:</t>
  </si>
  <si>
    <t>full tether</t>
  </si>
  <si>
    <t>to be used</t>
  </si>
  <si>
    <t>Tether as completed with 88% MHPE and 12% coating, assuming 100% processing</t>
  </si>
  <si>
    <t>Tether:</t>
  </si>
  <si>
    <t>arc welding rer proccessing</t>
  </si>
  <si>
    <t>per meter</t>
  </si>
  <si>
    <t>welding</t>
  </si>
  <si>
    <t>avg metal working copper RER</t>
  </si>
  <si>
    <t>market</t>
  </si>
  <si>
    <t>avg metal working copper GLO</t>
  </si>
  <si>
    <t>avg copper</t>
  </si>
  <si>
    <t>sima wire drawing copper</t>
  </si>
  <si>
    <t>Wire drawing alu or copper</t>
  </si>
  <si>
    <t>Wire drawing steel</t>
  </si>
  <si>
    <t>avg metal work chromium</t>
  </si>
  <si>
    <r>
      <t>GLO,</t>
    </r>
    <r>
      <rPr>
        <b/>
        <sz val="11"/>
        <color rgb="FFFF0000"/>
        <rFont val="Calibri"/>
        <family val="2"/>
        <scheme val="minor"/>
      </rPr>
      <t xml:space="preserve"> STEEL</t>
    </r>
  </si>
  <si>
    <t>AVG STEEL, market</t>
  </si>
  <si>
    <t>AVG metal, production</t>
  </si>
  <si>
    <t>AVG metal, market</t>
  </si>
  <si>
    <t>wrong one</t>
  </si>
  <si>
    <t>metal working factury, marked for , RER, might be wrong</t>
  </si>
  <si>
    <t>AVG metal work</t>
  </si>
  <si>
    <t>this is just the rolling from the idemat excel</t>
  </si>
  <si>
    <t>Cold rolling</t>
  </si>
  <si>
    <t>RER production</t>
  </si>
  <si>
    <t>hot rolling steel</t>
  </si>
  <si>
    <t>These are used for chromium and low alloy alike</t>
  </si>
  <si>
    <t>glo market</t>
  </si>
  <si>
    <t>Hot rolling</t>
  </si>
  <si>
    <t>Metal 
processing</t>
  </si>
  <si>
    <t>value used</t>
  </si>
  <si>
    <t>titanium primary</t>
  </si>
  <si>
    <t>this is how I interpreted simapro</t>
  </si>
  <si>
    <t>0.5x wre draw + reinforcing. Meaning it is already hot rolled steel</t>
  </si>
  <si>
    <t>Simapro uses 0.5x wire drawing</t>
  </si>
  <si>
    <t>GLO market, this is a mix of low and un alloyed steel, + 1kg hotrolling</t>
  </si>
  <si>
    <t>Reinforcing steel</t>
  </si>
  <si>
    <t>same als EOL</t>
  </si>
  <si>
    <t>alu, wrought alloy, Glo market for</t>
  </si>
  <si>
    <t>aluminium primary ingot ROW market</t>
  </si>
  <si>
    <t xml:space="preserve">aluminium primary ingot IAI, EU27 &amp; EFTA market for </t>
  </si>
  <si>
    <t>treatment of scraps new at the remelder</t>
  </si>
  <si>
    <t>primary</t>
  </si>
  <si>
    <t>HOW ARE THESE SO LOW COMPARED TO THE GLO MIX?</t>
  </si>
  <si>
    <t>RER secondary</t>
  </si>
  <si>
    <t>RER primary copper production</t>
  </si>
  <si>
    <t>which one specific?</t>
  </si>
  <si>
    <t>copper market, GLO</t>
  </si>
  <si>
    <t>Copper</t>
  </si>
  <si>
    <t>This is not a market mix</t>
  </si>
  <si>
    <t>Chromium steel</t>
  </si>
  <si>
    <t>And the CED with CED 1,09</t>
  </si>
  <si>
    <t>EUCIA data for GWP in red are calculated with the greenhouse protocol method V1,01</t>
  </si>
  <si>
    <t>steel casts</t>
  </si>
  <si>
    <t>manny options</t>
  </si>
  <si>
    <t>simapro, glo market</t>
  </si>
  <si>
    <t>Cast iron</t>
  </si>
  <si>
    <t>Low alloy steel GLO market for</t>
  </si>
  <si>
    <t>Idemat, same for several ferro construction steels. ( FE360,470,520, ST13)</t>
  </si>
  <si>
    <t>Check</t>
  </si>
  <si>
    <t>source</t>
  </si>
  <si>
    <t>Component</t>
  </si>
  <si>
    <t>CML</t>
  </si>
  <si>
    <t>Simapro</t>
  </si>
  <si>
    <t>Impact options elaborated</t>
  </si>
  <si>
    <t>For simplified export</t>
  </si>
  <si>
    <t>radium</t>
  </si>
  <si>
    <t>cross section</t>
  </si>
  <si>
    <t>input</t>
  </si>
  <si>
    <t>insul</t>
  </si>
  <si>
    <t>lineair</t>
  </si>
  <si>
    <t>polynoom</t>
  </si>
  <si>
    <t xml:space="preserve">conductor </t>
  </si>
  <si>
    <t>denstity aluminium</t>
  </si>
  <si>
    <t>3x conductor</t>
  </si>
  <si>
    <t>density XPLE</t>
  </si>
  <si>
    <t>Density PVC</t>
  </si>
  <si>
    <t>3x insulator</t>
  </si>
  <si>
    <t>mass conductor + insul</t>
  </si>
  <si>
    <t>1x insul mass</t>
  </si>
  <si>
    <t>wire screen</t>
  </si>
  <si>
    <t>density copper</t>
  </si>
  <si>
    <t>mass 1 wire screen</t>
  </si>
  <si>
    <t>3x</t>
  </si>
  <si>
    <t>pvc shield thick</t>
  </si>
  <si>
    <t>shield per core?</t>
  </si>
  <si>
    <t>total mass calc</t>
  </si>
  <si>
    <t>mass data</t>
  </si>
  <si>
    <t>additional mass pvc</t>
  </si>
  <si>
    <t>current rating at burried</t>
  </si>
  <si>
    <t>A</t>
  </si>
  <si>
    <t>[1]</t>
  </si>
  <si>
    <t>[2]</t>
  </si>
  <si>
    <t>[3]</t>
  </si>
  <si>
    <t>[4]</t>
  </si>
  <si>
    <t>[5]</t>
  </si>
  <si>
    <t>[6]</t>
  </si>
  <si>
    <t>[7]</t>
  </si>
  <si>
    <t>[8]</t>
  </si>
  <si>
    <t>[9]</t>
  </si>
  <si>
    <t>[10]</t>
  </si>
  <si>
    <t>2x</t>
  </si>
  <si>
    <t xml:space="preserve">all array cables at 240mm2, </t>
  </si>
  <si>
    <t>export 2x 600mm2</t>
  </si>
  <si>
    <t>polinoom</t>
  </si>
  <si>
    <t>linear</t>
  </si>
  <si>
    <t>current estimations</t>
  </si>
  <si>
    <t>nexans olex new zealand</t>
  </si>
  <si>
    <t>power cable catalogue 2012 edition</t>
  </si>
  <si>
    <t>current ratings needed</t>
  </si>
  <si>
    <t>used aproximately</t>
  </si>
  <si>
    <t>array</t>
  </si>
  <si>
    <t xml:space="preserve">export </t>
  </si>
  <si>
    <t>for farm</t>
  </si>
  <si>
    <t>XPLE</t>
  </si>
  <si>
    <t>export</t>
  </si>
  <si>
    <t>plastic extrusion</t>
  </si>
  <si>
    <t>mass per meter</t>
  </si>
  <si>
    <t>per system</t>
  </si>
  <si>
    <t>this is exported, watch out with changes</t>
  </si>
  <si>
    <t>data on masses per cable</t>
  </si>
  <si>
    <t>nexans report</t>
  </si>
  <si>
    <t>NREL scaling equation</t>
  </si>
  <si>
    <t>Mass_transformer= mt=2.445*Pt + 1599</t>
  </si>
  <si>
    <t>pt=</t>
  </si>
  <si>
    <t>Generator power[Kw]/ power factor (pf)</t>
  </si>
  <si>
    <t>pf=</t>
  </si>
  <si>
    <t>mw</t>
  </si>
  <si>
    <t>mt=</t>
  </si>
  <si>
    <t>power</t>
  </si>
  <si>
    <t>Generator power</t>
  </si>
  <si>
    <t>scaling</t>
  </si>
  <si>
    <t>size:</t>
  </si>
  <si>
    <t>motor AWE</t>
  </si>
  <si>
    <t>ABB motor spec sheet</t>
  </si>
  <si>
    <t>kw</t>
  </si>
  <si>
    <t>[kg]</t>
  </si>
  <si>
    <t>efficiency</t>
  </si>
  <si>
    <t>Pf</t>
  </si>
  <si>
    <t>Modular induction motors, type NMI</t>
  </si>
  <si>
    <t>3000 V, 50 Hz</t>
  </si>
  <si>
    <t>10000 V, 50 Hz</t>
  </si>
  <si>
    <t>1500 r/min = 4 poles</t>
  </si>
  <si>
    <t>1000 r/min = 6 poles  3000 V 50 Hz</t>
  </si>
  <si>
    <t xml:space="preserve">3000 r/min = 2 poles  </t>
  </si>
  <si>
    <t>1500 r/min = 4 pole</t>
  </si>
  <si>
    <t>co2 /wk</t>
  </si>
  <si>
    <t>x</t>
  </si>
  <si>
    <t>aproximate mass</t>
  </si>
  <si>
    <t>Generators / motors</t>
  </si>
  <si>
    <t>AMI 710</t>
  </si>
  <si>
    <t>GWP system</t>
  </si>
  <si>
    <t>gwp/kw</t>
  </si>
  <si>
    <t>manuf</t>
  </si>
  <si>
    <t>kva</t>
  </si>
  <si>
    <t>amg630</t>
  </si>
  <si>
    <t>amg450</t>
  </si>
  <si>
    <t xml:space="preserve">based on initial ABB </t>
  </si>
  <si>
    <t>B</t>
  </si>
  <si>
    <t>B-A</t>
  </si>
  <si>
    <t>C</t>
  </si>
  <si>
    <t>C-A</t>
  </si>
  <si>
    <t>kVA</t>
  </si>
  <si>
    <t>electrical steel</t>
  </si>
  <si>
    <t>set to match the mass</t>
  </si>
  <si>
    <t>insulaton</t>
  </si>
  <si>
    <t>resin</t>
  </si>
  <si>
    <t>solvents</t>
  </si>
  <si>
    <t>energy</t>
  </si>
  <si>
    <t>kwh</t>
  </si>
  <si>
    <t xml:space="preserve">heat </t>
  </si>
  <si>
    <t xml:space="preserve">in this method the generator is 2x </t>
  </si>
  <si>
    <t>from datasheets I know this is not going to be accurate</t>
  </si>
  <si>
    <t xml:space="preserve">needed are </t>
  </si>
  <si>
    <t>mw motors</t>
  </si>
  <si>
    <t>c</t>
  </si>
  <si>
    <t>a</t>
  </si>
  <si>
    <t>b</t>
  </si>
  <si>
    <t>extra</t>
  </si>
  <si>
    <t>hot rolled steel</t>
  </si>
  <si>
    <t>electrical sttel</t>
  </si>
  <si>
    <t>hot rolled steel bar</t>
  </si>
  <si>
    <t>insulation</t>
  </si>
  <si>
    <t>resn</t>
  </si>
  <si>
    <t>paper</t>
  </si>
  <si>
    <t>oil</t>
  </si>
  <si>
    <t>timber</t>
  </si>
  <si>
    <t>%</t>
  </si>
  <si>
    <t>1500 r/min = 4 poles  6000 V 50 Hz</t>
  </si>
  <si>
    <t>district heat</t>
  </si>
  <si>
    <t>chromium steel?</t>
  </si>
  <si>
    <t>energy grid</t>
  </si>
  <si>
    <t>avg chromium steel</t>
  </si>
  <si>
    <t>the rest is not included</t>
  </si>
  <si>
    <t>? Resin</t>
  </si>
  <si>
    <t>neglected</t>
  </si>
  <si>
    <t>resin mix</t>
  </si>
  <si>
    <t>epoxy mix</t>
  </si>
  <si>
    <t>? Insulation, glass fibre</t>
  </si>
  <si>
    <t>glass fibre</t>
  </si>
  <si>
    <t>glass fibres</t>
  </si>
  <si>
    <t>kg gearbox of NREL 5mw</t>
  </si>
  <si>
    <t>motor system mass is:</t>
  </si>
  <si>
    <t>say:</t>
  </si>
  <si>
    <t>m2:</t>
  </si>
  <si>
    <t>the mass of the drum is estimated according to winching system spec sheets</t>
  </si>
  <si>
    <t xml:space="preserve">it is modelled as </t>
  </si>
  <si>
    <t>low alloy steel + avg metal work.</t>
  </si>
  <si>
    <t>additional</t>
  </si>
  <si>
    <t>the total mass is estimated as:</t>
  </si>
  <si>
    <t>converter if used</t>
  </si>
  <si>
    <t>ABB has all kinds of EPDs for their products</t>
  </si>
  <si>
    <t xml:space="preserve">an 7MW/8.5MVA PCS6000 weighs aproximately </t>
  </si>
  <si>
    <t>output stil needs to be transformed to 33kv, max output is 3.4kv</t>
  </si>
  <si>
    <t>Back-to-back configuration, ACS880-87LC, 690 V</t>
  </si>
  <si>
    <t>6mw 7,9mva = 2x2800kg</t>
  </si>
  <si>
    <t>PCS6000_wind_turbine_converter_catalog_3BHS351272_RevC_EN.pdf</t>
  </si>
  <si>
    <t>acs604</t>
  </si>
  <si>
    <t>type</t>
  </si>
  <si>
    <t>gwp manu</t>
  </si>
  <si>
    <t>acs800</t>
  </si>
  <si>
    <t>plastics</t>
  </si>
  <si>
    <t>other</t>
  </si>
  <si>
    <t>cardboard</t>
  </si>
  <si>
    <t>https://new.abb.com/power-converters-inverters/wind-turbines</t>
  </si>
  <si>
    <t xml:space="preserve">simplified converter, </t>
  </si>
  <si>
    <t>from an abb epd:</t>
  </si>
  <si>
    <t>gwp =</t>
  </si>
  <si>
    <t>per kw</t>
  </si>
  <si>
    <t>is=</t>
  </si>
  <si>
    <t xml:space="preserve">co2 eq </t>
  </si>
  <si>
    <t>in CFRP</t>
  </si>
  <si>
    <t>Cf content</t>
  </si>
  <si>
    <t>avg aluminium</t>
  </si>
  <si>
    <t>metal working average for aluminium product manufacturing</t>
  </si>
  <si>
    <t>rer processing</t>
  </si>
  <si>
    <t>metal working average chromium steel product manufactruing</t>
  </si>
  <si>
    <t>rer production</t>
  </si>
  <si>
    <t>metal working average for steel product manufacturing</t>
  </si>
  <si>
    <t>EI</t>
  </si>
  <si>
    <t xml:space="preserve">wire drawing copper </t>
  </si>
  <si>
    <t>RoW processing</t>
  </si>
  <si>
    <t>wire drawing steel</t>
  </si>
  <si>
    <t>ReR processing</t>
  </si>
  <si>
    <t xml:space="preserve">do not use this, </t>
  </si>
  <si>
    <t>idemat spinning extruder polymer filaments 80-500dtex</t>
  </si>
  <si>
    <t xml:space="preserve">note </t>
  </si>
  <si>
    <t>average metal works include material losses</t>
  </si>
  <si>
    <t>as modelled in simapro</t>
  </si>
  <si>
    <t>(model changed since then)</t>
  </si>
  <si>
    <t>waste poly ethylene municipal incineration CH</t>
  </si>
  <si>
    <t>Idemat2021 PE (HDPE, High density Polyethylene)</t>
  </si>
  <si>
    <t>Idemat2021 PE (LDPE, Low density Polyethylene)</t>
  </si>
  <si>
    <t>Idemat2021 PVC (Polyvinylchloride, trade mix)</t>
  </si>
  <si>
    <t>Idemat2021 Cu-E</t>
  </si>
  <si>
    <t>Idemat2021 thermo forming, machine only</t>
  </si>
  <si>
    <t>Idemat2021 injection moulding, production site</t>
  </si>
  <si>
    <t>Idemat2021 blow moulding, production site</t>
  </si>
  <si>
    <t>RER process</t>
  </si>
  <si>
    <t>Idemat2021 PUR flex. moulded TDI</t>
  </si>
  <si>
    <t>Idemat2021 Glass fibre</t>
  </si>
  <si>
    <t>Idemat2021 Alkyd paint white, liquid, solvent based</t>
  </si>
  <si>
    <t>Idemat2021 SBR (Styrene butadiene rubber)</t>
  </si>
  <si>
    <t>Idemat2021 ABS (Acrylonitrile butadiene styrene)</t>
  </si>
  <si>
    <t>Idemat2021 Lithium-ion LiCoO2 laptop battery (180 Wh/kg)</t>
  </si>
  <si>
    <t>Idemat2021 Lithium-ion LiFePO4 battery  (118 Wh per kg)</t>
  </si>
  <si>
    <t>Idemat2021 Lithium Nickel Manganese Cobalt oxide, NMC 811 (200 Wh per kg)</t>
  </si>
  <si>
    <t>Idemat2021 Electricity General Industry</t>
  </si>
  <si>
    <t>Idemat2021 Electricity Industrial  Western Europe (ENTSO-E)</t>
  </si>
  <si>
    <t>Idemat2021 Electricity Industrial use Netherlands</t>
  </si>
  <si>
    <t>Idemat2021 Electricity Low Voltage, domestic use General</t>
  </si>
  <si>
    <t>Idemat2021  Industrial Heat, General</t>
  </si>
  <si>
    <t>Idemat2021 Truck+trailer 24 tons net (min weight/volume ratio 0,32 ton/m3) (tkm)</t>
  </si>
  <si>
    <t>Idemat2021 Truck+container, 28 tons net (min weight/volume ratio 0,41 ton/m3) (tkm)</t>
  </si>
  <si>
    <t>Idemat2021 Barge 1475 dwt</t>
  </si>
  <si>
    <t>Idemat2021 Bulk carrier Handysize dwt 16.383, 12.5 knots</t>
  </si>
  <si>
    <t>Idemat2021 Bulk carrier Panamax</t>
  </si>
  <si>
    <t>Idemat2021 Coaster Class A (coast US, North and Baltic sea)</t>
  </si>
  <si>
    <t>Idemat2021 Container feeder Handysize 1577 TEU 13  knots</t>
  </si>
  <si>
    <t>Idemat2021 Container ship (min weight/volume ratio 0,41 ton/m3)</t>
  </si>
  <si>
    <t>Idemat2021 Oil Supertanker</t>
  </si>
  <si>
    <t>Idemat2021 Steel  USA</t>
  </si>
  <si>
    <t>Idemat2021 Steel (21% sec = trade mix average)</t>
  </si>
  <si>
    <t>Idemat2021 Steel (secondary)</t>
  </si>
  <si>
    <t>Idemat2021 Steel beams, pipes, sheet (from trade mix 44% recycled)</t>
  </si>
  <si>
    <t>Idemat2021 GG15</t>
  </si>
  <si>
    <t>Idemat2021 GG35</t>
  </si>
  <si>
    <t>Idemat2021 C45</t>
  </si>
  <si>
    <t>Idemat2021 C55</t>
  </si>
  <si>
    <t>Idemat2021 Epoxies co-firing in electrical power plant</t>
  </si>
  <si>
    <t>Idemat2021 PE (Polyethylene) co-firing in electrical power plant</t>
  </si>
  <si>
    <t>Idemat2021 PU (Polyurethane) waste incineration with electricity</t>
  </si>
  <si>
    <t>Idemat2021 PVC (Polyvinylchloride) co-firing in electrical power plant</t>
  </si>
  <si>
    <t>Idemat2021 Flexible Polymer Foam, waste incineration with electricity</t>
  </si>
  <si>
    <t>Idemat2021 CFRP co-firing in electrical power plant</t>
  </si>
  <si>
    <t>Idemat2021 CFRP waste incineration with electricity</t>
  </si>
  <si>
    <t>Idemat2021 GFRP co-firing in electrical power plant</t>
  </si>
  <si>
    <t>Idemat2021 GFRP waste incineration with electricity</t>
  </si>
  <si>
    <t>Idemat2021 SBR (Styrene butadiene rubber) co-firing in electrical power plant</t>
  </si>
  <si>
    <t>Idemat2021 ABS (Acrylonitrile butadiene styrene) co-firing in electrical power plant</t>
  </si>
  <si>
    <t>Idemat2021 SBR (Styrene butadiene rubber) waste incineration with electricity</t>
  </si>
  <si>
    <t>scrap steel CH treatment of, inert material landfill</t>
  </si>
  <si>
    <t>cut off</t>
  </si>
  <si>
    <t>scrap steel CH treatment of, municipal incineration</t>
  </si>
  <si>
    <t>municipal solid waste, treatment of, DK cut off</t>
  </si>
  <si>
    <t xml:space="preserve">municipal solid waste CH sanitary land fill </t>
  </si>
  <si>
    <t>waste aluminium, treatment of, CH, sanitary landfill</t>
  </si>
  <si>
    <t>waste polyethylene sanitary landfill, CH</t>
  </si>
  <si>
    <t>waste PVC CH treatment of, municipal incineration</t>
  </si>
  <si>
    <t>waste PVC CH treatment of, sanitary landfill</t>
  </si>
  <si>
    <t>just the data for liquid epoxy</t>
  </si>
  <si>
    <t>scrap copper, RoW, treatment of, municipal incineration</t>
  </si>
  <si>
    <t>Test</t>
  </si>
  <si>
    <t xml:space="preserve">market for Waste reinforced concrete. CH </t>
  </si>
  <si>
    <t>^^ above is a product flow not a waste flow as the others</t>
  </si>
  <si>
    <t>Incineration</t>
  </si>
  <si>
    <t>Steel and iron</t>
  </si>
  <si>
    <t>Allu</t>
  </si>
  <si>
    <t>Lubricants and other fluids</t>
  </si>
  <si>
    <t>Others</t>
  </si>
  <si>
    <t>battery</t>
  </si>
  <si>
    <t>transport of consumables</t>
  </si>
  <si>
    <t>glue</t>
  </si>
  <si>
    <t>in GFRP</t>
  </si>
  <si>
    <t>Gf content</t>
  </si>
  <si>
    <t>scrap %</t>
  </si>
  <si>
    <t>Epoxy</t>
  </si>
  <si>
    <t>Edward</t>
  </si>
  <si>
    <t>cf content</t>
  </si>
  <si>
    <t>wt % hardener</t>
  </si>
  <si>
    <t>GFRP composition calculation</t>
  </si>
  <si>
    <t>GFRP composition is send to the impacts files to determine a singel impact for the presented CFRP product based on its composition</t>
  </si>
  <si>
    <t>This composition does not return in the large tables</t>
  </si>
  <si>
    <t>manufacturing</t>
  </si>
  <si>
    <t xml:space="preserve">GFRP  </t>
  </si>
  <si>
    <t>Glass fibers</t>
  </si>
  <si>
    <t>of GF+EP+hardener mixture</t>
  </si>
  <si>
    <t>epoxy resin</t>
  </si>
  <si>
    <t>of EP + hardener mixture</t>
  </si>
  <si>
    <t>hardener</t>
  </si>
  <si>
    <t>of total</t>
  </si>
  <si>
    <t>kg per kg GFRP in use</t>
  </si>
  <si>
    <t>Idemat2021 GS-45.3</t>
  </si>
  <si>
    <t>Idemat2021 GS-70</t>
  </si>
  <si>
    <t>Idemat2021 GS-X40CrNiSi 25 12</t>
  </si>
  <si>
    <t>Idemat2021 GGG-NiCr</t>
  </si>
  <si>
    <t>Idemat2021 GGG40</t>
  </si>
  <si>
    <t>Idemat2021 Concrete</t>
  </si>
  <si>
    <t>transport, freight, lorry &gt; 32mt, euro5, RER market for,</t>
  </si>
  <si>
    <t>Transport, freight, lorry 16-32 metric ton, euro5 {RER}| market for transport, freight, lorry 16-32 metric ton, EURO5 | Cut-off, S</t>
  </si>
  <si>
    <t>Transport, freight, lorry 3.5-7.5 metric ton, euro5 {RER}| market for transport, freight, lorry 3.5-7.5 metric ton, EURO5 | Cut-off, S</t>
  </si>
  <si>
    <t>Transport, freight, lorry 7.5-16 metric ton, euro5 {RER}| market for transport, freight, lorry 7.5-16 metric ton, EURO5 | Cut-off, S</t>
  </si>
  <si>
    <t xml:space="preserve">transport freight, ferry, GLO market for </t>
  </si>
  <si>
    <t>RER not available, GLO is only option</t>
  </si>
  <si>
    <t xml:space="preserve">transport freight, container ship, GLO market for </t>
  </si>
  <si>
    <t>machine operation 74,57kw, generator , diesel, GLO market</t>
  </si>
  <si>
    <t>low load factor</t>
  </si>
  <si>
    <t>steady state</t>
  </si>
  <si>
    <t>district or industrial heat, other than natural gas, RER, market group</t>
  </si>
  <si>
    <t>electricity, medium voltage, europe witouth CH, market group</t>
  </si>
  <si>
    <t>high voltage electricity production from wind DK</t>
  </si>
  <si>
    <t>&lt;1mw, onshore</t>
  </si>
  <si>
    <t>&gt;3MW onshore</t>
  </si>
  <si>
    <t>1-3mw onshore</t>
  </si>
  <si>
    <t>1-3mw offshore</t>
  </si>
  <si>
    <t>epoxy resin mix</t>
  </si>
  <si>
    <t>35MPA</t>
  </si>
  <si>
    <t>transport of replacements, servicing and EOL are used below</t>
  </si>
  <si>
    <t>texas report:</t>
  </si>
  <si>
    <t>l diesel / h</t>
  </si>
  <si>
    <t>EI:</t>
  </si>
  <si>
    <t>l diesel/m3</t>
  </si>
  <si>
    <t>m3/hour digging?</t>
  </si>
  <si>
    <t>Cable calculations</t>
  </si>
  <si>
    <t>currently set at chromium steel, this may be okay. But check</t>
  </si>
  <si>
    <t>would like something like</t>
  </si>
  <si>
    <t>Through simapro</t>
  </si>
  <si>
    <t>weaving of syntethic fibre GLO market, EI dataset</t>
  </si>
  <si>
    <t>steel floater</t>
  </si>
  <si>
    <t>transport for offshore</t>
  </si>
  <si>
    <t>ferry</t>
  </si>
  <si>
    <t>large truck</t>
  </si>
  <si>
    <t>km</t>
  </si>
  <si>
    <t>paint?</t>
  </si>
  <si>
    <t>steel chain</t>
  </si>
  <si>
    <t>kg for a 2mw AP4</t>
  </si>
  <si>
    <t>say</t>
  </si>
  <si>
    <t>say the 5mw is</t>
  </si>
  <si>
    <t>x that</t>
  </si>
  <si>
    <t>random welding</t>
  </si>
  <si>
    <t>eol ship</t>
  </si>
  <si>
    <t>steel chains</t>
  </si>
  <si>
    <t xml:space="preserve">mass per meter </t>
  </si>
  <si>
    <t>kg/m</t>
  </si>
  <si>
    <t>nr chains</t>
  </si>
  <si>
    <t>material??</t>
  </si>
  <si>
    <t>start with low alloy and avg metal work</t>
  </si>
  <si>
    <t>low alloy steel?</t>
  </si>
  <si>
    <t>avg metal work?</t>
  </si>
  <si>
    <t>case study for offshore</t>
  </si>
  <si>
    <t>total impacts of this simplified case:</t>
  </si>
  <si>
    <t>original foundaton</t>
  </si>
  <si>
    <t>old cumulative values</t>
  </si>
  <si>
    <t>new cumulative impacts</t>
  </si>
  <si>
    <t>new relative values, same Cf etc</t>
  </si>
  <si>
    <t xml:space="preserve">total lifetime energy output </t>
  </si>
  <si>
    <t>oricinal  impacts were</t>
  </si>
  <si>
    <t>Note, transport of all other systems is not changed in this. everything is modelled for onshore, except for the foundation.</t>
  </si>
  <si>
    <t>x rotor diam</t>
  </si>
  <si>
    <t>rotor diameter</t>
  </si>
  <si>
    <t>Tower</t>
  </si>
  <si>
    <t>tower</t>
  </si>
  <si>
    <t>mass tower</t>
  </si>
  <si>
    <t>rotor</t>
  </si>
  <si>
    <t>Blades</t>
  </si>
  <si>
    <t>hub</t>
  </si>
  <si>
    <t>spinner</t>
  </si>
  <si>
    <t>pitch</t>
  </si>
  <si>
    <t>blades</t>
  </si>
  <si>
    <t>steel low alloy?</t>
  </si>
  <si>
    <t>nacelle</t>
  </si>
  <si>
    <t>cover</t>
  </si>
  <si>
    <t>yaw</t>
  </si>
  <si>
    <t>Nacelle</t>
  </si>
  <si>
    <t>Nacelle continiued</t>
  </si>
  <si>
    <t>base plate</t>
  </si>
  <si>
    <t>shafts</t>
  </si>
  <si>
    <t>shaft</t>
  </si>
  <si>
    <t>bed plate</t>
  </si>
  <si>
    <t>brake</t>
  </si>
  <si>
    <t>HVAC</t>
  </si>
  <si>
    <t>electronics for control</t>
  </si>
  <si>
    <t>Materials????</t>
  </si>
  <si>
    <t>Brake</t>
  </si>
  <si>
    <t>width and length</t>
  </si>
  <si>
    <t>foundation depth</t>
  </si>
  <si>
    <t>for offshore the tower mass is</t>
  </si>
  <si>
    <t>in the python program</t>
  </si>
  <si>
    <t>tower mass for onshore?:</t>
  </si>
  <si>
    <t>wt% data from stefans early scaling estimates, not reviewed yet</t>
  </si>
  <si>
    <t>quick offshore sensitivity</t>
  </si>
  <si>
    <t>per unit</t>
  </si>
  <si>
    <t>HVAC stands for: heating, ventilation and airconditioning</t>
  </si>
  <si>
    <t>spinning</t>
  </si>
  <si>
    <t>weaving</t>
  </si>
  <si>
    <t>Data from 2013 spec sheet about armored vests</t>
  </si>
  <si>
    <t>Biobased dyneema statement of 5kg CO2/kg lower</t>
  </si>
  <si>
    <t>comunication with Rigo bosman</t>
  </si>
  <si>
    <t>OLD</t>
  </si>
  <si>
    <t xml:space="preserve">weaving is not perfect, </t>
  </si>
  <si>
    <t>TFE</t>
  </si>
  <si>
    <t>tetrafluoroethylene, GLO market</t>
  </si>
  <si>
    <t>representing Teflon</t>
  </si>
  <si>
    <t>waste plastics mix municipal incineration CH</t>
  </si>
  <si>
    <t>waste plastic mix sanitary landfill, CH</t>
  </si>
  <si>
    <t>this is 2x the surface of the deck</t>
  </si>
  <si>
    <t>assumption</t>
  </si>
  <si>
    <t>sum of the 2 processes below</t>
  </si>
  <si>
    <t xml:space="preserve">values based on </t>
  </si>
  <si>
    <t>ABB EPD</t>
  </si>
  <si>
    <t>ACS800</t>
  </si>
  <si>
    <t>The mass of the required converter is aproximately</t>
  </si>
  <si>
    <t>kg per converter</t>
  </si>
  <si>
    <t>converters</t>
  </si>
  <si>
    <t>conversion to mj</t>
  </si>
  <si>
    <t>galvanized</t>
  </si>
  <si>
    <t>steel hot-dip galvanised coil/EU</t>
  </si>
  <si>
    <t>galvanised</t>
  </si>
  <si>
    <t>Galvanized</t>
  </si>
  <si>
    <t>electrical</t>
  </si>
  <si>
    <t>Glass fibre, RER, production</t>
  </si>
  <si>
    <t>Glass fibre</t>
  </si>
  <si>
    <t>waste glass, CH, treatment of, municipal incineration</t>
  </si>
  <si>
    <t>waste glass, CH treatment of, inert material landfill</t>
  </si>
  <si>
    <t>Epoxy resin liquid RER market for</t>
  </si>
  <si>
    <t>carbon fibre reinforced plastic , injection moulded GLO process</t>
  </si>
  <si>
    <t>carbon steel</t>
  </si>
  <si>
    <t>mg-silicon?</t>
  </si>
  <si>
    <t>if it is significant, then it is 3.6% of the steel</t>
  </si>
  <si>
    <t>EUCIA carbon fibre through simapro</t>
  </si>
  <si>
    <t>Glassfibre mats of EUCIA through simapro</t>
  </si>
  <si>
    <t>EUCIA through sima</t>
  </si>
  <si>
    <t>Idemat</t>
  </si>
  <si>
    <t xml:space="preserve">EUCIA  </t>
  </si>
  <si>
    <t>not CML</t>
  </si>
  <si>
    <t>Zinc coating, batch process, for final products. To represent spraying</t>
  </si>
  <si>
    <t>worldsteel, sima</t>
  </si>
  <si>
    <t>Worldsteel, sima</t>
  </si>
  <si>
    <t>steel rebar, EU</t>
  </si>
  <si>
    <t>silicon, metallurgical grade, GLO market</t>
  </si>
  <si>
    <t xml:space="preserve">silica </t>
  </si>
  <si>
    <t>ventilation of dwellings, links to some interesting HVAC options?</t>
  </si>
  <si>
    <t>blower and heat exchange unit, central 600-1200m3/h, RER producction</t>
  </si>
  <si>
    <t>mass of the component = 143 kg</t>
  </si>
  <si>
    <t>Blower and heat exchange unit, storkair G 90, RER production</t>
  </si>
  <si>
    <t>mass of the component=</t>
  </si>
  <si>
    <t>KWL 250</t>
  </si>
  <si>
    <t>..</t>
  </si>
  <si>
    <t>…</t>
  </si>
  <si>
    <t>capacitors</t>
  </si>
  <si>
    <t>capacitor, tantalum, for through hole mounting</t>
  </si>
  <si>
    <t>capacitor for surface mounting</t>
  </si>
  <si>
    <t>capacitor film type, through hole</t>
  </si>
  <si>
    <t>GLO moarket, capacitor, auxilliaries and energy use, avg, no specific type</t>
  </si>
  <si>
    <t>RER Production</t>
  </si>
  <si>
    <t>shipping container</t>
  </si>
  <si>
    <t>Shipping container 40ft</t>
  </si>
  <si>
    <t>per item</t>
  </si>
  <si>
    <t>Operation and Maintenance</t>
  </si>
  <si>
    <t>End Of Life</t>
  </si>
  <si>
    <t>Materials and Manufacturing</t>
  </si>
  <si>
    <t xml:space="preserve">AWE </t>
  </si>
  <si>
    <t>HAWT</t>
  </si>
  <si>
    <t>Full deck</t>
  </si>
  <si>
    <t>Catapult</t>
  </si>
  <si>
    <t xml:space="preserve">Generator </t>
  </si>
  <si>
    <t>Foundations</t>
  </si>
  <si>
    <t>Cables</t>
  </si>
  <si>
    <t>If the tether was 3x as polutive(as Dyneema sugests)</t>
  </si>
  <si>
    <t>energy over lifetime</t>
  </si>
  <si>
    <t>masses</t>
  </si>
  <si>
    <t>initial system</t>
  </si>
  <si>
    <t>Generator</t>
  </si>
  <si>
    <t>Computer</t>
  </si>
  <si>
    <t>Cable inter</t>
  </si>
  <si>
    <t>Cable export</t>
  </si>
  <si>
    <t>KG</t>
  </si>
  <si>
    <t>Tether 2</t>
  </si>
  <si>
    <t>Tether 1</t>
  </si>
  <si>
    <t>Bateries</t>
  </si>
  <si>
    <t>Pitch</t>
  </si>
  <si>
    <t>Hub</t>
  </si>
  <si>
    <t>Spinner</t>
  </si>
  <si>
    <t>Cover</t>
  </si>
  <si>
    <t>Shaft</t>
  </si>
  <si>
    <t>Bedplate</t>
  </si>
  <si>
    <t>Initial</t>
  </si>
  <si>
    <t>more?</t>
  </si>
  <si>
    <t>Aircraft/rotor</t>
  </si>
  <si>
    <t>Tower/tether</t>
  </si>
  <si>
    <t>Groundstation/Nacelle</t>
  </si>
  <si>
    <t>Land/Launch</t>
  </si>
  <si>
    <t>AWE</t>
  </si>
  <si>
    <t>Other</t>
  </si>
  <si>
    <t>GWP tot</t>
  </si>
  <si>
    <t>CED tot</t>
  </si>
  <si>
    <t>GWP/kg</t>
  </si>
  <si>
    <t>CED/kg</t>
  </si>
  <si>
    <t>questions to ask</t>
  </si>
  <si>
    <t>system lifetimes</t>
  </si>
  <si>
    <t>the Cf of the systems</t>
  </si>
  <si>
    <t>Masses</t>
  </si>
  <si>
    <t>Tether/Tower</t>
  </si>
  <si>
    <t>Aircraft/Rotor</t>
  </si>
  <si>
    <t>KG/MWh</t>
  </si>
  <si>
    <t>HAWT impacts</t>
  </si>
  <si>
    <t>AWE impacts</t>
  </si>
  <si>
    <t>computers / drives / electronics</t>
  </si>
  <si>
    <t>Scaling for the drum is a difficult element,</t>
  </si>
  <si>
    <t xml:space="preserve">The rotating mass of the drum needs to be as light as possible, </t>
  </si>
  <si>
    <t>But the diameter as large as possible for the tether life</t>
  </si>
  <si>
    <t>It is assumed that the winding section of the tether needs to be on the first layer of the drum at all times</t>
  </si>
  <si>
    <t>Assumptions</t>
  </si>
  <si>
    <t>D drum / D tether =</t>
  </si>
  <si>
    <t>D drum =</t>
  </si>
  <si>
    <t xml:space="preserve">mm </t>
  </si>
  <si>
    <t>the diameter of the base of the drum</t>
  </si>
  <si>
    <t>Nr of windings of winding section tether:</t>
  </si>
  <si>
    <t>minimal width of tether lines</t>
  </si>
  <si>
    <t xml:space="preserve">The mass of a </t>
  </si>
  <si>
    <t>winch  example =</t>
  </si>
  <si>
    <t>This is for a system with a 150te capacity at botom layer</t>
  </si>
  <si>
    <t>The max pulling force requces with the diameter of the drum.</t>
  </si>
  <si>
    <t>The max torq of this system is the capacity * core</t>
  </si>
  <si>
    <t>ton*metr</t>
  </si>
  <si>
    <t>KN.m</t>
  </si>
  <si>
    <t>at D drum =</t>
  </si>
  <si>
    <t>max capacity is</t>
  </si>
  <si>
    <t>KN</t>
  </si>
  <si>
    <t>ton</t>
  </si>
  <si>
    <t>Which is much much lower than is needed for the system</t>
  </si>
  <si>
    <t>Tether section 1 wind</t>
  </si>
  <si>
    <t>Tether section 2 air</t>
  </si>
  <si>
    <t>section 1 wind</t>
  </si>
  <si>
    <t>section2 air</t>
  </si>
  <si>
    <t>regardless</t>
  </si>
  <si>
    <t xml:space="preserve">estimate </t>
  </si>
  <si>
    <t xml:space="preserve">x the mass for the earlier mentioned system </t>
  </si>
  <si>
    <t>no better comparible system was found</t>
  </si>
  <si>
    <t>N</t>
  </si>
  <si>
    <t>Of fibre material alone</t>
  </si>
  <si>
    <t>of Tether</t>
  </si>
  <si>
    <t>This does not include inefficiencies of roping</t>
  </si>
  <si>
    <t>teflon</t>
  </si>
  <si>
    <t>HMPE</t>
  </si>
  <si>
    <t>Density coating</t>
  </si>
  <si>
    <t>kg/m hmpe</t>
  </si>
  <si>
    <t>kg/m coating</t>
  </si>
  <si>
    <t>crossection of tether</t>
  </si>
  <si>
    <t>crossecton hmpe</t>
  </si>
  <si>
    <t>cross section coating</t>
  </si>
  <si>
    <t>Tether teflon</t>
  </si>
  <si>
    <t>Tether Teflon</t>
  </si>
  <si>
    <t>file:///C:/Users/Luuk%20van%20Hagen/Downloads/materials-10-01285.pdf</t>
  </si>
  <si>
    <t>fibre wt content in GFRP for wind turbines is typically upto 75wt%</t>
  </si>
  <si>
    <t>electronics for controll</t>
  </si>
  <si>
    <t>cylinders</t>
  </si>
  <si>
    <t>accumulator</t>
  </si>
  <si>
    <t>gass</t>
  </si>
  <si>
    <t>avg</t>
  </si>
  <si>
    <t>nitrogen</t>
  </si>
  <si>
    <t>Hydro</t>
  </si>
  <si>
    <t>hydraulic fluid</t>
  </si>
  <si>
    <t>Nitrogen gas</t>
  </si>
  <si>
    <t>Hydraulic generator, at drum</t>
  </si>
  <si>
    <t xml:space="preserve">mass of this system </t>
  </si>
  <si>
    <t>use chromium steel</t>
  </si>
  <si>
    <t>or carbon steel if found</t>
  </si>
  <si>
    <t>and an avg work</t>
  </si>
  <si>
    <t>Hydraulic motor at grid side</t>
  </si>
  <si>
    <t>mass of this system</t>
  </si>
  <si>
    <t>The cylinders</t>
  </si>
  <si>
    <t>generator at drum</t>
  </si>
  <si>
    <t>motor at grid</t>
  </si>
  <si>
    <t>Total hydro mass</t>
  </si>
  <si>
    <t>excl fluid and gass</t>
  </si>
  <si>
    <t>Hydro tubes</t>
  </si>
  <si>
    <t>wire</t>
  </si>
  <si>
    <t>rubber</t>
  </si>
  <si>
    <t xml:space="preserve">mass </t>
  </si>
  <si>
    <t xml:space="preserve">for a </t>
  </si>
  <si>
    <t>bar</t>
  </si>
  <si>
    <t xml:space="preserve">inch </t>
  </si>
  <si>
    <t>tube</t>
  </si>
  <si>
    <t>https://www.parker.com/parkerimages/Parker.com/ParkerStore2014/Sweden/Additional%20Images/CAT4400_Hydraulic_Hoses_Fittings_Equipment_2016-06.pdf</t>
  </si>
  <si>
    <t>length of tubing</t>
  </si>
  <si>
    <t>plastic pipe</t>
  </si>
  <si>
    <t>plastic pipe extr</t>
  </si>
  <si>
    <t>Based on the other Excel data sheet</t>
  </si>
  <si>
    <t>around 200 bar max</t>
  </si>
  <si>
    <t>powder coat steel</t>
  </si>
  <si>
    <t>powder coating 1 m2 of steel, for 2mm thick plate steel(heating) 80um thick</t>
  </si>
  <si>
    <t>nitrogen gass</t>
  </si>
  <si>
    <t>idemat notrogen gas at 1bar 0deg C. as 1,26kg of liquid nitrogen from EI</t>
  </si>
  <si>
    <t>density of lubrication oil</t>
  </si>
  <si>
    <t>just an assumption</t>
  </si>
  <si>
    <t>synthetic rubber</t>
  </si>
  <si>
    <t>synthethic rubber, GLO market</t>
  </si>
  <si>
    <t xml:space="preserve">waste rubber unspecified ROW treatment of, municipal incineration </t>
  </si>
  <si>
    <t>weaving losses</t>
  </si>
  <si>
    <t>cable excavator and wrecking ball</t>
  </si>
  <si>
    <t>share</t>
  </si>
  <si>
    <t>m3/hour</t>
  </si>
  <si>
    <t>diesel/hour</t>
  </si>
  <si>
    <t>hydraulic excavator and tongs</t>
  </si>
  <si>
    <t>These values are stated by an EPD on carbon steel, vrom environdec</t>
  </si>
  <si>
    <t>downloaded as</t>
  </si>
  <si>
    <t>concrete disassembly epd carbon steel</t>
  </si>
  <si>
    <t>mt</t>
  </si>
  <si>
    <t>not included</t>
  </si>
  <si>
    <t xml:space="preserve">Consumables </t>
  </si>
  <si>
    <t>vacuum film</t>
  </si>
  <si>
    <t>Peel ply</t>
  </si>
  <si>
    <t>Breather fabric</t>
  </si>
  <si>
    <t>flow media</t>
  </si>
  <si>
    <t>Release film</t>
  </si>
  <si>
    <t>Sealand tape</t>
  </si>
  <si>
    <t>VAP membrame</t>
  </si>
  <si>
    <t>Resin tube</t>
  </si>
  <si>
    <t>Mould release</t>
  </si>
  <si>
    <t>gsm</t>
  </si>
  <si>
    <t>g/m</t>
  </si>
  <si>
    <t>waste %</t>
  </si>
  <si>
    <t>m?</t>
  </si>
  <si>
    <t>Grams used of the material</t>
  </si>
  <si>
    <t>material</t>
  </si>
  <si>
    <t>incinerate</t>
  </si>
  <si>
    <t>Landfil</t>
  </si>
  <si>
    <t>waste textiles soiled ch treatment of</t>
  </si>
  <si>
    <t>textile, non-woven polyester, as used by fibre glast [youtbe]</t>
  </si>
  <si>
    <t>just use LDPE packing film</t>
  </si>
  <si>
    <t>just use PE waste</t>
  </si>
  <si>
    <t>just use LDPE, granulates+ plastic pipe extr</t>
  </si>
  <si>
    <t>There are numerous options available,</t>
  </si>
  <si>
    <t>The impacts of these consumables are expectes neglicable, Thus they are simplified</t>
  </si>
  <si>
    <t>release film can be nylon, LDPE, HDPE, any plastic realy. The one used is LDPE packing film.</t>
  </si>
  <si>
    <t>manufacturing losses CFRP</t>
  </si>
  <si>
    <t>This is a kind of a mash net. Use the same as the breather fabric?</t>
  </si>
  <si>
    <t>just use the breather fabric, it is in reality a tightly woven polyester</t>
  </si>
  <si>
    <t>consumables included are treated in additional page 2</t>
  </si>
  <si>
    <t>based on mix of materias</t>
  </si>
  <si>
    <t>^^ but for CH alone</t>
  </si>
  <si>
    <t>CFRP coatign</t>
  </si>
  <si>
    <t>coatign</t>
  </si>
  <si>
    <t>value used by Siemens in EPD siemens</t>
  </si>
  <si>
    <t>the 5% is repaired</t>
  </si>
  <si>
    <t>including the losses</t>
  </si>
  <si>
    <t>average aluminium</t>
  </si>
  <si>
    <t>Average aluminium</t>
  </si>
  <si>
    <t>AVG aluminium</t>
  </si>
  <si>
    <t>avg titanium</t>
  </si>
  <si>
    <t>very rough estimate for this, this is the data set for ALU, changed for Titanium</t>
  </si>
  <si>
    <t>~21% material waste</t>
  </si>
  <si>
    <t>AVG titanium</t>
  </si>
  <si>
    <t>~22,7% material waste</t>
  </si>
  <si>
    <t>No longer a circle</t>
  </si>
  <si>
    <t>Width</t>
  </si>
  <si>
    <t>plate width</t>
  </si>
  <si>
    <t>Slew bearing</t>
  </si>
  <si>
    <t>Pedestral</t>
  </si>
  <si>
    <t>chromium steel</t>
  </si>
  <si>
    <t>Motor and center</t>
  </si>
  <si>
    <t>slew bearing</t>
  </si>
  <si>
    <t>powder coat</t>
  </si>
  <si>
    <t>Nitrogen</t>
  </si>
  <si>
    <t>Rubber</t>
  </si>
  <si>
    <t>tongs</t>
  </si>
  <si>
    <t>Concrete removal</t>
  </si>
  <si>
    <t>wrecking</t>
  </si>
  <si>
    <t>liter of diesel per installed m3 concrete</t>
  </si>
  <si>
    <t>L diesel/m3</t>
  </si>
  <si>
    <t>GWP/L diesel</t>
  </si>
  <si>
    <t>GPW</t>
  </si>
  <si>
    <t>diesel burned</t>
  </si>
  <si>
    <t xml:space="preserve">Diesel burned in building machine </t>
  </si>
  <si>
    <t>Diesel per L</t>
  </si>
  <si>
    <t>per L</t>
  </si>
  <si>
    <t>Stefan calculated that 1 liter of diesel has :</t>
  </si>
  <si>
    <t>MJ of energy</t>
  </si>
  <si>
    <t>Diesel per Liter</t>
  </si>
  <si>
    <t>crane and generator</t>
  </si>
  <si>
    <t>kg co2 per h =</t>
  </si>
  <si>
    <t>Liter diesel per hour</t>
  </si>
  <si>
    <t>This equals</t>
  </si>
  <si>
    <t>MJ per hour</t>
  </si>
  <si>
    <t>mj/kg</t>
  </si>
  <si>
    <t>kg/L</t>
  </si>
  <si>
    <t>MJ/L</t>
  </si>
  <si>
    <t>The Liebherr A 918 has a consumptions of 7,06L per Hour</t>
  </si>
  <si>
    <t>This equals roughly</t>
  </si>
  <si>
    <t>GWP per hour</t>
  </si>
  <si>
    <t>equalling rougly</t>
  </si>
  <si>
    <t>m3 of digging per hour</t>
  </si>
  <si>
    <t>(with GWP per liter)</t>
  </si>
  <si>
    <t>(with hydroulic digger emittions)</t>
  </si>
  <si>
    <t>https://www.liebherr.com/en/int/specials/fuel-savings-calculator/tool/calculator.html#page=3&amp;catid=1&amp;id=Mobil-918-S&amp;v1=&amp;v2=&amp;v3=&amp;ca=l&amp;cu=EUR</t>
  </si>
  <si>
    <t>Diesel per liter</t>
  </si>
  <si>
    <t xml:space="preserve">Assumed devided into 4 generators </t>
  </si>
  <si>
    <t>each 1/4th of the power</t>
  </si>
  <si>
    <t>kva total</t>
  </si>
  <si>
    <t>each</t>
  </si>
  <si>
    <t>say to use modular induction motors?</t>
  </si>
  <si>
    <t>(likely not the case)</t>
  </si>
  <si>
    <t>The RPM of the hydroulic link to the generators is aproximately 1500RPPM</t>
  </si>
  <si>
    <t>Thus heavy low speed generators are not needed.</t>
  </si>
  <si>
    <t>rpm</t>
  </si>
  <si>
    <t>V</t>
  </si>
  <si>
    <t>NMI 400L4L</t>
  </si>
  <si>
    <t>torque</t>
  </si>
  <si>
    <t>power factor</t>
  </si>
  <si>
    <t>NMI 450L6L</t>
  </si>
  <si>
    <t>m3/h avg flow</t>
  </si>
  <si>
    <t>Blower and heat exchange unit, central, 600-1200m3/h, glo market</t>
  </si>
  <si>
    <t>ALL OF THESE ARE NOT TOO PERFECT&gt;&gt;&gt; Probably including ventilation ducts</t>
  </si>
  <si>
    <t>operating hight</t>
  </si>
  <si>
    <t>degree</t>
  </si>
  <si>
    <t>kn</t>
  </si>
  <si>
    <t>wing span</t>
  </si>
  <si>
    <t>asp.ratio</t>
  </si>
  <si>
    <t>wing sp. Formula</t>
  </si>
  <si>
    <t>edward</t>
  </si>
  <si>
    <t>5mw</t>
  </si>
  <si>
    <t>road map</t>
  </si>
  <si>
    <t>ap4</t>
  </si>
  <si>
    <t>ap3</t>
  </si>
  <si>
    <t>ap2</t>
  </si>
  <si>
    <t>up3upscale</t>
  </si>
  <si>
    <t>for an 1mw</t>
  </si>
  <si>
    <t>documented</t>
  </si>
  <si>
    <t>calculated</t>
  </si>
  <si>
    <t>wind span</t>
  </si>
  <si>
    <t>test 5mw</t>
  </si>
  <si>
    <t>cast iron losses</t>
  </si>
  <si>
    <t>a LCA thesis paper on Geocities.ws provided a super detailed material content of a similar system</t>
  </si>
  <si>
    <t>Diameter top section</t>
  </si>
  <si>
    <t>mm, given</t>
  </si>
  <si>
    <t xml:space="preserve">diameter botom hmpe </t>
  </si>
  <si>
    <t>Diameter botom tether</t>
  </si>
  <si>
    <t>area top section</t>
  </si>
  <si>
    <t>for fraction of coating</t>
  </si>
  <si>
    <t>total installed</t>
  </si>
  <si>
    <t>meter (used to be x wingspan)</t>
  </si>
  <si>
    <t>mass input by Ampyx</t>
  </si>
  <si>
    <t>structural</t>
  </si>
  <si>
    <t>values are NOT for the accurate aircraft mass</t>
  </si>
  <si>
    <t>motors/drums etc</t>
  </si>
  <si>
    <t>sensors</t>
  </si>
  <si>
    <t>equal</t>
  </si>
  <si>
    <t>of mass</t>
  </si>
  <si>
    <t>Shifter</t>
  </si>
  <si>
    <t>damper(metal and oil)</t>
  </si>
  <si>
    <t>slider</t>
  </si>
  <si>
    <t>motors+steel</t>
  </si>
  <si>
    <t>lineair scaled with mass</t>
  </si>
  <si>
    <t>rope and sheaves</t>
  </si>
  <si>
    <t>Section steel</t>
  </si>
  <si>
    <t>ALU</t>
  </si>
  <si>
    <t>rope</t>
  </si>
  <si>
    <t>sheaves</t>
  </si>
  <si>
    <t>heads</t>
  </si>
  <si>
    <t>high strength steel</t>
  </si>
  <si>
    <t>motors</t>
  </si>
  <si>
    <t>these small motors</t>
  </si>
  <si>
    <t>elma</t>
  </si>
  <si>
    <t>EM4-IE4 280S2 75kW 400/690V 50Hz B35</t>
  </si>
  <si>
    <t>EM4-IE4 315S6 75kW 400/690V 50Hz B35</t>
  </si>
  <si>
    <t>EM4-IE4 355M6 160kW 400/690V 50Hz B3</t>
  </si>
  <si>
    <t>EM4-IE4 315L2 160kW 400/690V 50Hz B3</t>
  </si>
  <si>
    <t>2*160kw</t>
  </si>
  <si>
    <t>2*30kw</t>
  </si>
  <si>
    <t>same as accumulator?</t>
  </si>
  <si>
    <t>guide to off shore wind says: 90% is steel plate stuff, 10% of mass is forged flanges</t>
  </si>
  <si>
    <t>These are from interpolation in another file,</t>
  </si>
  <si>
    <t>m high</t>
  </si>
  <si>
    <t>welds over hight</t>
  </si>
  <si>
    <t>m avg diameter</t>
  </si>
  <si>
    <t>m steel plates</t>
  </si>
  <si>
    <t>of deck</t>
  </si>
  <si>
    <t>12meter long</t>
  </si>
  <si>
    <t>https://fractory.com/sheet-metal/</t>
  </si>
  <si>
    <t>Mass of the frame</t>
  </si>
  <si>
    <t>section beams+avg</t>
  </si>
  <si>
    <t>1 cylinder of 75l</t>
  </si>
  <si>
    <t>frames</t>
  </si>
  <si>
    <t>one frame for 12 is:</t>
  </si>
  <si>
    <t>accu frame</t>
  </si>
  <si>
    <t>bottle frames</t>
  </si>
  <si>
    <t>unspecified sizes</t>
  </si>
  <si>
    <t>transport freight, lorry unspecified RER transport all sizes, generic market for euro 5</t>
  </si>
  <si>
    <t>transport freight, lorry unspecified RER transport all sizes, generic market for euro 3</t>
  </si>
  <si>
    <t>transport freight, lorry unspecified RER transport all sizes, generic market for euro 4</t>
  </si>
  <si>
    <t>tkm</t>
  </si>
  <si>
    <t>25MPA ROW production 1 M3</t>
  </si>
  <si>
    <t>35MPA ROW production 1 M3</t>
  </si>
  <si>
    <t>40MPA ROW production 1 M3</t>
  </si>
  <si>
    <t>30MPA ROW production 1 M3</t>
  </si>
  <si>
    <t>NOTE, not a capacitor on its self!</t>
  </si>
  <si>
    <t>scalled with the factor 0,3</t>
  </si>
  <si>
    <t>not scalled</t>
  </si>
  <si>
    <t>kg for the 20mt deck</t>
  </si>
  <si>
    <t>fraction</t>
  </si>
  <si>
    <t>section steel</t>
  </si>
  <si>
    <t>average metal work</t>
  </si>
  <si>
    <t>electric motor</t>
  </si>
  <si>
    <t>Structural steel</t>
  </si>
  <si>
    <t>bearings</t>
  </si>
  <si>
    <t>steel sections</t>
  </si>
  <si>
    <t>gear rings</t>
  </si>
  <si>
    <t>axles</t>
  </si>
  <si>
    <t>losses</t>
  </si>
  <si>
    <t>Actuators</t>
  </si>
  <si>
    <t>actuators</t>
  </si>
  <si>
    <t>actuator mass for replacements</t>
  </si>
  <si>
    <t>per replacement</t>
  </si>
  <si>
    <t>export cables</t>
  </si>
  <si>
    <t>Wire shealth</t>
  </si>
  <si>
    <t>copper, wire</t>
  </si>
  <si>
    <t>PDMS</t>
  </si>
  <si>
    <t xml:space="preserve">Coating </t>
  </si>
  <si>
    <t>silicone product production, RER production</t>
  </si>
  <si>
    <t>landfil</t>
  </si>
  <si>
    <t>ced</t>
  </si>
  <si>
    <t>gwp</t>
  </si>
  <si>
    <t>silicone products</t>
  </si>
  <si>
    <t>tether PDMS</t>
  </si>
  <si>
    <t>ship container</t>
  </si>
  <si>
    <t>ship contaner</t>
  </si>
  <si>
    <t>meters</t>
  </si>
  <si>
    <t>AVG steel</t>
  </si>
  <si>
    <t>motors/drums is devided as</t>
  </si>
  <si>
    <t>castiron</t>
  </si>
  <si>
    <t>avg cast</t>
  </si>
  <si>
    <t>components</t>
  </si>
  <si>
    <t>chromium Steel</t>
  </si>
  <si>
    <t>AVG chromium</t>
  </si>
  <si>
    <t>avg cast?</t>
  </si>
  <si>
    <t>yaw drives</t>
  </si>
  <si>
    <t>pedestral</t>
  </si>
  <si>
    <t>avg cast???</t>
  </si>
  <si>
    <t>circle</t>
  </si>
  <si>
    <t>electronics?</t>
  </si>
  <si>
    <t>shell</t>
  </si>
  <si>
    <t>large ring</t>
  </si>
  <si>
    <t>acles</t>
  </si>
  <si>
    <t>avg high strength steel</t>
  </si>
  <si>
    <t>now as chromium</t>
  </si>
  <si>
    <t>avg cast iron?</t>
  </si>
  <si>
    <t>scaled with aircraft mass, by 0,3factor</t>
  </si>
  <si>
    <t>not scaled</t>
  </si>
  <si>
    <t>drive</t>
  </si>
  <si>
    <t>slew</t>
  </si>
  <si>
    <t>avg drive</t>
  </si>
  <si>
    <t>avg section</t>
  </si>
  <si>
    <t>mj</t>
  </si>
  <si>
    <t>pitch drive</t>
  </si>
  <si>
    <t>chromiu</t>
  </si>
  <si>
    <t>slews</t>
  </si>
  <si>
    <t>zinc coat</t>
  </si>
  <si>
    <t>avg alu</t>
  </si>
  <si>
    <t>avg flanches</t>
  </si>
  <si>
    <t>tower tube</t>
  </si>
  <si>
    <t>flanches</t>
  </si>
  <si>
    <t>surface/paint</t>
  </si>
  <si>
    <t>low alloy steel used</t>
  </si>
  <si>
    <t>avg metal work</t>
  </si>
  <si>
    <t>x the mass of the flanges</t>
  </si>
  <si>
    <t>avg cast iron</t>
  </si>
  <si>
    <t>assumed for 1kg cfrp</t>
  </si>
  <si>
    <t>materials</t>
  </si>
  <si>
    <t>CFRP consumables</t>
  </si>
  <si>
    <t>CFRP losses</t>
  </si>
  <si>
    <t>GFRP losses</t>
  </si>
  <si>
    <t>consum</t>
  </si>
  <si>
    <t>cable removal</t>
  </si>
  <si>
    <t>concrete removal</t>
  </si>
  <si>
    <t>wrecking a</t>
  </si>
  <si>
    <t>avg steel, halve</t>
  </si>
  <si>
    <t>avg, halve, tower</t>
  </si>
  <si>
    <t xml:space="preserve">bearlings </t>
  </si>
  <si>
    <t>from python</t>
  </si>
  <si>
    <t>dykes 2014report</t>
  </si>
  <si>
    <t>baseline?</t>
  </si>
  <si>
    <t>python?</t>
  </si>
  <si>
    <t>dykes</t>
  </si>
  <si>
    <t>main shaft</t>
  </si>
  <si>
    <t>baseline</t>
  </si>
  <si>
    <t>python</t>
  </si>
  <si>
    <t>It is not used.</t>
  </si>
  <si>
    <t>avg drive steel</t>
  </si>
  <si>
    <t>kg each</t>
  </si>
  <si>
    <t>https://library.e.abb.com/public/25e19011bbcd4f2782f4b2c8271072af/Wind_converter_catalog_3AUA0000231755_RevA_EN.pdf</t>
  </si>
  <si>
    <t>AVG cast</t>
  </si>
  <si>
    <t>Neglect HVAC</t>
  </si>
  <si>
    <t>consumables for FRP manufacturing</t>
  </si>
  <si>
    <t>grams used</t>
  </si>
  <si>
    <t xml:space="preserve">Kg used </t>
  </si>
  <si>
    <t>m2 stated</t>
  </si>
  <si>
    <t>kn/m2</t>
  </si>
  <si>
    <t>trying to estimate the wing span</t>
  </si>
  <si>
    <t>known data</t>
  </si>
  <si>
    <t>Disassembly</t>
  </si>
  <si>
    <t>random value</t>
  </si>
  <si>
    <t>exclude</t>
  </si>
  <si>
    <t>neglect</t>
  </si>
  <si>
    <t>hydro accumul</t>
  </si>
  <si>
    <t>hydro motor (drum</t>
  </si>
  <si>
    <t>hydro motor grid</t>
  </si>
  <si>
    <t>hydro extras</t>
  </si>
  <si>
    <t>Installation*</t>
  </si>
  <si>
    <t>OenM*</t>
  </si>
  <si>
    <t>Construction*</t>
  </si>
  <si>
    <t>Servicing*</t>
  </si>
  <si>
    <t>disassembl</t>
  </si>
  <si>
    <t>check</t>
  </si>
  <si>
    <t>servicing transport</t>
  </si>
  <si>
    <t>hydro accumulator</t>
  </si>
  <si>
    <t>Hidro extras</t>
  </si>
  <si>
    <t>Forget about this</t>
  </si>
  <si>
    <t>Actuator batery replacements</t>
  </si>
  <si>
    <t xml:space="preserve">already 2,5% included </t>
  </si>
  <si>
    <t>for actuators alone</t>
  </si>
  <si>
    <t>not used</t>
  </si>
  <si>
    <t>not included in export</t>
  </si>
  <si>
    <t>hidro motor drum</t>
  </si>
  <si>
    <t>hidro additional</t>
  </si>
  <si>
    <t>actuator</t>
  </si>
  <si>
    <t>weight fraction without coating and glue=</t>
  </si>
  <si>
    <t>EuCIA data, transformed using SimaPro</t>
  </si>
  <si>
    <t>Plastic foaming</t>
  </si>
  <si>
    <t>process</t>
  </si>
  <si>
    <t>1m2</t>
  </si>
  <si>
    <t>Each accumulator is assumed with</t>
  </si>
  <si>
    <t>kg frame</t>
  </si>
  <si>
    <t>mass of 1 accumulator</t>
  </si>
  <si>
    <t xml:space="preserve">nr accumulators </t>
  </si>
  <si>
    <t>mass life</t>
  </si>
  <si>
    <t>mass life total tether</t>
  </si>
  <si>
    <t>Groundstation</t>
  </si>
  <si>
    <t>Rotor</t>
  </si>
  <si>
    <t>shifter</t>
  </si>
  <si>
    <t>Bottom</t>
  </si>
  <si>
    <t>Top</t>
  </si>
  <si>
    <t>Hydro extra</t>
  </si>
  <si>
    <t>Hydro piston</t>
  </si>
  <si>
    <t>Inter array</t>
  </si>
  <si>
    <t>Accumulator</t>
  </si>
  <si>
    <t>Hydro motor</t>
  </si>
  <si>
    <t>painit</t>
  </si>
  <si>
    <t>steel rope</t>
  </si>
  <si>
    <t>low alloy steel</t>
  </si>
  <si>
    <t>damper</t>
  </si>
  <si>
    <t>avg chromi</t>
  </si>
  <si>
    <t>avg tita</t>
  </si>
  <si>
    <t>x propul</t>
  </si>
  <si>
    <t>x actuator=</t>
  </si>
  <si>
    <t>Propulsion battery for replacement</t>
  </si>
  <si>
    <t>old</t>
  </si>
  <si>
    <t>v=v_ref * (ln(Z/Z_0)/ln(Z_ref/Z_0))</t>
  </si>
  <si>
    <t>Z_ref</t>
  </si>
  <si>
    <t>V_ref</t>
  </si>
  <si>
    <t>Z</t>
  </si>
  <si>
    <t>Z_0</t>
  </si>
  <si>
    <t>V=</t>
  </si>
  <si>
    <t>inch</t>
  </si>
  <si>
    <t>lb</t>
  </si>
  <si>
    <t>cm</t>
  </si>
  <si>
    <t>Mass_transformer= mt=2.4445*Pt + 1599</t>
  </si>
  <si>
    <t>Log law</t>
  </si>
  <si>
    <t>power law</t>
  </si>
  <si>
    <t>V=V_ref*(Z/Z_ref)^a</t>
  </si>
  <si>
    <t xml:space="preserve">Z </t>
  </si>
  <si>
    <t>this value is for stable neutral</t>
  </si>
  <si>
    <t>rate of return</t>
  </si>
  <si>
    <t>1 month generation</t>
  </si>
  <si>
    <t>months</t>
  </si>
  <si>
    <t>input: a=</t>
  </si>
  <si>
    <t>kg/MWh</t>
  </si>
  <si>
    <t>Metric tonnes</t>
  </si>
  <si>
    <t>Energy output 20 years:</t>
  </si>
  <si>
    <t>life time</t>
  </si>
  <si>
    <t>once</t>
  </si>
  <si>
    <t>20 year repl</t>
  </si>
  <si>
    <t>Undefined</t>
  </si>
  <si>
    <t>n2</t>
  </si>
  <si>
    <t>Polymers</t>
  </si>
  <si>
    <t>reinforcing</t>
  </si>
  <si>
    <t>high steel</t>
  </si>
  <si>
    <t>alluminium</t>
  </si>
  <si>
    <t>steel and irons</t>
  </si>
  <si>
    <t>hvac</t>
  </si>
  <si>
    <t>bedplate</t>
  </si>
  <si>
    <t>Geanerator</t>
  </si>
  <si>
    <t>bearigs</t>
  </si>
  <si>
    <t>grabbed  directly from table above</t>
  </si>
  <si>
    <t>resistance over cable</t>
  </si>
  <si>
    <t>ohm/km</t>
  </si>
  <si>
    <t>ohm</t>
  </si>
  <si>
    <t>kv</t>
  </si>
  <si>
    <t>loss in Watt</t>
  </si>
  <si>
    <t>MW power</t>
  </si>
  <si>
    <t>percentage</t>
  </si>
  <si>
    <t>losses of the cables</t>
  </si>
  <si>
    <t>Thus the losses over the cables are aproximately 5%</t>
  </si>
  <si>
    <t>kg/mva</t>
  </si>
  <si>
    <t>steel sheet</t>
  </si>
  <si>
    <t>steel profile</t>
  </si>
  <si>
    <t>kraft paper</t>
  </si>
  <si>
    <t>copper wire</t>
  </si>
  <si>
    <t>presspan</t>
  </si>
  <si>
    <t>copper profile</t>
  </si>
  <si>
    <t>porcelain</t>
  </si>
  <si>
    <t>alminium</t>
  </si>
  <si>
    <t>transformer oil</t>
  </si>
  <si>
    <t>per x MVA</t>
  </si>
  <si>
    <t>ferrosilicon</t>
  </si>
  <si>
    <t>ineral oil</t>
  </si>
  <si>
    <t>cellulose</t>
  </si>
  <si>
    <t>wood</t>
  </si>
  <si>
    <t>epoxi resin</t>
  </si>
  <si>
    <t>polyester resin</t>
  </si>
  <si>
    <t>iron alloy</t>
  </si>
  <si>
    <t>fibre glass</t>
  </si>
  <si>
    <t>insulation fam</t>
  </si>
  <si>
    <t>silicone</t>
  </si>
  <si>
    <t>plastic</t>
  </si>
  <si>
    <t>electric components</t>
  </si>
  <si>
    <t>vestas</t>
  </si>
  <si>
    <t>for 100mw</t>
  </si>
  <si>
    <t>does not incl packaging</t>
  </si>
  <si>
    <t>copper + wire</t>
  </si>
  <si>
    <t>copper + avg</t>
  </si>
  <si>
    <t>steel + sheet</t>
  </si>
  <si>
    <t>chromium/electrical</t>
  </si>
  <si>
    <t>this is total amps</t>
  </si>
  <si>
    <t>line apm=MW/(line volt*1,73*pf)</t>
  </si>
  <si>
    <t>line amp=MVA/(line volt * 1,73)</t>
  </si>
  <si>
    <t>MVA=</t>
  </si>
  <si>
    <t>line amp =</t>
  </si>
  <si>
    <t>line voltage =?</t>
  </si>
  <si>
    <t>hawt</t>
  </si>
  <si>
    <t>vyaw=(pi()Dtw^2/10)*(Dr/1000)</t>
  </si>
  <si>
    <t>Dtw=</t>
  </si>
  <si>
    <t>top tower diameter</t>
  </si>
  <si>
    <t>Dr</t>
  </si>
  <si>
    <t xml:space="preserve">Vyaw= </t>
  </si>
  <si>
    <t>W24 x 100 I-beam</t>
  </si>
  <si>
    <t>100lb/ft</t>
  </si>
  <si>
    <t>is</t>
  </si>
  <si>
    <t>shaft main</t>
  </si>
  <si>
    <t>shaft couple</t>
  </si>
  <si>
    <t>BGV guide</t>
  </si>
  <si>
    <t>2to4 times a year for a 1GM farm(does not specify how many turbines at once)</t>
  </si>
  <si>
    <t>Vestas</t>
  </si>
  <si>
    <t>km per year for a 50mw farm</t>
  </si>
  <si>
    <t>km per year per system</t>
  </si>
  <si>
    <t>If I include a transformer station, then the cables significantly reduce</t>
  </si>
  <si>
    <t>AT:</t>
  </si>
  <si>
    <t>KV</t>
  </si>
  <si>
    <t xml:space="preserve">a corss section of </t>
  </si>
  <si>
    <t>could suffice</t>
  </si>
  <si>
    <t>mm3</t>
  </si>
  <si>
    <t xml:space="preserve">with a mass of </t>
  </si>
  <si>
    <t>however, only 1 cable, and at much lower losses</t>
  </si>
  <si>
    <t>kv case":</t>
  </si>
  <si>
    <t>thickness insulation</t>
  </si>
  <si>
    <t>conductor cross section</t>
  </si>
  <si>
    <t>copper wire screen</t>
  </si>
  <si>
    <t>outer diameter</t>
  </si>
  <si>
    <t>mass:</t>
  </si>
  <si>
    <t>diameter insul</t>
  </si>
  <si>
    <t>diameter conductor</t>
  </si>
  <si>
    <t>The 3,6 is the conversion from KWh to MJ</t>
  </si>
  <si>
    <t>cooland</t>
  </si>
  <si>
    <t>per farm</t>
  </si>
  <si>
    <t>AWE distance</t>
  </si>
  <si>
    <t>Gearbox total</t>
  </si>
  <si>
    <t>Tether replacements</t>
  </si>
  <si>
    <t>Tether total</t>
  </si>
  <si>
    <t>Mwh lifetime CED farm</t>
  </si>
  <si>
    <t>MWh lifetime CED system</t>
  </si>
  <si>
    <t>AEP farm</t>
  </si>
  <si>
    <t>EPBT</t>
  </si>
  <si>
    <t>EROI</t>
  </si>
  <si>
    <t>PGA/Nacelle</t>
  </si>
  <si>
    <t>\\</t>
  </si>
  <si>
    <t>&amp;</t>
  </si>
  <si>
    <t>\\ \hline</t>
  </si>
  <si>
    <t>Tether/tower</t>
  </si>
  <si>
    <t>oenm</t>
  </si>
  <si>
    <t>instal</t>
  </si>
  <si>
    <t>Gearbox replacement</t>
  </si>
  <si>
    <t>MWh over lifetime</t>
  </si>
  <si>
    <t>Energy over lifeitime</t>
  </si>
  <si>
    <t>Bed plate</t>
  </si>
  <si>
    <t xml:space="preserve">Bearigns </t>
  </si>
  <si>
    <t>\hline</t>
  </si>
  <si>
    <t>Impacts of replacements</t>
  </si>
  <si>
    <t>Total replacements</t>
  </si>
  <si>
    <t>Hydraulic pistons</t>
  </si>
  <si>
    <t>Hydaulic accumulator</t>
  </si>
  <si>
    <t>Hydraulic extras</t>
  </si>
  <si>
    <t>Hydraulic motors</t>
  </si>
  <si>
    <t>G</t>
  </si>
  <si>
    <t>F</t>
  </si>
  <si>
    <t>E</t>
  </si>
  <si>
    <t>Total life system</t>
  </si>
  <si>
    <t>D</t>
  </si>
  <si>
    <t>PofTot</t>
  </si>
  <si>
    <t>MassRep</t>
  </si>
  <si>
    <t>Norm</t>
  </si>
  <si>
    <t>Tot</t>
  </si>
  <si>
    <t>.</t>
  </si>
  <si>
    <t>Masses of replacements and sums</t>
  </si>
  <si>
    <t>Masses repl</t>
  </si>
  <si>
    <t>J</t>
  </si>
  <si>
    <t>Initial system</t>
  </si>
  <si>
    <t>I</t>
  </si>
  <si>
    <t>Total mass repl</t>
  </si>
  <si>
    <t>H</t>
  </si>
  <si>
    <t>Total mass of everything</t>
  </si>
  <si>
    <t>battery replacement totoal</t>
  </si>
  <si>
    <t>battery actuator repl</t>
  </si>
  <si>
    <t>battery propulsion repl</t>
  </si>
  <si>
    <t>actuator replacement</t>
  </si>
  <si>
    <t>Tether Replacement</t>
  </si>
  <si>
    <t>Total mass initial system</t>
  </si>
  <si>
    <t>Total mass of replacements</t>
  </si>
  <si>
    <t>Total mass of everything whole life</t>
  </si>
  <si>
    <t>total mass initial system</t>
  </si>
  <si>
    <t>MassSub</t>
  </si>
  <si>
    <t>percent</t>
  </si>
  <si>
    <t>Masses of the initially installed system</t>
  </si>
  <si>
    <t>Percent</t>
  </si>
  <si>
    <t>manufPofMan</t>
  </si>
  <si>
    <t>Percentages of impacts within manufacturing</t>
  </si>
  <si>
    <t>manufPofAll</t>
  </si>
  <si>
    <t>Percentages of Manufacturing impacts over all impacts</t>
  </si>
  <si>
    <t xml:space="preserve">Manufacturing impacts </t>
  </si>
  <si>
    <t>Manufacturing impacts</t>
  </si>
  <si>
    <t>StagePofAll</t>
  </si>
  <si>
    <t>Stage</t>
  </si>
  <si>
    <t>Lifecycle stage impacts of</t>
  </si>
  <si>
    <t>Impacts</t>
  </si>
  <si>
    <t>Value</t>
  </si>
  <si>
    <t>Totals</t>
  </si>
  <si>
    <t>energy max Cf=100</t>
  </si>
  <si>
    <t>K</t>
  </si>
  <si>
    <t>Cumulative CED</t>
  </si>
  <si>
    <t>E20Yfarm</t>
  </si>
  <si>
    <t>E20Ysystem</t>
  </si>
  <si>
    <t>AEPfarm</t>
  </si>
  <si>
    <t>AEPsystem</t>
  </si>
  <si>
    <t>The energy production values</t>
  </si>
  <si>
    <t>Especs</t>
  </si>
  <si>
    <t>Cumulative CED farm [MWh]</t>
  </si>
  <si>
    <t>Cumulative CED system [MWh]</t>
  </si>
  <si>
    <t>Cumulative CED system [MJ]</t>
  </si>
  <si>
    <t>Variable</t>
  </si>
  <si>
    <t>Comment</t>
  </si>
  <si>
    <t>component</t>
  </si>
  <si>
    <t>technology</t>
  </si>
  <si>
    <t>Topic</t>
  </si>
  <si>
    <t>Energy specs</t>
  </si>
  <si>
    <t>decimals:</t>
  </si>
  <si>
    <t>20Year energy HAWT</t>
  </si>
  <si>
    <t>20Year energy AWE</t>
  </si>
  <si>
    <t>AEP HAWT</t>
  </si>
  <si>
    <t>AEP AWE</t>
  </si>
  <si>
    <t>Farm</t>
  </si>
  <si>
    <t>Single system</t>
  </si>
  <si>
    <t>Total OenM</t>
  </si>
  <si>
    <t>Transport of OenM</t>
  </si>
  <si>
    <t>Consumables</t>
  </si>
  <si>
    <t>Total Replacements</t>
  </si>
  <si>
    <t>ImpRepPofAll</t>
  </si>
  <si>
    <t>replacements gearbox</t>
  </si>
  <si>
    <t>All gearbox</t>
  </si>
  <si>
    <t>ImpRep</t>
  </si>
  <si>
    <t>Total 20 years</t>
  </si>
  <si>
    <t>Batteries</t>
  </si>
  <si>
    <t>tether replacements</t>
  </si>
  <si>
    <t>20year Energy</t>
  </si>
  <si>
    <t>initial tether impacts are:</t>
  </si>
  <si>
    <t>Mass total  AWE/HAWT</t>
  </si>
  <si>
    <t>GWP total AWE/ HAWT</t>
  </si>
  <si>
    <t>CED total AWE/HAWT</t>
  </si>
  <si>
    <t>Mass total  HAWT/AWE</t>
  </si>
  <si>
    <t>GWP total HAWT/AWE</t>
  </si>
  <si>
    <t>CED total HAWT/AWE</t>
  </si>
  <si>
    <t>Relative impacts of AWE vs HAWT</t>
  </si>
  <si>
    <t>AWEvsHAWT</t>
  </si>
  <si>
    <t>Ospecs</t>
  </si>
  <si>
    <t>ImpRepPofOenM</t>
  </si>
  <si>
    <t>excluded</t>
  </si>
  <si>
    <t>value? Source?</t>
  </si>
  <si>
    <t>% of all impacts</t>
  </si>
  <si>
    <t>% of OenM impacts</t>
  </si>
  <si>
    <t>Impacts of replacements HAWT</t>
  </si>
  <si>
    <t>Impacts of the replacements components AWE</t>
  </si>
  <si>
    <t>Actual impacts</t>
  </si>
  <si>
    <t>Percentage (%) impacts</t>
  </si>
  <si>
    <t>\hspace{0,5cm}</t>
  </si>
  <si>
    <t>L</t>
  </si>
  <si>
    <t>Aircraft total</t>
  </si>
  <si>
    <t>Nacelle total</t>
  </si>
  <si>
    <t>\textbf{Total}</t>
  </si>
  <si>
    <t>battery + actuator repl</t>
  </si>
  <si>
    <t>Total aircraft ( initial + replacements</t>
  </si>
  <si>
    <t>HAWT 20year system output:</t>
  </si>
  <si>
    <t>AWE 20year System output:</t>
  </si>
  <si>
    <t>HAWT CED</t>
  </si>
  <si>
    <t>HAWT GWP</t>
  </si>
  <si>
    <t>AWE CED</t>
  </si>
  <si>
    <t>AWE GWP</t>
  </si>
  <si>
    <t>Carbon fibre in Blade</t>
  </si>
  <si>
    <t>HAWT Blade</t>
  </si>
  <si>
    <t>Glass fibre in Blade</t>
  </si>
  <si>
    <t>GWP P of Rotor</t>
  </si>
  <si>
    <t>CED P of Rotor</t>
  </si>
  <si>
    <t>GWP P of Tot</t>
  </si>
  <si>
    <t>CED P of Tot</t>
  </si>
  <si>
    <t>CfBlade</t>
  </si>
  <si>
    <t>GfBlade</t>
  </si>
  <si>
    <t>Carbon fibre component</t>
  </si>
  <si>
    <t>Impinstalstage</t>
  </si>
  <si>
    <t>ImpinstalstagePofInstal</t>
  </si>
  <si>
    <t>ImpinstalstagePofTot</t>
  </si>
  <si>
    <t>Crane operation</t>
  </si>
  <si>
    <t>\textbf{AWE installation}</t>
  </si>
  <si>
    <t>\textbf{HAWT installation}</t>
  </si>
  <si>
    <t>Installation phase impacts</t>
  </si>
  <si>
    <t>Sesitivity of aircraft mass</t>
  </si>
  <si>
    <t>rated</t>
  </si>
  <si>
    <t>aircraft mass</t>
  </si>
  <si>
    <t>platform</t>
  </si>
  <si>
    <t>LLA mass</t>
  </si>
  <si>
    <t>basecase</t>
  </si>
  <si>
    <t>Losses</t>
  </si>
  <si>
    <t>0km</t>
  </si>
  <si>
    <t>10km</t>
  </si>
  <si>
    <t>CED basecase cables</t>
  </si>
  <si>
    <t>GWP basecase cables</t>
  </si>
  <si>
    <t>Basecse</t>
  </si>
  <si>
    <t xml:space="preserve">CED  </t>
  </si>
  <si>
    <t>20km</t>
  </si>
  <si>
    <t>all other impacts</t>
  </si>
  <si>
    <t>Export cable</t>
  </si>
  <si>
    <t>\textbf{HAWT}</t>
  </si>
  <si>
    <t>Farm AEP</t>
  </si>
  <si>
    <t>\textbf{AWE}</t>
  </si>
  <si>
    <t>sensitivity of export cable</t>
  </si>
  <si>
    <t>$kgCO2eq/MWh$</t>
  </si>
  <si>
    <t>$MJ/MWh$</t>
  </si>
  <si>
    <t>MWh/year</t>
  </si>
  <si>
    <t>Sensitivity GWP GFRP blade</t>
  </si>
  <si>
    <t>Sensitivity CED GFRP blade</t>
  </si>
  <si>
    <t>Sensitivity CED GFRP blade…. The difference</t>
  </si>
  <si>
    <t>Sensitivity GWP GFRP blade…. The difference</t>
  </si>
  <si>
    <t>Sensitivity GWP GFRP blade… percentage reduction</t>
  </si>
  <si>
    <t>Sensitivity CED GFRP blade….percentage reduction</t>
  </si>
  <si>
    <t>ImpEOLstage</t>
  </si>
  <si>
    <t>ImpEOLstagePofInstal</t>
  </si>
  <si>
    <t>ImpEOLstagePofTot</t>
  </si>
  <si>
    <t>% of EOL impacts</t>
  </si>
  <si>
    <t>Treatment</t>
  </si>
  <si>
    <t>\textbf{AWE EOL}</t>
  </si>
  <si>
    <t>\textbf{HAWT EOL}</t>
  </si>
  <si>
    <t>EOL phase impacts</t>
  </si>
  <si>
    <t>PGA manufacturing</t>
  </si>
  <si>
    <t>Sesitivity of lifetimes</t>
  </si>
  <si>
    <t>Basecase</t>
  </si>
  <si>
    <t>Tether replacement</t>
  </si>
  <si>
    <t>aerial</t>
  </si>
  <si>
    <t>winding</t>
  </si>
  <si>
    <t>Basecase          20</t>
  </si>
  <si>
    <t>actuat</t>
  </si>
  <si>
    <t>propulsion</t>
  </si>
  <si>
    <t>NR replacements</t>
  </si>
  <si>
    <t>Lifetimes</t>
  </si>
  <si>
    <t>impact basecase</t>
  </si>
  <si>
    <t>Total norm</t>
  </si>
  <si>
    <t>20y EP AWE</t>
  </si>
  <si>
    <t>15year</t>
  </si>
  <si>
    <t>15y EP</t>
  </si>
  <si>
    <t>25year</t>
  </si>
  <si>
    <t>30year</t>
  </si>
  <si>
    <t>Energy prod</t>
  </si>
  <si>
    <t>total excl repl</t>
  </si>
  <si>
    <t>Total inclu repl</t>
  </si>
  <si>
    <t>impact gearbox replacement</t>
  </si>
  <si>
    <t>total impacts excl replacement</t>
  </si>
  <si>
    <t>Total impacts</t>
  </si>
  <si>
    <t>normalised impacts</t>
  </si>
  <si>
    <t>0,0</t>
  </si>
  <si>
    <t>Percentages differences:</t>
  </si>
  <si>
    <t>-10%</t>
  </si>
  <si>
    <t>-5%</t>
  </si>
  <si>
    <t>+5%</t>
  </si>
  <si>
    <t>+10%</t>
  </si>
  <si>
    <t>sensitivity of Cf</t>
  </si>
  <si>
    <t>AEP system</t>
  </si>
  <si>
    <t>cf</t>
  </si>
  <si>
    <t>\%</t>
  </si>
  <si>
    <t xml:space="preserve">Tether replacements </t>
  </si>
  <si>
    <t>doubled</t>
  </si>
  <si>
    <t>others</t>
  </si>
  <si>
    <t>Other impacts</t>
  </si>
  <si>
    <t xml:space="preserve">GWP </t>
  </si>
  <si>
    <t>Totals of AWE</t>
  </si>
  <si>
    <t>Halved lifetimes</t>
  </si>
  <si>
    <t>base case lifetime</t>
  </si>
  <si>
    <t>Doubled lifetime</t>
  </si>
  <si>
    <t>Sensitivity, tether lifetime</t>
  </si>
  <si>
    <t>% of oenm impacts</t>
  </si>
  <si>
    <t>impga</t>
  </si>
  <si>
    <t>ImpPgaPofall</t>
  </si>
  <si>
    <t>Total all</t>
  </si>
  <si>
    <t>ImpPgaPofStage</t>
  </si>
  <si>
    <t>pga</t>
  </si>
  <si>
    <t>Impacts of PGA</t>
  </si>
  <si>
    <t>% of PGA manug impacts</t>
  </si>
  <si>
    <t>Bearings</t>
  </si>
  <si>
    <t>LLA graph</t>
  </si>
  <si>
    <t>Deck of LLA</t>
  </si>
  <si>
    <t>\textbf{Total AWE}</t>
  </si>
  <si>
    <t>\textbf{Total HAWT}</t>
  </si>
  <si>
    <t>platform mass</t>
  </si>
  <si>
    <t>systems mass</t>
  </si>
  <si>
    <t>lla mass</t>
  </si>
  <si>
    <t>}</t>
  </si>
  <si>
    <t>CED AWE</t>
  </si>
  <si>
    <t>\textbf{</t>
  </si>
  <si>
    <t>GWP AWE</t>
  </si>
  <si>
    <t>Aircraft mass</t>
  </si>
  <si>
    <t>\simbGWP</t>
  </si>
  <si>
    <t>\simbCED</t>
  </si>
  <si>
    <t>Not used</t>
  </si>
  <si>
    <t>Hub height</t>
  </si>
  <si>
    <t>Tower mass</t>
  </si>
  <si>
    <t>AWE avg wind</t>
  </si>
  <si>
    <t>AWE farm AEP</t>
  </si>
  <si>
    <t>unit</t>
  </si>
  <si>
    <t>m/s</t>
  </si>
  <si>
    <t>\EspecsAWEA</t>
  </si>
  <si>
    <t>\CEDAWEStageE</t>
  </si>
  <si>
    <t>\GWPAWEStageE</t>
  </si>
  <si>
    <t>\CEDHAWTStageE</t>
  </si>
  <si>
    <t>\GWPHAWTStageE</t>
  </si>
  <si>
    <t>total GWP</t>
  </si>
  <si>
    <t>total CED</t>
  </si>
  <si>
    <t>use</t>
  </si>
  <si>
    <t>coppy</t>
  </si>
  <si>
    <t>other stuff</t>
  </si>
  <si>
    <t xml:space="preserve">other </t>
  </si>
  <si>
    <t>mass of AWE vs HAWT</t>
  </si>
  <si>
    <t>reductions</t>
  </si>
  <si>
    <t>??</t>
  </si>
  <si>
    <t>Transmission</t>
  </si>
  <si>
    <t>FOR THE CED GRAPH</t>
  </si>
  <si>
    <t>0,1 for onshore</t>
  </si>
  <si>
    <t>HAWT monopile</t>
  </si>
  <si>
    <t>hawt floating</t>
  </si>
  <si>
    <t>AWE floating</t>
  </si>
  <si>
    <t>-</t>
  </si>
  <si>
    <t>Avg wind</t>
  </si>
  <si>
    <t>mooring</t>
  </si>
  <si>
    <t>mass lines</t>
  </si>
  <si>
    <t>anchors</t>
  </si>
  <si>
    <t>balast</t>
  </si>
  <si>
    <t>remove foundation</t>
  </si>
  <si>
    <t>remove tower</t>
  </si>
  <si>
    <t>add floater</t>
  </si>
  <si>
    <t>add tower</t>
  </si>
  <si>
    <t>Operating height</t>
  </si>
  <si>
    <t>Anchors</t>
  </si>
  <si>
    <t>Mooring lines</t>
  </si>
  <si>
    <t>AEP for AWE at 10,8 =</t>
  </si>
  <si>
    <t>cf=</t>
  </si>
  <si>
    <t xml:space="preserve">20 years = </t>
  </si>
  <si>
    <t>deep</t>
  </si>
  <si>
    <t>Masses [mt]</t>
  </si>
  <si>
    <t>Water depth [m]</t>
  </si>
  <si>
    <t>25+</t>
  </si>
  <si>
    <t>monopile</t>
  </si>
  <si>
    <t>floating</t>
  </si>
  <si>
    <t>AWE Floating</t>
  </si>
  <si>
    <t>deck hight</t>
  </si>
  <si>
    <t>mass total</t>
  </si>
  <si>
    <t>HAWT mono</t>
  </si>
  <si>
    <t>Ballast concrete</t>
  </si>
  <si>
    <t>System impacts</t>
  </si>
  <si>
    <t>Total system mass</t>
  </si>
  <si>
    <t>Rope making</t>
  </si>
  <si>
    <t>Lifecycle stages table</t>
  </si>
  <si>
    <t xml:space="preserve">Operations and Maintenance </t>
  </si>
  <si>
    <t>End of Life</t>
  </si>
  <si>
    <t>Man: Tether / Tower</t>
  </si>
  <si>
    <t>Man: LLA</t>
  </si>
  <si>
    <t>Man: Aircraft / Rotor</t>
  </si>
  <si>
    <t>Man: PGA / Nacelle</t>
  </si>
  <si>
    <t>Man: Foundation</t>
  </si>
  <si>
    <t>Man: BOS</t>
  </si>
  <si>
    <t>Hydro extras</t>
  </si>
  <si>
    <t>Hydro accumul</t>
  </si>
  <si>
    <t>Hydro pistons</t>
  </si>
  <si>
    <t>Hydro motor grid</t>
  </si>
  <si>
    <t>O\&amp;M</t>
  </si>
  <si>
    <t xml:space="preserve">O\&amp;M </t>
  </si>
  <si>
    <t>Platform</t>
  </si>
  <si>
    <t>15km</t>
  </si>
  <si>
    <t>kgCO$_{2}$eq/MWh</t>
  </si>
  <si>
    <t>Idemat2021 Concrete (reinforced, 40 kg steel per 1000 kg)</t>
  </si>
  <si>
    <t>Idemat2021 PCB = Printed Circuit Board (including ICs)</t>
  </si>
  <si>
    <t>Idemat2021  Stainless Steel (secondary), average, estimate</t>
  </si>
  <si>
    <t>Idemat2021 X35CrMo17</t>
  </si>
  <si>
    <t>HVAC is excluded</t>
  </si>
  <si>
    <t>heating ventilation and airconditioning</t>
  </si>
  <si>
    <t>Insulation, glass fibre</t>
  </si>
  <si>
    <t>Additional materials are nog included, such as the packaging for transport</t>
  </si>
  <si>
    <t>Wire drawing and avg chromium steel are processing methods, these are assumed to be performed by the energy usage</t>
  </si>
  <si>
    <t>no data</t>
  </si>
  <si>
    <t>The difference would not be noticable</t>
  </si>
  <si>
    <t>Distace</t>
  </si>
  <si>
    <t>In-accurate truck type used compared to what I stated in the report</t>
  </si>
  <si>
    <t>For cummunication to another page</t>
  </si>
  <si>
    <t>Could be mixed personally with a % of silica</t>
  </si>
  <si>
    <t>same as chromium atm</t>
  </si>
  <si>
    <t>personal avg cast iron</t>
  </si>
  <si>
    <t>This case iron processing is assumes the same metal work averages as normal avg metal work, but with the scrap material being cast iron</t>
  </si>
  <si>
    <t>These values shall not be accurate</t>
  </si>
  <si>
    <t>These losses are already included in the Cf</t>
  </si>
  <si>
    <t>For the sensitivity analyis</t>
  </si>
  <si>
    <t>hub height</t>
  </si>
  <si>
    <t>This shall not be accurate, some time values were found online, but nothing actually stating how much time the crane was actually used</t>
  </si>
  <si>
    <t>meters of welding</t>
  </si>
  <si>
    <t>neglected the otehrs</t>
  </si>
  <si>
    <t>mj to mwh</t>
  </si>
  <si>
    <t>Other indication:</t>
  </si>
  <si>
    <t>Used in this report:</t>
  </si>
  <si>
    <t>This was however a strongly deviating size compared to the used one</t>
  </si>
  <si>
    <t>Ecoinvent does has an option for a home HVAC:</t>
  </si>
  <si>
    <t>CFRP composition</t>
  </si>
  <si>
    <t>Comment on HVAC</t>
  </si>
  <si>
    <t>Manually lowered for the graphic</t>
  </si>
  <si>
    <t>Red text is accurate, but not used in  graphic</t>
  </si>
  <si>
    <t>This page is singularaly for communication with  Latex (and some graphs at the end)</t>
  </si>
  <si>
    <t>Life Cycle Assessment of Multi-Megawatt Airborne Wind Energy</t>
  </si>
  <si>
    <t>This excel code was made for the master thesis :</t>
  </si>
  <si>
    <t>By: Luuk van Hagen</t>
  </si>
  <si>
    <t>Graduated: 08-07-2021</t>
  </si>
  <si>
    <t>is included</t>
  </si>
  <si>
    <t>wind speed calculatons</t>
  </si>
  <si>
    <t>Information found on HAWT maintenance visits</t>
  </si>
  <si>
    <t>These are the transport settings used in this report</t>
  </si>
  <si>
    <t>This is the sensitivity for the aircraft mass, this should be carried out again once nothing changes. It can not be automised for latex comunication. Change the mass of the aircraft and the length and mass of the deck as build into the AWE page</t>
  </si>
  <si>
    <t>table for latex</t>
  </si>
  <si>
    <t>sensitivity of offshore</t>
  </si>
  <si>
    <t>Table for LaTex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</si>
</sst>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70C0"/>
      <name val="Calibri"/>
      <family val="2"/>
      <scheme val="minor"/>
    </font>
    <font>
      <sz val="11"/>
      <name val="Calibri"/>
      <family val="2"/>
      <scheme val="minor"/>
    </font>
    <font>
      <b/>
      <sz val="14"/>
      <color theme="1"/>
      <name val="Calibri"/>
      <family val="2"/>
      <scheme val="minor"/>
    </font>
    <font>
      <sz val="14"/>
      <color theme="1"/>
      <name val="Calibri"/>
      <family val="2"/>
      <scheme val="minor"/>
    </font>
    <font>
      <sz val="11"/>
      <color theme="1"/>
      <name val="Calibri"/>
      <family val="2"/>
      <scheme val="minor"/>
    </font>
    <font>
      <b/>
      <sz val="11"/>
      <name val="Calibri"/>
      <family val="2"/>
      <scheme val="minor"/>
    </font>
    <font>
      <b/>
      <sz val="22"/>
      <color theme="1"/>
      <name val="Calibri"/>
      <family val="2"/>
      <scheme val="minor"/>
    </font>
    <font>
      <b/>
      <sz val="11"/>
      <color rgb="FFFFFF00"/>
      <name val="Calibri"/>
      <family val="2"/>
      <scheme val="minor"/>
    </font>
    <font>
      <b/>
      <sz val="16"/>
      <color theme="1"/>
      <name val="Calibri"/>
      <family val="2"/>
      <scheme val="minor"/>
    </font>
    <font>
      <b/>
      <sz val="20"/>
      <color theme="1"/>
      <name val="Calibri"/>
      <family val="2"/>
      <scheme val="minor"/>
    </font>
    <font>
      <sz val="11"/>
      <color theme="9" tint="-0.249977111117893"/>
      <name val="Calibri"/>
      <family val="2"/>
      <scheme val="minor"/>
    </font>
    <font>
      <b/>
      <sz val="11"/>
      <color rgb="FFFF0000"/>
      <name val="Calibri"/>
      <family val="2"/>
      <scheme val="minor"/>
    </font>
    <font>
      <b/>
      <sz val="22"/>
      <color rgb="FFFFFF00"/>
      <name val="Calibri"/>
      <family val="2"/>
      <scheme val="minor"/>
    </font>
    <font>
      <b/>
      <sz val="24"/>
      <color rgb="FFFFFF00"/>
      <name val="Calibri"/>
      <family val="2"/>
      <scheme val="minor"/>
    </font>
    <font>
      <b/>
      <sz val="12"/>
      <name val="Calibri"/>
      <family val="2"/>
      <scheme val="minor"/>
    </font>
    <font>
      <sz val="11"/>
      <color rgb="FFFFFF00"/>
      <name val="Calibri"/>
      <family val="2"/>
      <scheme val="minor"/>
    </font>
    <font>
      <b/>
      <sz val="14"/>
      <color rgb="FFFFFF00"/>
      <name val="Calibri"/>
      <family val="2"/>
      <scheme val="minor"/>
    </font>
    <font>
      <b/>
      <sz val="12"/>
      <color rgb="FFFF0000"/>
      <name val="Calibri"/>
      <family val="2"/>
      <scheme val="minor"/>
    </font>
    <font>
      <b/>
      <sz val="18"/>
      <name val="Calibri"/>
      <family val="2"/>
      <scheme val="minor"/>
    </font>
    <font>
      <b/>
      <sz val="14"/>
      <name val="Calibri"/>
      <family val="2"/>
      <scheme val="minor"/>
    </font>
    <font>
      <b/>
      <sz val="18"/>
      <color theme="1"/>
      <name val="Calibri"/>
      <family val="2"/>
      <scheme val="minor"/>
    </font>
    <font>
      <sz val="11"/>
      <color rgb="FF00B050"/>
      <name val="Calibri"/>
      <family val="2"/>
      <scheme val="minor"/>
    </font>
    <font>
      <sz val="11"/>
      <color theme="5"/>
      <name val="Calibri"/>
      <family val="2"/>
      <scheme val="minor"/>
    </font>
    <font>
      <sz val="11"/>
      <color theme="4"/>
      <name val="Calibri"/>
      <family val="2"/>
      <scheme val="minor"/>
    </font>
    <font>
      <i/>
      <sz val="11"/>
      <color theme="1"/>
      <name val="Calibri"/>
      <family val="2"/>
      <scheme val="minor"/>
    </font>
    <font>
      <sz val="11"/>
      <color rgb="FF00B0F0"/>
      <name val="Calibri"/>
      <family val="2"/>
      <scheme val="minor"/>
    </font>
    <font>
      <sz val="8"/>
      <name val="Segoe UI"/>
      <family val="2"/>
    </font>
    <font>
      <sz val="11"/>
      <color theme="5" tint="-0.249977111117893"/>
      <name val="Calibri"/>
      <family val="2"/>
      <scheme val="minor"/>
    </font>
    <font>
      <sz val="11"/>
      <color theme="8" tint="-0.249977111117893"/>
      <name val="Calibri"/>
      <family val="2"/>
      <scheme val="minor"/>
    </font>
    <font>
      <u/>
      <sz val="11"/>
      <color theme="10"/>
      <name val="Calibri"/>
      <family val="2"/>
      <scheme val="minor"/>
    </font>
    <font>
      <sz val="11"/>
      <color theme="4" tint="-0.249977111117893"/>
      <name val="Calibri"/>
      <family val="2"/>
      <scheme val="minor"/>
    </font>
    <font>
      <sz val="8"/>
      <name val="Calibri"/>
      <family val="2"/>
      <scheme val="minor"/>
    </font>
    <font>
      <b/>
      <u/>
      <sz val="14"/>
      <color theme="1"/>
      <name val="Calibri"/>
      <family val="2"/>
      <scheme val="minor"/>
    </font>
  </fonts>
  <fills count="38">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7"/>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7030A0"/>
        <bgColor indexed="64"/>
      </patternFill>
    </fill>
    <fill>
      <patternFill patternType="solid">
        <fgColor theme="7" tint="0.39997558519241921"/>
        <bgColor indexed="64"/>
      </patternFill>
    </fill>
    <fill>
      <patternFill patternType="solid">
        <fgColor theme="2"/>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8" tint="-0.249977111117893"/>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70C0"/>
        <bgColor indexed="64"/>
      </patternFill>
    </fill>
    <fill>
      <patternFill patternType="solid">
        <fgColor theme="0"/>
        <bgColor indexed="64"/>
      </patternFill>
    </fill>
    <fill>
      <patternFill patternType="solid">
        <fgColor rgb="FFFF9999"/>
        <bgColor indexed="64"/>
      </patternFill>
    </fill>
    <fill>
      <patternFill patternType="solid">
        <fgColor rgb="FF33CCCC"/>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9" fontId="7" fillId="0" borderId="0" applyFont="0" applyFill="0" applyBorder="0" applyAlignment="0" applyProtection="0"/>
    <xf numFmtId="0" fontId="32" fillId="0" borderId="0" applyNumberFormat="0" applyFill="0" applyBorder="0" applyAlignment="0" applyProtection="0"/>
  </cellStyleXfs>
  <cellXfs count="421">
    <xf numFmtId="0" fontId="0" fillId="0" borderId="0" xfId="0"/>
    <xf numFmtId="10" fontId="0" fillId="0" borderId="0" xfId="0" applyNumberFormat="1"/>
    <xf numFmtId="0" fontId="0" fillId="2" borderId="0" xfId="0" applyFill="1"/>
    <xf numFmtId="0" fontId="0" fillId="3" borderId="0" xfId="0" applyFill="1"/>
    <xf numFmtId="0" fontId="0" fillId="0" borderId="1" xfId="0" applyBorder="1"/>
    <xf numFmtId="0" fontId="0" fillId="0" borderId="2" xfId="0" applyBorder="1"/>
    <xf numFmtId="0" fontId="0" fillId="0" borderId="4" xfId="0" applyBorder="1"/>
    <xf numFmtId="0" fontId="0" fillId="4" borderId="0" xfId="0" applyFill="1"/>
    <xf numFmtId="0" fontId="0" fillId="5" borderId="0" xfId="0" applyFill="1"/>
    <xf numFmtId="0" fontId="0" fillId="6" borderId="0" xfId="0" applyFill="1"/>
    <xf numFmtId="0" fontId="0" fillId="6" borderId="1" xfId="0" applyFill="1" applyBorder="1"/>
    <xf numFmtId="0" fontId="0" fillId="6" borderId="2" xfId="0" applyFill="1" applyBorder="1"/>
    <xf numFmtId="0" fontId="0" fillId="7" borderId="0" xfId="0" applyFill="1"/>
    <xf numFmtId="0" fontId="0" fillId="7" borderId="2" xfId="0" applyFill="1" applyBorder="1"/>
    <xf numFmtId="2" fontId="0" fillId="0" borderId="0" xfId="0" applyNumberFormat="1"/>
    <xf numFmtId="0" fontId="0" fillId="9" borderId="0" xfId="0" applyFill="1" applyAlignment="1">
      <alignment horizontal="center"/>
    </xf>
    <xf numFmtId="0" fontId="0" fillId="9" borderId="0" xfId="0" applyFill="1"/>
    <xf numFmtId="0" fontId="2" fillId="9" borderId="0" xfId="0" applyFont="1" applyFill="1"/>
    <xf numFmtId="0" fontId="0" fillId="10" borderId="0" xfId="0" applyFill="1"/>
    <xf numFmtId="0" fontId="0" fillId="11" borderId="0" xfId="0" applyFill="1"/>
    <xf numFmtId="0" fontId="3" fillId="0" borderId="0" xfId="0" applyFont="1"/>
    <xf numFmtId="0" fontId="0" fillId="11" borderId="2" xfId="0" applyFill="1" applyBorder="1"/>
    <xf numFmtId="0" fontId="0" fillId="11" borderId="3" xfId="0" applyFill="1" applyBorder="1"/>
    <xf numFmtId="0" fontId="1" fillId="0" borderId="0" xfId="0" applyFont="1"/>
    <xf numFmtId="0" fontId="0" fillId="10" borderId="2" xfId="0" applyFill="1" applyBorder="1"/>
    <xf numFmtId="0" fontId="2" fillId="10" borderId="0" xfId="0" applyFont="1" applyFill="1"/>
    <xf numFmtId="0" fontId="0" fillId="12" borderId="0" xfId="0" applyFill="1"/>
    <xf numFmtId="0" fontId="0" fillId="13" borderId="0" xfId="0" applyFill="1"/>
    <xf numFmtId="0" fontId="2" fillId="13" borderId="0" xfId="0" applyFont="1" applyFill="1"/>
    <xf numFmtId="0" fontId="0" fillId="13" borderId="2" xfId="0" applyFill="1" applyBorder="1"/>
    <xf numFmtId="0" fontId="0" fillId="13" borderId="1" xfId="0" applyFill="1" applyBorder="1"/>
    <xf numFmtId="0" fontId="0" fillId="14" borderId="0" xfId="0" applyFill="1"/>
    <xf numFmtId="0" fontId="0" fillId="14" borderId="2" xfId="0" applyFill="1" applyBorder="1"/>
    <xf numFmtId="0" fontId="2" fillId="14" borderId="0" xfId="0" applyFont="1" applyFill="1"/>
    <xf numFmtId="0" fontId="0" fillId="15" borderId="0" xfId="0" applyFill="1"/>
    <xf numFmtId="0" fontId="0" fillId="15" borderId="2" xfId="0" applyFill="1" applyBorder="1"/>
    <xf numFmtId="0" fontId="2" fillId="15" borderId="0" xfId="0" applyFont="1" applyFill="1"/>
    <xf numFmtId="0" fontId="0" fillId="15" borderId="3" xfId="0" applyFill="1" applyBorder="1"/>
    <xf numFmtId="0" fontId="4" fillId="0" borderId="0" xfId="0" applyFont="1"/>
    <xf numFmtId="0" fontId="0" fillId="16" borderId="0" xfId="0" applyFill="1"/>
    <xf numFmtId="0" fontId="2" fillId="4" borderId="0" xfId="0" applyFont="1" applyFill="1"/>
    <xf numFmtId="0" fontId="2" fillId="7" borderId="0" xfId="0" applyFont="1" applyFill="1"/>
    <xf numFmtId="0" fontId="2" fillId="0" borderId="0" xfId="0" applyFont="1"/>
    <xf numFmtId="0" fontId="4" fillId="6" borderId="0" xfId="0" applyFont="1" applyFill="1"/>
    <xf numFmtId="0" fontId="0" fillId="17" borderId="0" xfId="0" applyFill="1"/>
    <xf numFmtId="2" fontId="0" fillId="6" borderId="2" xfId="0" applyNumberFormat="1" applyFill="1" applyBorder="1"/>
    <xf numFmtId="0" fontId="0" fillId="19" borderId="0" xfId="0" applyFill="1"/>
    <xf numFmtId="0" fontId="0" fillId="18" borderId="0" xfId="0" applyFill="1"/>
    <xf numFmtId="0" fontId="0" fillId="18" borderId="1" xfId="0" applyFill="1" applyBorder="1"/>
    <xf numFmtId="0" fontId="0" fillId="15" borderId="1" xfId="0" applyFill="1" applyBorder="1"/>
    <xf numFmtId="0" fontId="0" fillId="18" borderId="2" xfId="0" applyFill="1" applyBorder="1"/>
    <xf numFmtId="0" fontId="4" fillId="18" borderId="0" xfId="0" applyFont="1" applyFill="1" applyAlignment="1">
      <alignment horizontal="center"/>
    </xf>
    <xf numFmtId="0" fontId="4" fillId="0" borderId="4" xfId="0" applyFont="1" applyBorder="1"/>
    <xf numFmtId="0" fontId="0" fillId="20" borderId="0" xfId="0" applyFill="1"/>
    <xf numFmtId="10" fontId="0" fillId="2" borderId="0" xfId="0" applyNumberFormat="1" applyFill="1"/>
    <xf numFmtId="9" fontId="0" fillId="2" borderId="0" xfId="0" applyNumberFormat="1" applyFill="1"/>
    <xf numFmtId="10" fontId="0" fillId="12" borderId="0" xfId="0" applyNumberFormat="1" applyFill="1"/>
    <xf numFmtId="2" fontId="4" fillId="0" borderId="0" xfId="0" applyNumberFormat="1" applyFont="1"/>
    <xf numFmtId="0" fontId="0" fillId="21" borderId="0" xfId="0" applyFill="1"/>
    <xf numFmtId="9" fontId="0" fillId="21" borderId="0" xfId="0" applyNumberFormat="1" applyFill="1"/>
    <xf numFmtId="0" fontId="0" fillId="22" borderId="0" xfId="0" applyFill="1"/>
    <xf numFmtId="0" fontId="0" fillId="21" borderId="4" xfId="0" applyFill="1" applyBorder="1"/>
    <xf numFmtId="2" fontId="0" fillId="21" borderId="4" xfId="0" applyNumberFormat="1" applyFill="1" applyBorder="1"/>
    <xf numFmtId="0" fontId="2" fillId="8" borderId="6" xfId="0" applyFont="1" applyFill="1" applyBorder="1"/>
    <xf numFmtId="0" fontId="0" fillId="8" borderId="6" xfId="0" applyFill="1" applyBorder="1"/>
    <xf numFmtId="0" fontId="5" fillId="0" borderId="0" xfId="0" applyFont="1" applyAlignment="1">
      <alignment textRotation="30"/>
    </xf>
    <xf numFmtId="0" fontId="6" fillId="0" borderId="0" xfId="0" applyFont="1"/>
    <xf numFmtId="10" fontId="0" fillId="6" borderId="0" xfId="0" applyNumberFormat="1" applyFill="1"/>
    <xf numFmtId="10" fontId="0" fillId="7" borderId="0" xfId="0" applyNumberFormat="1" applyFill="1"/>
    <xf numFmtId="10" fontId="0" fillId="5" borderId="0" xfId="0" applyNumberFormat="1" applyFill="1"/>
    <xf numFmtId="0" fontId="0" fillId="23" borderId="0" xfId="0" applyFill="1"/>
    <xf numFmtId="0" fontId="2" fillId="18" borderId="0" xfId="0" applyFont="1" applyFill="1"/>
    <xf numFmtId="0" fontId="0" fillId="18" borderId="8" xfId="0" applyFill="1" applyBorder="1"/>
    <xf numFmtId="0" fontId="0" fillId="7" borderId="4" xfId="0" applyFill="1" applyBorder="1"/>
    <xf numFmtId="0" fontId="0" fillId="6" borderId="4" xfId="0" applyFill="1" applyBorder="1"/>
    <xf numFmtId="0" fontId="0" fillId="11" borderId="4" xfId="0" applyFill="1" applyBorder="1"/>
    <xf numFmtId="0" fontId="0" fillId="10" borderId="4" xfId="0" applyFill="1" applyBorder="1"/>
    <xf numFmtId="0" fontId="0" fillId="13" borderId="4" xfId="0" applyFill="1" applyBorder="1"/>
    <xf numFmtId="0" fontId="0" fillId="11" borderId="7" xfId="0" applyFill="1" applyBorder="1"/>
    <xf numFmtId="0" fontId="0" fillId="24" borderId="0" xfId="0" applyFill="1"/>
    <xf numFmtId="0" fontId="0" fillId="0" borderId="3" xfId="0" applyBorder="1"/>
    <xf numFmtId="0" fontId="0" fillId="0" borderId="5" xfId="0" applyBorder="1"/>
    <xf numFmtId="0" fontId="4" fillId="0" borderId="6" xfId="0" applyFont="1" applyBorder="1" applyAlignment="1">
      <alignment horizontal="left"/>
    </xf>
    <xf numFmtId="0" fontId="0" fillId="0" borderId="6" xfId="0" applyBorder="1" applyAlignment="1">
      <alignment horizontal="center"/>
    </xf>
    <xf numFmtId="0" fontId="4" fillId="0" borderId="6" xfId="0" applyFont="1" applyBorder="1" applyAlignment="1">
      <alignment horizontal="center"/>
    </xf>
    <xf numFmtId="0" fontId="0" fillId="0" borderId="9" xfId="0" applyBorder="1"/>
    <xf numFmtId="0" fontId="4" fillId="0" borderId="0" xfId="0" applyFont="1" applyAlignment="1">
      <alignment horizontal="left"/>
    </xf>
    <xf numFmtId="0" fontId="0" fillId="0" borderId="0" xfId="0" applyAlignment="1">
      <alignment horizontal="center"/>
    </xf>
    <xf numFmtId="0" fontId="4" fillId="0" borderId="0" xfId="0" applyFont="1" applyAlignment="1">
      <alignment horizontal="center"/>
    </xf>
    <xf numFmtId="0" fontId="0" fillId="13" borderId="9" xfId="0" applyFill="1" applyBorder="1"/>
    <xf numFmtId="0" fontId="4" fillId="13" borderId="0" xfId="0" applyFont="1" applyFill="1" applyAlignment="1">
      <alignment horizontal="left"/>
    </xf>
    <xf numFmtId="0" fontId="4" fillId="9" borderId="0" xfId="0" applyFont="1" applyFill="1" applyAlignment="1">
      <alignment horizontal="left"/>
    </xf>
    <xf numFmtId="0" fontId="0" fillId="13" borderId="0" xfId="0" applyFill="1" applyAlignment="1">
      <alignment horizontal="center"/>
    </xf>
    <xf numFmtId="0" fontId="4" fillId="13" borderId="0" xfId="0" applyFont="1" applyFill="1" applyAlignment="1">
      <alignment horizontal="center"/>
    </xf>
    <xf numFmtId="0" fontId="8" fillId="13" borderId="0" xfId="0" applyFont="1" applyFill="1" applyAlignment="1">
      <alignment horizontal="left"/>
    </xf>
    <xf numFmtId="0" fontId="0" fillId="0" borderId="0" xfId="0" applyAlignment="1">
      <alignment horizontal="left"/>
    </xf>
    <xf numFmtId="0" fontId="0" fillId="13" borderId="10" xfId="0" applyFill="1" applyBorder="1"/>
    <xf numFmtId="0" fontId="4" fillId="13" borderId="11" xfId="0" applyFont="1" applyFill="1" applyBorder="1" applyAlignment="1">
      <alignment horizontal="left"/>
    </xf>
    <xf numFmtId="0" fontId="4" fillId="9" borderId="11" xfId="0" applyFont="1" applyFill="1" applyBorder="1" applyAlignment="1">
      <alignment horizontal="left"/>
    </xf>
    <xf numFmtId="0" fontId="4" fillId="13" borderId="11" xfId="0" applyFont="1" applyFill="1" applyBorder="1" applyAlignment="1">
      <alignment horizontal="center"/>
    </xf>
    <xf numFmtId="0" fontId="4" fillId="9" borderId="11" xfId="0" applyFont="1" applyFill="1" applyBorder="1" applyAlignment="1">
      <alignment horizontal="center"/>
    </xf>
    <xf numFmtId="0" fontId="2" fillId="13" borderId="11" xfId="0" applyFont="1" applyFill="1" applyBorder="1" applyAlignment="1">
      <alignment horizontal="left"/>
    </xf>
    <xf numFmtId="0" fontId="0" fillId="25" borderId="2" xfId="0" applyFill="1" applyBorder="1"/>
    <xf numFmtId="0" fontId="4" fillId="26" borderId="0" xfId="0" applyFont="1" applyFill="1" applyAlignment="1">
      <alignment horizontal="left"/>
    </xf>
    <xf numFmtId="0" fontId="0" fillId="26" borderId="0" xfId="0" applyFill="1" applyAlignment="1">
      <alignment horizontal="center"/>
    </xf>
    <xf numFmtId="0" fontId="0" fillId="25" borderId="1" xfId="0" applyFill="1" applyBorder="1"/>
    <xf numFmtId="0" fontId="10" fillId="0" borderId="9" xfId="0" applyFont="1" applyBorder="1"/>
    <xf numFmtId="0" fontId="4" fillId="17" borderId="0" xfId="0" applyFont="1" applyFill="1"/>
    <xf numFmtId="0" fontId="10" fillId="16" borderId="0" xfId="0" applyFont="1" applyFill="1"/>
    <xf numFmtId="0" fontId="8" fillId="0" borderId="4" xfId="0" applyFont="1" applyBorder="1" applyAlignment="1">
      <alignment horizontal="center" vertical="center"/>
    </xf>
    <xf numFmtId="0" fontId="4" fillId="17" borderId="0" xfId="0" applyFont="1" applyFill="1" applyAlignment="1">
      <alignment horizontal="center"/>
    </xf>
    <xf numFmtId="0" fontId="4" fillId="16" borderId="0" xfId="0" applyFont="1" applyFill="1" applyAlignment="1">
      <alignment horizontal="left"/>
    </xf>
    <xf numFmtId="4" fontId="4" fillId="0" borderId="0" xfId="0" applyNumberFormat="1" applyFont="1" applyAlignment="1">
      <alignment horizontal="left"/>
    </xf>
    <xf numFmtId="4" fontId="1" fillId="26" borderId="0" xfId="0" applyNumberFormat="1" applyFont="1" applyFill="1" applyAlignment="1">
      <alignment horizontal="center"/>
    </xf>
    <xf numFmtId="4" fontId="4" fillId="17" borderId="0" xfId="0" applyNumberFormat="1" applyFont="1" applyFill="1" applyAlignment="1">
      <alignment horizontal="left"/>
    </xf>
    <xf numFmtId="4" fontId="0" fillId="17" borderId="0" xfId="0" applyNumberFormat="1" applyFill="1" applyAlignment="1">
      <alignment horizontal="center"/>
    </xf>
    <xf numFmtId="4" fontId="0" fillId="0" borderId="0" xfId="0" applyNumberFormat="1" applyAlignment="1">
      <alignment horizontal="left"/>
    </xf>
    <xf numFmtId="0" fontId="4" fillId="17" borderId="0" xfId="0" applyFont="1" applyFill="1" applyAlignment="1">
      <alignment horizontal="left"/>
    </xf>
    <xf numFmtId="0" fontId="0" fillId="17" borderId="0" xfId="0" applyFill="1" applyAlignment="1">
      <alignment horizontal="center"/>
    </xf>
    <xf numFmtId="4" fontId="1" fillId="9" borderId="0" xfId="0" applyNumberFormat="1" applyFont="1" applyFill="1" applyAlignment="1">
      <alignment horizontal="center"/>
    </xf>
    <xf numFmtId="0" fontId="0" fillId="23" borderId="2" xfId="0" applyFill="1" applyBorder="1"/>
    <xf numFmtId="0" fontId="1" fillId="0" borderId="6" xfId="0" applyFont="1" applyBorder="1" applyAlignment="1">
      <alignment horizontal="left"/>
    </xf>
    <xf numFmtId="4" fontId="0" fillId="2" borderId="0" xfId="0" applyNumberFormat="1" applyFill="1" applyAlignment="1">
      <alignment horizontal="center"/>
    </xf>
    <xf numFmtId="4" fontId="0" fillId="0" borderId="0" xfId="0" applyNumberFormat="1" applyAlignment="1">
      <alignment horizontal="center"/>
    </xf>
    <xf numFmtId="0" fontId="1" fillId="9" borderId="11" xfId="0" applyFont="1" applyFill="1" applyBorder="1" applyAlignment="1">
      <alignment horizontal="left"/>
    </xf>
    <xf numFmtId="0" fontId="1" fillId="13" borderId="11" xfId="0" applyFont="1" applyFill="1" applyBorder="1" applyAlignment="1">
      <alignment horizontal="center"/>
    </xf>
    <xf numFmtId="0" fontId="1" fillId="9" borderId="11" xfId="0" applyFont="1" applyFill="1" applyBorder="1" applyAlignment="1">
      <alignment horizontal="center"/>
    </xf>
    <xf numFmtId="0" fontId="1" fillId="0" borderId="0" xfId="0" applyFont="1" applyAlignment="1">
      <alignment horizontal="left"/>
    </xf>
    <xf numFmtId="0" fontId="8" fillId="0" borderId="0" xfId="0" applyFont="1" applyAlignment="1">
      <alignment horizontal="center" vertical="center"/>
    </xf>
    <xf numFmtId="4" fontId="4" fillId="26" borderId="0" xfId="0" applyNumberFormat="1" applyFont="1" applyFill="1" applyAlignment="1">
      <alignment horizontal="left"/>
    </xf>
    <xf numFmtId="4" fontId="0" fillId="26" borderId="0" xfId="0" applyNumberFormat="1" applyFill="1" applyAlignment="1">
      <alignment horizontal="center"/>
    </xf>
    <xf numFmtId="4" fontId="4" fillId="9" borderId="0" xfId="0" applyNumberFormat="1" applyFont="1" applyFill="1" applyAlignment="1">
      <alignment horizontal="center"/>
    </xf>
    <xf numFmtId="0" fontId="4" fillId="23" borderId="0" xfId="0" applyFont="1" applyFill="1" applyAlignment="1">
      <alignment horizontal="left"/>
    </xf>
    <xf numFmtId="0" fontId="4" fillId="23" borderId="0" xfId="0" applyFont="1" applyFill="1"/>
    <xf numFmtId="0" fontId="0" fillId="27" borderId="0" xfId="0" applyFill="1"/>
    <xf numFmtId="0" fontId="13" fillId="0" borderId="0" xfId="0" applyFont="1"/>
    <xf numFmtId="0" fontId="1" fillId="27" borderId="0" xfId="0" applyFont="1" applyFill="1"/>
    <xf numFmtId="0" fontId="14" fillId="0" borderId="0" xfId="0" applyFont="1"/>
    <xf numFmtId="0" fontId="2" fillId="9" borderId="0" xfId="0" applyFont="1" applyFill="1" applyAlignment="1">
      <alignment horizontal="center"/>
    </xf>
    <xf numFmtId="0" fontId="8" fillId="0" borderId="0" xfId="0" applyFont="1" applyAlignment="1">
      <alignment horizontal="left"/>
    </xf>
    <xf numFmtId="0" fontId="8" fillId="0" borderId="0" xfId="0" applyFont="1" applyAlignment="1">
      <alignment horizontal="center"/>
    </xf>
    <xf numFmtId="0" fontId="8" fillId="23" borderId="0" xfId="0" applyFont="1" applyFill="1" applyAlignment="1">
      <alignment horizontal="left"/>
    </xf>
    <xf numFmtId="0" fontId="8" fillId="23" borderId="0" xfId="0" applyFont="1" applyFill="1" applyAlignment="1">
      <alignment horizontal="center"/>
    </xf>
    <xf numFmtId="0" fontId="2" fillId="23" borderId="0" xfId="0" applyFont="1" applyFill="1"/>
    <xf numFmtId="0" fontId="4" fillId="23" borderId="0" xfId="0" applyFont="1" applyFill="1" applyAlignment="1">
      <alignment horizontal="center"/>
    </xf>
    <xf numFmtId="0" fontId="8" fillId="10" borderId="0" xfId="0" applyFont="1" applyFill="1" applyAlignment="1">
      <alignment horizontal="center" vertical="center"/>
    </xf>
    <xf numFmtId="0" fontId="0" fillId="26" borderId="0" xfId="0" applyFill="1"/>
    <xf numFmtId="9" fontId="0" fillId="0" borderId="0" xfId="0" applyNumberFormat="1"/>
    <xf numFmtId="0" fontId="0" fillId="25" borderId="0" xfId="0" applyFill="1"/>
    <xf numFmtId="9" fontId="2" fillId="18" borderId="0" xfId="1" applyFont="1" applyFill="1"/>
    <xf numFmtId="0" fontId="15" fillId="16" borderId="0" xfId="0" applyFont="1" applyFill="1" applyAlignment="1">
      <alignment horizontal="center"/>
    </xf>
    <xf numFmtId="0" fontId="15" fillId="16" borderId="0" xfId="0" applyFont="1" applyFill="1" applyAlignment="1">
      <alignment horizontal="left"/>
    </xf>
    <xf numFmtId="0" fontId="17" fillId="0" borderId="0" xfId="0" applyFont="1"/>
    <xf numFmtId="0" fontId="14" fillId="18" borderId="0" xfId="0" applyFont="1" applyFill="1" applyAlignment="1">
      <alignment horizontal="center"/>
    </xf>
    <xf numFmtId="0" fontId="4" fillId="4" borderId="0" xfId="0" applyFont="1" applyFill="1"/>
    <xf numFmtId="2" fontId="4" fillId="0" borderId="0" xfId="0" applyNumberFormat="1" applyFont="1" applyAlignment="1">
      <alignment horizontal="center"/>
    </xf>
    <xf numFmtId="2" fontId="4" fillId="17" borderId="0" xfId="0" applyNumberFormat="1" applyFont="1" applyFill="1" applyAlignment="1">
      <alignment horizontal="center"/>
    </xf>
    <xf numFmtId="0" fontId="8" fillId="10" borderId="0" xfId="0" applyFont="1" applyFill="1" applyAlignment="1">
      <alignment horizontal="center"/>
    </xf>
    <xf numFmtId="0" fontId="8" fillId="10" borderId="0" xfId="0" applyFont="1" applyFill="1" applyAlignment="1">
      <alignment horizontal="left"/>
    </xf>
    <xf numFmtId="0" fontId="0" fillId="19" borderId="0" xfId="0" applyFill="1" applyAlignment="1">
      <alignment horizontal="left"/>
    </xf>
    <xf numFmtId="0" fontId="8" fillId="9" borderId="0" xfId="0" applyFont="1" applyFill="1" applyAlignment="1">
      <alignment horizontal="center"/>
    </xf>
    <xf numFmtId="0" fontId="8" fillId="9" borderId="0" xfId="0" applyFont="1" applyFill="1" applyAlignment="1">
      <alignment horizontal="left"/>
    </xf>
    <xf numFmtId="0" fontId="19" fillId="0" borderId="0" xfId="0" applyFont="1"/>
    <xf numFmtId="4" fontId="0" fillId="0" borderId="0" xfId="0" applyNumberFormat="1"/>
    <xf numFmtId="0" fontId="0" fillId="28" borderId="0" xfId="0" applyFill="1"/>
    <xf numFmtId="4" fontId="0" fillId="17" borderId="0" xfId="0" applyNumberFormat="1" applyFill="1"/>
    <xf numFmtId="0" fontId="4" fillId="21" borderId="0" xfId="0" applyFont="1" applyFill="1" applyAlignment="1">
      <alignment horizontal="center"/>
    </xf>
    <xf numFmtId="0" fontId="4" fillId="29" borderId="0" xfId="0" applyFont="1" applyFill="1" applyAlignment="1">
      <alignment horizontal="center"/>
    </xf>
    <xf numFmtId="0" fontId="4" fillId="29" borderId="0" xfId="0" applyFont="1" applyFill="1" applyAlignment="1">
      <alignment horizontal="left"/>
    </xf>
    <xf numFmtId="0" fontId="0" fillId="29" borderId="0" xfId="0" applyFill="1"/>
    <xf numFmtId="0" fontId="10" fillId="16" borderId="0" xfId="0" applyFont="1" applyFill="1" applyAlignment="1">
      <alignment horizontal="center"/>
    </xf>
    <xf numFmtId="0" fontId="22" fillId="0" borderId="0" xfId="0" applyFont="1"/>
    <xf numFmtId="0" fontId="4" fillId="29" borderId="0" xfId="0" applyFont="1" applyFill="1"/>
    <xf numFmtId="2" fontId="1" fillId="17" borderId="0" xfId="0" applyNumberFormat="1" applyFont="1" applyFill="1" applyAlignment="1">
      <alignment horizontal="center"/>
    </xf>
    <xf numFmtId="2" fontId="4" fillId="26" borderId="0" xfId="0" applyNumberFormat="1" applyFont="1" applyFill="1" applyAlignment="1">
      <alignment horizontal="center"/>
    </xf>
    <xf numFmtId="2" fontId="8" fillId="10" borderId="0" xfId="0" applyNumberFormat="1" applyFont="1" applyFill="1" applyAlignment="1">
      <alignment horizontal="center"/>
    </xf>
    <xf numFmtId="0" fontId="4" fillId="2" borderId="0" xfId="0" applyFont="1" applyFill="1" applyAlignment="1">
      <alignment horizontal="left"/>
    </xf>
    <xf numFmtId="0" fontId="1" fillId="21" borderId="0" xfId="0" applyFont="1" applyFill="1" applyAlignment="1">
      <alignment horizontal="center"/>
    </xf>
    <xf numFmtId="0" fontId="1" fillId="0" borderId="0" xfId="0" applyFont="1" applyAlignment="1">
      <alignment horizontal="center"/>
    </xf>
    <xf numFmtId="0" fontId="4" fillId="10" borderId="0" xfId="0" applyFont="1" applyFill="1" applyAlignment="1">
      <alignment horizontal="center"/>
    </xf>
    <xf numFmtId="0" fontId="4" fillId="10" borderId="0" xfId="0" applyFont="1" applyFill="1" applyAlignment="1">
      <alignment horizontal="left"/>
    </xf>
    <xf numFmtId="4" fontId="4" fillId="17" borderId="0" xfId="0" applyNumberFormat="1" applyFont="1" applyFill="1" applyAlignment="1">
      <alignment horizontal="center"/>
    </xf>
    <xf numFmtId="0" fontId="4" fillId="11" borderId="0" xfId="0" applyFont="1" applyFill="1" applyAlignment="1">
      <alignment horizontal="center"/>
    </xf>
    <xf numFmtId="0" fontId="4" fillId="12" borderId="0" xfId="0" applyFont="1" applyFill="1" applyAlignment="1">
      <alignment horizontal="center"/>
    </xf>
    <xf numFmtId="0" fontId="4" fillId="26" borderId="0" xfId="0" applyFont="1" applyFill="1" applyAlignment="1">
      <alignment horizontal="center"/>
    </xf>
    <xf numFmtId="0" fontId="4" fillId="22" borderId="0" xfId="0" applyFont="1" applyFill="1" applyAlignment="1">
      <alignment horizontal="left"/>
    </xf>
    <xf numFmtId="0" fontId="4" fillId="22" borderId="0" xfId="0" applyFont="1" applyFill="1" applyAlignment="1">
      <alignment horizontal="center"/>
    </xf>
    <xf numFmtId="2" fontId="1" fillId="30" borderId="0" xfId="0" applyNumberFormat="1" applyFont="1" applyFill="1" applyAlignment="1">
      <alignment horizontal="center"/>
    </xf>
    <xf numFmtId="0" fontId="10" fillId="10" borderId="0" xfId="0" applyFont="1" applyFill="1" applyAlignment="1">
      <alignment horizontal="left"/>
    </xf>
    <xf numFmtId="0" fontId="4" fillId="18" borderId="0" xfId="0" applyFont="1" applyFill="1"/>
    <xf numFmtId="0" fontId="4" fillId="18" borderId="0" xfId="0" applyFont="1" applyFill="1" applyAlignment="1">
      <alignment horizontal="left"/>
    </xf>
    <xf numFmtId="0" fontId="24" fillId="0" borderId="0" xfId="0" applyFont="1" applyAlignment="1">
      <alignment horizontal="center"/>
    </xf>
    <xf numFmtId="0" fontId="4" fillId="16" borderId="0" xfId="0" applyFont="1" applyFill="1" applyAlignment="1">
      <alignment horizontal="center"/>
    </xf>
    <xf numFmtId="0" fontId="1" fillId="31" borderId="0" xfId="0" applyFont="1" applyFill="1" applyAlignment="1">
      <alignment horizontal="center"/>
    </xf>
    <xf numFmtId="0" fontId="4" fillId="7" borderId="0" xfId="0" applyFont="1" applyFill="1" applyAlignment="1">
      <alignment horizontal="center"/>
    </xf>
    <xf numFmtId="0" fontId="4" fillId="7" borderId="0" xfId="0" applyFont="1" applyFill="1" applyAlignment="1">
      <alignment horizontal="left"/>
    </xf>
    <xf numFmtId="9" fontId="0" fillId="0" borderId="0" xfId="1" applyFont="1"/>
    <xf numFmtId="0" fontId="10" fillId="0" borderId="0" xfId="0" applyFont="1" applyAlignment="1">
      <alignment horizontal="left"/>
    </xf>
    <xf numFmtId="0" fontId="10" fillId="0" borderId="0" xfId="0" applyFont="1" applyAlignment="1">
      <alignment horizontal="center"/>
    </xf>
    <xf numFmtId="0" fontId="23" fillId="0" borderId="0" xfId="0" applyFont="1" applyAlignment="1">
      <alignment horizontal="center" vertical="center" textRotation="45"/>
    </xf>
    <xf numFmtId="0" fontId="18" fillId="16" borderId="0" xfId="0" applyFont="1" applyFill="1" applyAlignment="1">
      <alignment horizontal="center"/>
    </xf>
    <xf numFmtId="0" fontId="4" fillId="16" borderId="0" xfId="0" applyFont="1" applyFill="1"/>
    <xf numFmtId="0" fontId="8" fillId="18" borderId="0" xfId="0" applyFont="1" applyFill="1"/>
    <xf numFmtId="0" fontId="4" fillId="9" borderId="0" xfId="0" applyFont="1" applyFill="1" applyAlignment="1">
      <alignment horizontal="center"/>
    </xf>
    <xf numFmtId="0" fontId="14" fillId="0" borderId="0" xfId="0" applyFont="1" applyAlignment="1">
      <alignment horizontal="center"/>
    </xf>
    <xf numFmtId="0" fontId="8" fillId="0" borderId="0" xfId="0" applyFont="1"/>
    <xf numFmtId="0" fontId="0" fillId="2" borderId="0" xfId="0" applyFill="1" applyAlignment="1">
      <alignment horizontal="left"/>
    </xf>
    <xf numFmtId="2" fontId="0" fillId="0" borderId="0" xfId="0" applyNumberFormat="1" applyAlignment="1">
      <alignment horizontal="center"/>
    </xf>
    <xf numFmtId="2" fontId="0" fillId="17" borderId="0" xfId="0" applyNumberFormat="1" applyFill="1" applyAlignment="1">
      <alignment horizontal="center"/>
    </xf>
    <xf numFmtId="4" fontId="8" fillId="10" borderId="0" xfId="0" applyNumberFormat="1" applyFont="1" applyFill="1" applyAlignment="1">
      <alignment horizontal="center"/>
    </xf>
    <xf numFmtId="4" fontId="4" fillId="0" borderId="0" xfId="0" applyNumberFormat="1" applyFont="1"/>
    <xf numFmtId="4" fontId="4" fillId="0" borderId="0" xfId="0" applyNumberFormat="1" applyFont="1" applyAlignment="1">
      <alignment horizontal="center"/>
    </xf>
    <xf numFmtId="0" fontId="4" fillId="31" borderId="0" xfId="0" applyFont="1" applyFill="1" applyAlignment="1">
      <alignment horizontal="center"/>
    </xf>
    <xf numFmtId="0" fontId="2" fillId="9" borderId="8" xfId="0" applyFont="1" applyFill="1" applyBorder="1" applyAlignment="1">
      <alignment horizontal="left"/>
    </xf>
    <xf numFmtId="0" fontId="2" fillId="9" borderId="11" xfId="0" applyFont="1" applyFill="1" applyBorder="1" applyAlignment="1">
      <alignment horizontal="center"/>
    </xf>
    <xf numFmtId="0" fontId="2" fillId="9" borderId="10" xfId="0" applyFont="1" applyFill="1" applyBorder="1" applyAlignment="1">
      <alignment horizontal="center"/>
    </xf>
    <xf numFmtId="0" fontId="2" fillId="10" borderId="4" xfId="0" applyFont="1" applyFill="1" applyBorder="1"/>
    <xf numFmtId="0" fontId="2" fillId="10" borderId="9" xfId="0" applyFont="1" applyFill="1" applyBorder="1"/>
    <xf numFmtId="0" fontId="23" fillId="0" borderId="0" xfId="0" applyFont="1" applyAlignment="1">
      <alignment vertical="center" textRotation="75"/>
    </xf>
    <xf numFmtId="0" fontId="0" fillId="23" borderId="0" xfId="0" applyFill="1" applyAlignment="1">
      <alignment horizontal="left"/>
    </xf>
    <xf numFmtId="0" fontId="12" fillId="0" borderId="0" xfId="0" applyFont="1" applyAlignment="1">
      <alignment vertical="center" textRotation="45"/>
    </xf>
    <xf numFmtId="0" fontId="12" fillId="23" borderId="0" xfId="0" applyFont="1" applyFill="1" applyAlignment="1">
      <alignment vertical="center" textRotation="45"/>
    </xf>
    <xf numFmtId="0" fontId="12" fillId="20" borderId="0" xfId="0" applyFont="1" applyFill="1" applyAlignment="1">
      <alignment horizontal="center" vertical="center" textRotation="45"/>
    </xf>
    <xf numFmtId="0" fontId="25" fillId="0" borderId="0" xfId="0" applyFont="1"/>
    <xf numFmtId="0" fontId="0" fillId="0" borderId="0" xfId="0" applyAlignment="1">
      <alignment textRotation="45"/>
    </xf>
    <xf numFmtId="0" fontId="26" fillId="0" borderId="0" xfId="0" applyFont="1"/>
    <xf numFmtId="0" fontId="26" fillId="2" borderId="0" xfId="0" applyFont="1" applyFill="1"/>
    <xf numFmtId="0" fontId="25" fillId="2" borderId="0" xfId="0" applyFont="1" applyFill="1"/>
    <xf numFmtId="0" fontId="4" fillId="2" borderId="0" xfId="0" applyFont="1" applyFill="1"/>
    <xf numFmtId="0" fontId="0" fillId="9" borderId="0" xfId="0" applyFill="1" applyAlignment="1">
      <alignment textRotation="45"/>
    </xf>
    <xf numFmtId="0" fontId="0" fillId="0" borderId="11" xfId="0" applyBorder="1"/>
    <xf numFmtId="0" fontId="0" fillId="0" borderId="10" xfId="0" applyBorder="1"/>
    <xf numFmtId="0" fontId="0" fillId="0" borderId="6" xfId="0" applyBorder="1"/>
    <xf numFmtId="0" fontId="2" fillId="0" borderId="8" xfId="0" applyFont="1" applyBorder="1"/>
    <xf numFmtId="0" fontId="2" fillId="0" borderId="4" xfId="0" applyFont="1" applyBorder="1"/>
    <xf numFmtId="0" fontId="2" fillId="0" borderId="7" xfId="0" applyFont="1" applyBorder="1"/>
    <xf numFmtId="0" fontId="0" fillId="10" borderId="8" xfId="0" applyFill="1" applyBorder="1"/>
    <xf numFmtId="0" fontId="0" fillId="10" borderId="11" xfId="0" applyFill="1" applyBorder="1"/>
    <xf numFmtId="0" fontId="0" fillId="10" borderId="9" xfId="0" applyFill="1" applyBorder="1"/>
    <xf numFmtId="0" fontId="0" fillId="10" borderId="7" xfId="0" applyFill="1" applyBorder="1"/>
    <xf numFmtId="0" fontId="0" fillId="10" borderId="6" xfId="0" applyFill="1" applyBorder="1"/>
    <xf numFmtId="0" fontId="0" fillId="10" borderId="5" xfId="0" applyFill="1" applyBorder="1"/>
    <xf numFmtId="0" fontId="27" fillId="0" borderId="0" xfId="0" applyFont="1"/>
    <xf numFmtId="0" fontId="0" fillId="32" borderId="0" xfId="0" applyFill="1"/>
    <xf numFmtId="2" fontId="0" fillId="23" borderId="0" xfId="0" applyNumberFormat="1" applyFill="1"/>
    <xf numFmtId="2" fontId="0" fillId="6" borderId="0" xfId="0" applyNumberFormat="1" applyFill="1"/>
    <xf numFmtId="0" fontId="0" fillId="15" borderId="0" xfId="0" applyFill="1" applyAlignment="1">
      <alignment horizontal="center"/>
    </xf>
    <xf numFmtId="0" fontId="0" fillId="0" borderId="8" xfId="0" applyBorder="1"/>
    <xf numFmtId="0" fontId="0" fillId="0" borderId="7" xfId="0" applyBorder="1"/>
    <xf numFmtId="10" fontId="0" fillId="23" borderId="0" xfId="0" applyNumberFormat="1" applyFill="1"/>
    <xf numFmtId="0" fontId="28" fillId="0" borderId="0" xfId="0" applyFont="1"/>
    <xf numFmtId="0" fontId="29" fillId="0" borderId="0" xfId="0" applyFont="1"/>
    <xf numFmtId="0" fontId="4" fillId="15" borderId="0" xfId="0" applyFont="1" applyFill="1" applyAlignment="1">
      <alignment horizontal="center"/>
    </xf>
    <xf numFmtId="0" fontId="4" fillId="15" borderId="0" xfId="0" applyFont="1" applyFill="1"/>
    <xf numFmtId="0" fontId="4" fillId="15" borderId="0" xfId="0" applyFont="1" applyFill="1" applyAlignment="1">
      <alignment horizontal="left"/>
    </xf>
    <xf numFmtId="2" fontId="4" fillId="15" borderId="0" xfId="0" applyNumberFormat="1" applyFont="1" applyFill="1" applyAlignment="1">
      <alignment horizontal="center"/>
    </xf>
    <xf numFmtId="2" fontId="0" fillId="4" borderId="0" xfId="0" applyNumberFormat="1" applyFill="1"/>
    <xf numFmtId="0" fontId="30" fillId="0" borderId="0" xfId="0" applyFont="1" applyAlignment="1">
      <alignment horizontal="left"/>
    </xf>
    <xf numFmtId="0" fontId="0" fillId="16" borderId="9" xfId="0" applyFill="1" applyBorder="1"/>
    <xf numFmtId="0" fontId="14" fillId="18" borderId="0" xfId="0" applyFont="1" applyFill="1" applyAlignment="1">
      <alignment horizontal="left"/>
    </xf>
    <xf numFmtId="10" fontId="0" fillId="9" borderId="0" xfId="0" applyNumberFormat="1" applyFill="1"/>
    <xf numFmtId="10" fontId="2" fillId="0" borderId="0" xfId="0" applyNumberFormat="1" applyFont="1"/>
    <xf numFmtId="10" fontId="0" fillId="14" borderId="0" xfId="0" applyNumberFormat="1" applyFill="1"/>
    <xf numFmtId="10" fontId="4" fillId="18" borderId="0" xfId="0" applyNumberFormat="1" applyFont="1" applyFill="1"/>
    <xf numFmtId="10" fontId="0" fillId="4" borderId="0" xfId="0" applyNumberFormat="1" applyFill="1"/>
    <xf numFmtId="10" fontId="2" fillId="18" borderId="0" xfId="0" applyNumberFormat="1" applyFont="1" applyFill="1"/>
    <xf numFmtId="10" fontId="2" fillId="14" borderId="0" xfId="0" applyNumberFormat="1" applyFont="1" applyFill="1"/>
    <xf numFmtId="9" fontId="0" fillId="14" borderId="0" xfId="0" applyNumberFormat="1" applyFill="1"/>
    <xf numFmtId="0" fontId="18" fillId="0" borderId="0" xfId="0" applyFont="1"/>
    <xf numFmtId="10" fontId="0" fillId="2" borderId="0" xfId="0" applyNumberFormat="1" applyFill="1" applyAlignment="1">
      <alignment horizontal="center"/>
    </xf>
    <xf numFmtId="0" fontId="0" fillId="2" borderId="0" xfId="0" applyFill="1" applyAlignment="1">
      <alignment horizontal="center"/>
    </xf>
    <xf numFmtId="0" fontId="2" fillId="22" borderId="0" xfId="0" applyFont="1" applyFill="1"/>
    <xf numFmtId="10" fontId="0" fillId="18" borderId="8" xfId="0" applyNumberFormat="1" applyFill="1" applyBorder="1"/>
    <xf numFmtId="0" fontId="0" fillId="22" borderId="11" xfId="0" applyFill="1" applyBorder="1"/>
    <xf numFmtId="0" fontId="0" fillId="22" borderId="10" xfId="0" applyFill="1" applyBorder="1"/>
    <xf numFmtId="0" fontId="0" fillId="22" borderId="10" xfId="0" applyFill="1" applyBorder="1" applyAlignment="1">
      <alignment horizontal="center"/>
    </xf>
    <xf numFmtId="10" fontId="0" fillId="22" borderId="0" xfId="0" applyNumberFormat="1" applyFill="1"/>
    <xf numFmtId="10" fontId="0" fillId="18" borderId="0" xfId="0" applyNumberFormat="1" applyFill="1"/>
    <xf numFmtId="10" fontId="0" fillId="17" borderId="0" xfId="0" applyNumberFormat="1" applyFill="1"/>
    <xf numFmtId="10" fontId="0" fillId="22" borderId="4" xfId="0" applyNumberFormat="1" applyFill="1" applyBorder="1"/>
    <xf numFmtId="0" fontId="0" fillId="22" borderId="9" xfId="0" applyFill="1" applyBorder="1"/>
    <xf numFmtId="0" fontId="0" fillId="22" borderId="9" xfId="0" applyFill="1" applyBorder="1" applyAlignment="1">
      <alignment horizontal="center"/>
    </xf>
    <xf numFmtId="10" fontId="0" fillId="18" borderId="7" xfId="0" applyNumberFormat="1" applyFill="1" applyBorder="1"/>
    <xf numFmtId="0" fontId="0" fillId="22" borderId="6" xfId="0" applyFill="1" applyBorder="1"/>
    <xf numFmtId="0" fontId="0" fillId="22" borderId="5" xfId="0" applyFill="1" applyBorder="1"/>
    <xf numFmtId="0" fontId="0" fillId="22" borderId="5" xfId="0" applyFill="1" applyBorder="1" applyAlignment="1">
      <alignment horizontal="center"/>
    </xf>
    <xf numFmtId="0" fontId="0" fillId="22" borderId="0" xfId="0" applyFill="1" applyAlignment="1">
      <alignment horizontal="center"/>
    </xf>
    <xf numFmtId="9" fontId="0" fillId="22" borderId="0" xfId="0" applyNumberFormat="1" applyFill="1"/>
    <xf numFmtId="10" fontId="0" fillId="22" borderId="1" xfId="0" applyNumberFormat="1" applyFill="1" applyBorder="1" applyAlignment="1">
      <alignment horizontal="center" vertical="center"/>
    </xf>
    <xf numFmtId="0" fontId="0" fillId="22" borderId="2" xfId="0" applyFill="1" applyBorder="1" applyAlignment="1">
      <alignment horizontal="center" vertical="center"/>
    </xf>
    <xf numFmtId="0" fontId="0" fillId="22" borderId="3" xfId="0" applyFill="1" applyBorder="1" applyAlignment="1">
      <alignment horizontal="center" vertical="center"/>
    </xf>
    <xf numFmtId="2" fontId="2" fillId="0" borderId="0" xfId="0" applyNumberFormat="1" applyFont="1"/>
    <xf numFmtId="2" fontId="19" fillId="0" borderId="0" xfId="0" applyNumberFormat="1" applyFont="1" applyAlignment="1">
      <alignment horizontal="center"/>
    </xf>
    <xf numFmtId="2" fontId="0" fillId="15" borderId="0" xfId="0" applyNumberFormat="1" applyFill="1" applyAlignment="1">
      <alignment horizontal="center"/>
    </xf>
    <xf numFmtId="9" fontId="0" fillId="12" borderId="0" xfId="0" applyNumberFormat="1" applyFill="1"/>
    <xf numFmtId="0" fontId="0" fillId="16" borderId="0" xfId="0" applyFill="1" applyAlignment="1">
      <alignment horizontal="center"/>
    </xf>
    <xf numFmtId="0" fontId="0" fillId="6" borderId="9" xfId="0" applyFill="1" applyBorder="1"/>
    <xf numFmtId="0" fontId="2" fillId="24" borderId="0" xfId="0" applyFont="1" applyFill="1"/>
    <xf numFmtId="0" fontId="2" fillId="6" borderId="0" xfId="0" applyFont="1" applyFill="1"/>
    <xf numFmtId="2" fontId="0" fillId="17" borderId="0" xfId="0" applyNumberFormat="1" applyFill="1"/>
    <xf numFmtId="9" fontId="1" fillId="21" borderId="0" xfId="0" applyNumberFormat="1" applyFont="1" applyFill="1"/>
    <xf numFmtId="9" fontId="0" fillId="7" borderId="0" xfId="0" applyNumberFormat="1" applyFill="1"/>
    <xf numFmtId="0" fontId="4" fillId="21" borderId="0" xfId="0" applyFont="1" applyFill="1"/>
    <xf numFmtId="0" fontId="11" fillId="18" borderId="0" xfId="0" applyFont="1" applyFill="1"/>
    <xf numFmtId="0" fontId="4" fillId="9" borderId="0" xfId="0" applyFont="1" applyFill="1"/>
    <xf numFmtId="0" fontId="4" fillId="12" borderId="0" xfId="0" applyFont="1" applyFill="1" applyAlignment="1">
      <alignment horizontal="left"/>
    </xf>
    <xf numFmtId="0" fontId="4" fillId="24" borderId="0" xfId="0" applyFont="1" applyFill="1" applyAlignment="1">
      <alignment horizontal="center"/>
    </xf>
    <xf numFmtId="10" fontId="4" fillId="0" borderId="0" xfId="0" applyNumberFormat="1" applyFont="1"/>
    <xf numFmtId="0" fontId="0" fillId="0" borderId="0" xfId="0" applyAlignment="1">
      <alignment horizontal="left" vertical="center"/>
    </xf>
    <xf numFmtId="0" fontId="4" fillId="0" borderId="0" xfId="0" applyFont="1" applyAlignment="1">
      <alignment horizontal="left" vertical="center"/>
    </xf>
    <xf numFmtId="10" fontId="0" fillId="13" borderId="0" xfId="0" applyNumberFormat="1" applyFill="1"/>
    <xf numFmtId="10" fontId="0" fillId="21" borderId="0" xfId="0" applyNumberFormat="1" applyFill="1"/>
    <xf numFmtId="0" fontId="0" fillId="8" borderId="0" xfId="0" applyFill="1"/>
    <xf numFmtId="4" fontId="4" fillId="24" borderId="0" xfId="0" applyNumberFormat="1" applyFont="1" applyFill="1" applyAlignment="1">
      <alignment horizontal="center"/>
    </xf>
    <xf numFmtId="4" fontId="4" fillId="24" borderId="0" xfId="0" applyNumberFormat="1" applyFont="1" applyFill="1" applyAlignment="1">
      <alignment horizontal="left"/>
    </xf>
    <xf numFmtId="0" fontId="4" fillId="24" borderId="0" xfId="0" applyFont="1" applyFill="1" applyAlignment="1">
      <alignment horizontal="left"/>
    </xf>
    <xf numFmtId="0" fontId="0" fillId="24" borderId="0" xfId="0" applyFill="1" applyAlignment="1">
      <alignment horizontal="center"/>
    </xf>
    <xf numFmtId="0" fontId="4" fillId="15" borderId="6" xfId="0" applyFont="1" applyFill="1" applyBorder="1" applyAlignment="1">
      <alignment horizontal="left"/>
    </xf>
    <xf numFmtId="0" fontId="0" fillId="15" borderId="6" xfId="0" applyFill="1" applyBorder="1" applyAlignment="1">
      <alignment horizontal="center"/>
    </xf>
    <xf numFmtId="0" fontId="2" fillId="33" borderId="0" xfId="0" applyFont="1" applyFill="1"/>
    <xf numFmtId="0" fontId="0" fillId="33" borderId="0" xfId="0" applyFill="1"/>
    <xf numFmtId="9" fontId="8" fillId="18" borderId="0" xfId="1" applyFont="1" applyFill="1"/>
    <xf numFmtId="0" fontId="30" fillId="0" borderId="0" xfId="0" applyFont="1"/>
    <xf numFmtId="0" fontId="14" fillId="7" borderId="0" xfId="0" applyFont="1" applyFill="1"/>
    <xf numFmtId="2" fontId="0" fillId="20" borderId="0" xfId="0" applyNumberFormat="1" applyFill="1"/>
    <xf numFmtId="0" fontId="4" fillId="22" borderId="0" xfId="0" applyFont="1" applyFill="1"/>
    <xf numFmtId="0" fontId="31" fillId="0" borderId="0" xfId="0" applyFont="1"/>
    <xf numFmtId="0" fontId="1" fillId="22" borderId="0" xfId="0" applyFont="1" applyFill="1"/>
    <xf numFmtId="9" fontId="1" fillId="0" borderId="0" xfId="0" applyNumberFormat="1" applyFont="1"/>
    <xf numFmtId="2" fontId="0" fillId="22" borderId="0" xfId="0" applyNumberFormat="1" applyFill="1"/>
    <xf numFmtId="2" fontId="0" fillId="6" borderId="1" xfId="0" applyNumberFormat="1" applyFill="1" applyBorder="1"/>
    <xf numFmtId="9" fontId="4" fillId="21" borderId="0" xfId="0" applyNumberFormat="1" applyFont="1" applyFill="1"/>
    <xf numFmtId="0" fontId="4" fillId="7" borderId="0" xfId="0" applyFont="1" applyFill="1"/>
    <xf numFmtId="9" fontId="4" fillId="0" borderId="0" xfId="0" applyNumberFormat="1" applyFont="1"/>
    <xf numFmtId="0" fontId="32" fillId="0" borderId="0" xfId="2"/>
    <xf numFmtId="0" fontId="8" fillId="7" borderId="0" xfId="0" applyFont="1" applyFill="1"/>
    <xf numFmtId="0" fontId="14" fillId="18" borderId="0" xfId="0" applyFont="1" applyFill="1"/>
    <xf numFmtId="0" fontId="10" fillId="0" borderId="0" xfId="0" applyFont="1"/>
    <xf numFmtId="0" fontId="4" fillId="0" borderId="2" xfId="0" applyFont="1" applyBorder="1"/>
    <xf numFmtId="9" fontId="4" fillId="2" borderId="0" xfId="0" applyNumberFormat="1" applyFont="1" applyFill="1"/>
    <xf numFmtId="2" fontId="0" fillId="7" borderId="0" xfId="0" applyNumberFormat="1" applyFill="1"/>
    <xf numFmtId="10" fontId="33" fillId="0" borderId="0" xfId="0" applyNumberFormat="1" applyFont="1"/>
    <xf numFmtId="2" fontId="0" fillId="21" borderId="0" xfId="0" applyNumberFormat="1" applyFill="1"/>
    <xf numFmtId="0" fontId="2" fillId="5" borderId="0" xfId="0" applyFont="1" applyFill="1"/>
    <xf numFmtId="0" fontId="2" fillId="14" borderId="11" xfId="0" applyFont="1" applyFill="1" applyBorder="1"/>
    <xf numFmtId="0" fontId="2" fillId="5" borderId="11" xfId="0" applyFont="1" applyFill="1" applyBorder="1"/>
    <xf numFmtId="0" fontId="2" fillId="22" borderId="11" xfId="0" applyFont="1" applyFill="1" applyBorder="1"/>
    <xf numFmtId="2" fontId="0" fillId="11" borderId="0" xfId="0" applyNumberFormat="1" applyFill="1"/>
    <xf numFmtId="0" fontId="1" fillId="12" borderId="0" xfId="0" applyFont="1" applyFill="1"/>
    <xf numFmtId="2" fontId="1" fillId="12" borderId="0" xfId="0" applyNumberFormat="1" applyFont="1" applyFill="1"/>
    <xf numFmtId="0" fontId="4" fillId="11" borderId="0" xfId="0" applyFont="1" applyFill="1"/>
    <xf numFmtId="49" fontId="0" fillId="0" borderId="0" xfId="0" applyNumberFormat="1"/>
    <xf numFmtId="0" fontId="0" fillId="0" borderId="0" xfId="0" quotePrefix="1"/>
    <xf numFmtId="2" fontId="0" fillId="0" borderId="0" xfId="0" quotePrefix="1" applyNumberFormat="1"/>
    <xf numFmtId="0" fontId="1" fillId="18" borderId="0" xfId="0" applyFont="1" applyFill="1"/>
    <xf numFmtId="2" fontId="0" fillId="5" borderId="0" xfId="0" applyNumberFormat="1" applyFill="1"/>
    <xf numFmtId="0" fontId="32" fillId="5" borderId="0" xfId="2" applyFill="1"/>
    <xf numFmtId="10" fontId="0" fillId="0" borderId="0" xfId="1" applyNumberFormat="1" applyFont="1"/>
    <xf numFmtId="164" fontId="0" fillId="16" borderId="0" xfId="0" applyNumberFormat="1" applyFill="1"/>
    <xf numFmtId="164" fontId="0" fillId="0" borderId="0" xfId="0" applyNumberFormat="1"/>
    <xf numFmtId="164" fontId="0" fillId="18" borderId="0" xfId="0" applyNumberFormat="1" applyFill="1"/>
    <xf numFmtId="164" fontId="0" fillId="23" borderId="0" xfId="0" applyNumberFormat="1" applyFill="1"/>
    <xf numFmtId="164" fontId="2" fillId="0" borderId="0" xfId="0" applyNumberFormat="1" applyFont="1"/>
    <xf numFmtId="164" fontId="32" fillId="0" borderId="0" xfId="2" applyNumberFormat="1"/>
    <xf numFmtId="0" fontId="0" fillId="17" borderId="0" xfId="0" quotePrefix="1" applyFill="1"/>
    <xf numFmtId="0" fontId="32" fillId="17" borderId="0" xfId="2" applyFill="1"/>
    <xf numFmtId="164" fontId="0" fillId="0" borderId="0" xfId="0" quotePrefix="1" applyNumberFormat="1"/>
    <xf numFmtId="0" fontId="0" fillId="34" borderId="0" xfId="0" applyFill="1"/>
    <xf numFmtId="0" fontId="0" fillId="35" borderId="0" xfId="0" applyFill="1"/>
    <xf numFmtId="0" fontId="2" fillId="18" borderId="1" xfId="0" applyFont="1" applyFill="1" applyBorder="1"/>
    <xf numFmtId="0" fontId="2" fillId="15" borderId="1" xfId="0" applyFont="1" applyFill="1" applyBorder="1"/>
    <xf numFmtId="0" fontId="2" fillId="36" borderId="0" xfId="0" applyFont="1" applyFill="1"/>
    <xf numFmtId="0" fontId="0" fillId="36" borderId="0" xfId="0" applyFill="1"/>
    <xf numFmtId="10" fontId="0" fillId="35" borderId="0" xfId="0" applyNumberFormat="1" applyFill="1"/>
    <xf numFmtId="0" fontId="2" fillId="35" borderId="0" xfId="0" applyFont="1" applyFill="1"/>
    <xf numFmtId="0" fontId="35" fillId="18" borderId="0" xfId="0" applyFont="1" applyFill="1"/>
    <xf numFmtId="0" fontId="0" fillId="9" borderId="0" xfId="0" applyFill="1" applyAlignment="1">
      <alignment horizontal="center"/>
    </xf>
    <xf numFmtId="0" fontId="0" fillId="18" borderId="0" xfId="0" applyFill="1" applyAlignment="1">
      <alignment horizontal="center"/>
    </xf>
    <xf numFmtId="0" fontId="0" fillId="15" borderId="0" xfId="0" applyFill="1" applyAlignment="1">
      <alignment horizontal="center"/>
    </xf>
    <xf numFmtId="0" fontId="2" fillId="9" borderId="0" xfId="0" applyFont="1" applyFill="1" applyAlignment="1">
      <alignment horizontal="center"/>
    </xf>
    <xf numFmtId="0" fontId="4" fillId="18" borderId="0" xfId="0" applyFont="1" applyFill="1" applyAlignment="1">
      <alignment horizontal="center"/>
    </xf>
    <xf numFmtId="0" fontId="2" fillId="10" borderId="0" xfId="0" applyFont="1" applyFill="1" applyAlignment="1">
      <alignment horizontal="center"/>
    </xf>
    <xf numFmtId="0" fontId="0" fillId="20" borderId="0" xfId="0" applyFill="1" applyAlignment="1">
      <alignment horizontal="center"/>
    </xf>
    <xf numFmtId="0" fontId="2" fillId="8" borderId="7" xfId="0" applyFont="1" applyFill="1" applyBorder="1" applyAlignment="1">
      <alignment horizontal="center"/>
    </xf>
    <xf numFmtId="0" fontId="2" fillId="8" borderId="6" xfId="0" applyFont="1" applyFill="1" applyBorder="1" applyAlignment="1">
      <alignment horizontal="center"/>
    </xf>
    <xf numFmtId="0" fontId="2" fillId="8" borderId="5" xfId="0" applyFont="1" applyFill="1" applyBorder="1" applyAlignment="1">
      <alignment horizontal="center"/>
    </xf>
    <xf numFmtId="0" fontId="0" fillId="0" borderId="0" xfId="0" applyAlignment="1">
      <alignment horizontal="center"/>
    </xf>
    <xf numFmtId="0" fontId="8" fillId="10" borderId="8"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7" xfId="0" applyFont="1" applyFill="1" applyBorder="1" applyAlignment="1">
      <alignment horizontal="center" vertical="center"/>
    </xf>
    <xf numFmtId="0" fontId="12" fillId="9" borderId="0" xfId="0" applyFont="1" applyFill="1" applyAlignment="1">
      <alignment horizontal="center" vertical="center" textRotation="45"/>
    </xf>
    <xf numFmtId="0" fontId="16" fillId="17" borderId="0" xfId="0" applyFont="1" applyFill="1" applyAlignment="1">
      <alignment horizontal="center" vertical="center" textRotation="75"/>
    </xf>
    <xf numFmtId="0" fontId="11" fillId="11" borderId="0" xfId="0" applyFont="1" applyFill="1" applyAlignment="1">
      <alignment horizontal="center" vertical="center" textRotation="45"/>
    </xf>
    <xf numFmtId="0" fontId="9" fillId="0" borderId="0" xfId="0" applyFont="1" applyAlignment="1">
      <alignment horizontal="center" vertical="center" textRotation="90"/>
    </xf>
    <xf numFmtId="0" fontId="8" fillId="10" borderId="8" xfId="0" applyFont="1" applyFill="1" applyBorder="1" applyAlignment="1">
      <alignment horizontal="center" vertical="center" wrapText="1"/>
    </xf>
    <xf numFmtId="0" fontId="18" fillId="16" borderId="0" xfId="0" applyFont="1" applyFill="1" applyAlignment="1">
      <alignment horizontal="center"/>
    </xf>
    <xf numFmtId="0" fontId="10" fillId="16" borderId="0" xfId="0" applyFont="1" applyFill="1" applyAlignment="1">
      <alignment horizontal="center"/>
    </xf>
    <xf numFmtId="0" fontId="20" fillId="18" borderId="0" xfId="0" applyFont="1" applyFill="1" applyAlignment="1">
      <alignment horizontal="center"/>
    </xf>
    <xf numFmtId="0" fontId="23" fillId="0" borderId="0" xfId="0" applyFont="1" applyAlignment="1">
      <alignment horizontal="center" vertical="center" textRotation="45"/>
    </xf>
    <xf numFmtId="0" fontId="11" fillId="24" borderId="0" xfId="0" applyFont="1" applyFill="1" applyAlignment="1">
      <alignment horizontal="center" vertical="center" textRotation="75" wrapText="1"/>
    </xf>
    <xf numFmtId="0" fontId="21" fillId="0" borderId="0" xfId="0" applyFont="1" applyAlignment="1">
      <alignment horizontal="center" vertical="center" textRotation="45"/>
    </xf>
    <xf numFmtId="0" fontId="12" fillId="5" borderId="0" xfId="0" applyFont="1" applyFill="1" applyAlignment="1">
      <alignment horizontal="center" vertical="center" textRotation="75"/>
    </xf>
    <xf numFmtId="0" fontId="23" fillId="0" borderId="0" xfId="0" applyFont="1" applyAlignment="1">
      <alignment horizontal="center" vertical="center" textRotation="75" wrapText="1"/>
    </xf>
    <xf numFmtId="0" fontId="23" fillId="0" borderId="0" xfId="0" applyFont="1" applyAlignment="1">
      <alignment horizontal="center" vertical="center" textRotation="75"/>
    </xf>
    <xf numFmtId="0" fontId="0" fillId="17" borderId="0" xfId="0" applyFill="1" applyAlignment="1">
      <alignment horizontal="center"/>
    </xf>
    <xf numFmtId="0" fontId="11" fillId="21" borderId="0" xfId="0" applyFont="1" applyFill="1" applyAlignment="1">
      <alignment horizontal="center" vertical="center" textRotation="75" wrapText="1"/>
    </xf>
    <xf numFmtId="0" fontId="15" fillId="16" borderId="0" xfId="0" applyFont="1" applyFill="1" applyAlignment="1">
      <alignment horizontal="center"/>
    </xf>
    <xf numFmtId="0" fontId="4" fillId="0" borderId="0" xfId="0" applyFont="1" applyAlignment="1">
      <alignment horizontal="center"/>
    </xf>
    <xf numFmtId="0" fontId="4" fillId="23" borderId="0" xfId="0" applyFont="1" applyFill="1" applyAlignment="1">
      <alignment horizontal="center"/>
    </xf>
    <xf numFmtId="0" fontId="4" fillId="0" borderId="0" xfId="0" applyFont="1" applyAlignment="1">
      <alignment horizontal="center" textRotation="45"/>
    </xf>
    <xf numFmtId="0" fontId="12" fillId="20" borderId="0" xfId="0" applyFont="1" applyFill="1" applyAlignment="1">
      <alignment horizontal="center" vertical="center" textRotation="45"/>
    </xf>
    <xf numFmtId="0" fontId="4" fillId="0" borderId="0" xfId="0" applyFont="1" applyAlignment="1">
      <alignment horizontal="center" vertical="center"/>
    </xf>
    <xf numFmtId="0" fontId="0" fillId="10" borderId="11" xfId="0" applyFill="1" applyBorder="1" applyAlignment="1">
      <alignment horizontal="center"/>
    </xf>
    <xf numFmtId="0" fontId="0" fillId="10" borderId="10" xfId="0" applyFill="1" applyBorder="1" applyAlignment="1">
      <alignment horizontal="center"/>
    </xf>
    <xf numFmtId="0" fontId="2" fillId="4" borderId="0" xfId="0" applyFont="1" applyFill="1" applyAlignment="1">
      <alignment horizontal="center"/>
    </xf>
    <xf numFmtId="0" fontId="0" fillId="0" borderId="0" xfId="0" applyAlignment="1">
      <alignment horizontal="center" textRotation="90"/>
    </xf>
    <xf numFmtId="0" fontId="2" fillId="0" borderId="0" xfId="0" applyFont="1" applyAlignment="1">
      <alignment horizontal="center"/>
    </xf>
    <xf numFmtId="0" fontId="2" fillId="23" borderId="0" xfId="0" applyFont="1" applyFill="1" applyAlignment="1">
      <alignment horizontal="center"/>
    </xf>
    <xf numFmtId="0" fontId="0" fillId="37" borderId="0" xfId="0" applyFill="1"/>
    <xf numFmtId="0" fontId="2" fillId="17" borderId="0" xfId="0" applyFont="1" applyFill="1"/>
    <xf numFmtId="0" fontId="0" fillId="0" borderId="0" xfId="0" applyFill="1"/>
  </cellXfs>
  <cellStyles count="3">
    <cellStyle name="Hyperlink" xfId="2" builtinId="8"/>
    <cellStyle name="Normal" xfId="0" builtinId="0"/>
    <cellStyle name="Per cent" xfId="1" builtinId="5"/>
  </cellStyles>
  <dxfs count="0"/>
  <tableStyles count="0" defaultTableStyle="TableStyleMedium2" defaultPivotStyle="PivotStyleLight16"/>
  <colors>
    <mruColors>
      <color rgb="FFFF9999"/>
      <color rgb="FFFF5050"/>
      <color rgb="FF33CCCC"/>
      <color rgb="FFCC3300"/>
      <color rgb="FFCCCC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AWE!$F$687:$F$690</c:f>
              <c:strCache>
                <c:ptCount val="4"/>
                <c:pt idx="0">
                  <c:v>Materials and Manufacturing</c:v>
                </c:pt>
                <c:pt idx="1">
                  <c:v>Installation</c:v>
                </c:pt>
                <c:pt idx="2">
                  <c:v>Operation and Maintenance</c:v>
                </c:pt>
                <c:pt idx="3">
                  <c:v>End Of Life</c:v>
                </c:pt>
              </c:strCache>
            </c:strRef>
          </c:cat>
          <c:val>
            <c:numRef>
              <c:f>AWE!$H$687:$H$690</c:f>
              <c:numCache>
                <c:formatCode>0.00%</c:formatCode>
                <c:ptCount val="4"/>
                <c:pt idx="0">
                  <c:v>0.81063864752943471</c:v>
                </c:pt>
                <c:pt idx="1">
                  <c:v>4.1684939549380615E-2</c:v>
                </c:pt>
                <c:pt idx="2">
                  <c:v>0.11289642741644687</c:v>
                </c:pt>
                <c:pt idx="3">
                  <c:v>3.4779985504737633E-2</c:v>
                </c:pt>
              </c:numCache>
            </c:numRef>
          </c:val>
          <c:extLst>
            <c:ext xmlns:c16="http://schemas.microsoft.com/office/drawing/2014/chart" uri="{C3380CC4-5D6E-409C-BE32-E72D297353CC}">
              <c16:uniqueId val="{00000000-BD73-4470-A253-BD23BBFB3C6F}"/>
            </c:ext>
          </c:extLst>
        </c:ser>
        <c:dLbls>
          <c:showLegendKey val="0"/>
          <c:showVal val="0"/>
          <c:showCatName val="0"/>
          <c:showSerName val="0"/>
          <c:showPercent val="0"/>
          <c:showBubbleSize val="0"/>
        </c:dLbls>
        <c:gapWidth val="219"/>
        <c:overlap val="-27"/>
        <c:axId val="699350864"/>
        <c:axId val="721491304"/>
      </c:barChart>
      <c:catAx>
        <c:axId val="69935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21491304"/>
        <c:crosses val="autoZero"/>
        <c:auto val="1"/>
        <c:lblAlgn val="ctr"/>
        <c:lblOffset val="100"/>
        <c:noMultiLvlLbl val="0"/>
      </c:catAx>
      <c:valAx>
        <c:axId val="7214913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9935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GWP percentages</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17246923192937E-2"/>
          <c:y val="0.10245680981110532"/>
          <c:w val="0.85911494524751453"/>
          <c:h val="0.58528711260321076"/>
        </c:manualLayout>
      </c:layout>
      <c:barChart>
        <c:barDir val="col"/>
        <c:grouping val="clustered"/>
        <c:varyColors val="0"/>
        <c:ser>
          <c:idx val="0"/>
          <c:order val="0"/>
          <c:tx>
            <c:v>Life Cycle Stages</c:v>
          </c:tx>
          <c:spPr>
            <a:solidFill>
              <a:schemeClr val="accent1"/>
            </a:solidFill>
            <a:ln>
              <a:noFill/>
            </a:ln>
            <a:effectLst/>
          </c:spPr>
          <c:invertIfNegative val="0"/>
          <c:cat>
            <c:multiLvlStrRef>
              <c:f>AWE!$C$714:$D$743</c:f>
              <c:multiLvlStrCache>
                <c:ptCount val="30"/>
                <c:lvl>
                  <c:pt idx="1">
                    <c:v>Tether</c:v>
                  </c:pt>
                  <c:pt idx="2">
                    <c:v>Aircraft</c:v>
                  </c:pt>
                  <c:pt idx="3">
                    <c:v>Full deck</c:v>
                  </c:pt>
                  <c:pt idx="4">
                    <c:v>Catapult</c:v>
                  </c:pt>
                  <c:pt idx="5">
                    <c:v>Yaw</c:v>
                  </c:pt>
                  <c:pt idx="6">
                    <c:v>Generator </c:v>
                  </c:pt>
                  <c:pt idx="7">
                    <c:v>0</c:v>
                  </c:pt>
                  <c:pt idx="8">
                    <c:v>Transformer</c:v>
                  </c:pt>
                  <c:pt idx="9">
                    <c:v>Drum</c:v>
                  </c:pt>
                  <c:pt idx="10">
                    <c:v>Converter</c:v>
                  </c:pt>
                  <c:pt idx="11">
                    <c:v>Electronics</c:v>
                  </c:pt>
                  <c:pt idx="12">
                    <c:v>Hydro extras</c:v>
                  </c:pt>
                  <c:pt idx="13">
                    <c:v>Hydro accumul</c:v>
                  </c:pt>
                  <c:pt idx="14">
                    <c:v>Hydro pistons</c:v>
                  </c:pt>
                  <c:pt idx="15">
                    <c:v>Hydro motor grid</c:v>
                  </c:pt>
                  <c:pt idx="16">
                    <c:v>Foundations</c:v>
                  </c:pt>
                  <c:pt idx="17">
                    <c:v>Cables</c:v>
                  </c:pt>
                  <c:pt idx="19">
                    <c:v>transport</c:v>
                  </c:pt>
                  <c:pt idx="20">
                    <c:v>digging</c:v>
                  </c:pt>
                  <c:pt idx="21">
                    <c:v>crane operation</c:v>
                  </c:pt>
                  <c:pt idx="23">
                    <c:v>replacements</c:v>
                  </c:pt>
                  <c:pt idx="24">
                    <c:v>transport</c:v>
                  </c:pt>
                  <c:pt idx="25">
                    <c:v>consumables</c:v>
                  </c:pt>
                  <c:pt idx="27">
                    <c:v>treatment</c:v>
                  </c:pt>
                  <c:pt idx="28">
                    <c:v>transport</c:v>
                  </c:pt>
                  <c:pt idx="29">
                    <c:v>disassembly</c:v>
                  </c:pt>
                </c:lvl>
                <c:lvl>
                  <c:pt idx="0">
                    <c:v>Materials and manufacturing</c:v>
                  </c:pt>
                  <c:pt idx="18">
                    <c:v>installation</c:v>
                  </c:pt>
                  <c:pt idx="22">
                    <c:v>O&amp;M</c:v>
                  </c:pt>
                  <c:pt idx="26">
                    <c:v>EOL</c:v>
                  </c:pt>
                </c:lvl>
              </c:multiLvlStrCache>
            </c:multiLvlStrRef>
          </c:cat>
          <c:val>
            <c:numRef>
              <c:f>AWE!$J$714:$J$743</c:f>
              <c:numCache>
                <c:formatCode>0.00%</c:formatCode>
                <c:ptCount val="30"/>
                <c:pt idx="0">
                  <c:v>0.85780388482631886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4.4110286615604004E-2</c:v>
                </c:pt>
                <c:pt idx="19">
                  <c:v>0</c:v>
                </c:pt>
                <c:pt idx="20">
                  <c:v>0</c:v>
                </c:pt>
                <c:pt idx="21">
                  <c:v>0</c:v>
                </c:pt>
                <c:pt idx="22">
                  <c:v>0.11946505920484655</c:v>
                </c:pt>
                <c:pt idx="23">
                  <c:v>0</c:v>
                </c:pt>
                <c:pt idx="24">
                  <c:v>0</c:v>
                </c:pt>
                <c:pt idx="25">
                  <c:v>0</c:v>
                </c:pt>
                <c:pt idx="26">
                  <c:v>3.6803582917114372E-2</c:v>
                </c:pt>
                <c:pt idx="27">
                  <c:v>0</c:v>
                </c:pt>
                <c:pt idx="28">
                  <c:v>0</c:v>
                </c:pt>
                <c:pt idx="29">
                  <c:v>0</c:v>
                </c:pt>
              </c:numCache>
            </c:numRef>
          </c:val>
          <c:extLst>
            <c:ext xmlns:c16="http://schemas.microsoft.com/office/drawing/2014/chart" uri="{C3380CC4-5D6E-409C-BE32-E72D297353CC}">
              <c16:uniqueId val="{00000000-8D70-4035-AFF0-38C58A16D724}"/>
            </c:ext>
          </c:extLst>
        </c:ser>
        <c:ser>
          <c:idx val="1"/>
          <c:order val="1"/>
          <c:tx>
            <c:v>Sub elements</c:v>
          </c:tx>
          <c:spPr>
            <a:solidFill>
              <a:schemeClr val="accent2"/>
            </a:solidFill>
            <a:ln>
              <a:noFill/>
            </a:ln>
            <a:effectLst/>
          </c:spPr>
          <c:invertIfNegative val="0"/>
          <c:cat>
            <c:multiLvlStrRef>
              <c:f>AWE!$C$714:$D$743</c:f>
              <c:multiLvlStrCache>
                <c:ptCount val="30"/>
                <c:lvl>
                  <c:pt idx="1">
                    <c:v>Tether</c:v>
                  </c:pt>
                  <c:pt idx="2">
                    <c:v>Aircraft</c:v>
                  </c:pt>
                  <c:pt idx="3">
                    <c:v>Full deck</c:v>
                  </c:pt>
                  <c:pt idx="4">
                    <c:v>Catapult</c:v>
                  </c:pt>
                  <c:pt idx="5">
                    <c:v>Yaw</c:v>
                  </c:pt>
                  <c:pt idx="6">
                    <c:v>Generator </c:v>
                  </c:pt>
                  <c:pt idx="7">
                    <c:v>0</c:v>
                  </c:pt>
                  <c:pt idx="8">
                    <c:v>Transformer</c:v>
                  </c:pt>
                  <c:pt idx="9">
                    <c:v>Drum</c:v>
                  </c:pt>
                  <c:pt idx="10">
                    <c:v>Converter</c:v>
                  </c:pt>
                  <c:pt idx="11">
                    <c:v>Electronics</c:v>
                  </c:pt>
                  <c:pt idx="12">
                    <c:v>Hydro extras</c:v>
                  </c:pt>
                  <c:pt idx="13">
                    <c:v>Hydro accumul</c:v>
                  </c:pt>
                  <c:pt idx="14">
                    <c:v>Hydro pistons</c:v>
                  </c:pt>
                  <c:pt idx="15">
                    <c:v>Hydro motor grid</c:v>
                  </c:pt>
                  <c:pt idx="16">
                    <c:v>Foundations</c:v>
                  </c:pt>
                  <c:pt idx="17">
                    <c:v>Cables</c:v>
                  </c:pt>
                  <c:pt idx="19">
                    <c:v>transport</c:v>
                  </c:pt>
                  <c:pt idx="20">
                    <c:v>digging</c:v>
                  </c:pt>
                  <c:pt idx="21">
                    <c:v>crane operation</c:v>
                  </c:pt>
                  <c:pt idx="23">
                    <c:v>replacements</c:v>
                  </c:pt>
                  <c:pt idx="24">
                    <c:v>transport</c:v>
                  </c:pt>
                  <c:pt idx="25">
                    <c:v>consumables</c:v>
                  </c:pt>
                  <c:pt idx="27">
                    <c:v>treatment</c:v>
                  </c:pt>
                  <c:pt idx="28">
                    <c:v>transport</c:v>
                  </c:pt>
                  <c:pt idx="29">
                    <c:v>disassembly</c:v>
                  </c:pt>
                </c:lvl>
                <c:lvl>
                  <c:pt idx="0">
                    <c:v>Materials and manufacturing</c:v>
                  </c:pt>
                  <c:pt idx="18">
                    <c:v>installation</c:v>
                  </c:pt>
                  <c:pt idx="22">
                    <c:v>O&amp;M</c:v>
                  </c:pt>
                  <c:pt idx="26">
                    <c:v>EOL</c:v>
                  </c:pt>
                </c:lvl>
              </c:multiLvlStrCache>
            </c:multiLvlStrRef>
          </c:cat>
          <c:val>
            <c:numRef>
              <c:f>AWE!$K$714:$K$743</c:f>
              <c:numCache>
                <c:formatCode>0.00%</c:formatCode>
                <c:ptCount val="30"/>
                <c:pt idx="0">
                  <c:v>0</c:v>
                </c:pt>
                <c:pt idx="1">
                  <c:v>8.7108106259226464E-3</c:v>
                </c:pt>
                <c:pt idx="2">
                  <c:v>0.12107105289762807</c:v>
                </c:pt>
                <c:pt idx="3">
                  <c:v>0.13803198086331164</c:v>
                </c:pt>
                <c:pt idx="4">
                  <c:v>3.8812425840896371E-2</c:v>
                </c:pt>
                <c:pt idx="5">
                  <c:v>2.1737834485049935E-2</c:v>
                </c:pt>
                <c:pt idx="6">
                  <c:v>2.0518031252400131E-2</c:v>
                </c:pt>
                <c:pt idx="7">
                  <c:v>0</c:v>
                </c:pt>
                <c:pt idx="8">
                  <c:v>2.5657847166830349E-2</c:v>
                </c:pt>
                <c:pt idx="9">
                  <c:v>5.3090356035424023E-2</c:v>
                </c:pt>
                <c:pt idx="10">
                  <c:v>8.7892915532341385E-3</c:v>
                </c:pt>
                <c:pt idx="11">
                  <c:v>5.3687631495640221E-3</c:v>
                </c:pt>
                <c:pt idx="12">
                  <c:v>4.9045683482346536E-3</c:v>
                </c:pt>
                <c:pt idx="13">
                  <c:v>0.17869828384076777</c:v>
                </c:pt>
                <c:pt idx="14">
                  <c:v>5.8153973036020691E-2</c:v>
                </c:pt>
                <c:pt idx="15">
                  <c:v>4.9198261188473499E-3</c:v>
                </c:pt>
                <c:pt idx="16">
                  <c:v>2.2039066015683031E-2</c:v>
                </c:pt>
                <c:pt idx="17">
                  <c:v>8.9116960032620138E-2</c:v>
                </c:pt>
                <c:pt idx="18">
                  <c:v>0</c:v>
                </c:pt>
                <c:pt idx="19">
                  <c:v>4.3050019849322843E-2</c:v>
                </c:pt>
                <c:pt idx="20">
                  <c:v>5.32079046375983E-4</c:v>
                </c:pt>
                <c:pt idx="21">
                  <c:v>5.2818771990517329E-4</c:v>
                </c:pt>
                <c:pt idx="22">
                  <c:v>0</c:v>
                </c:pt>
                <c:pt idx="23">
                  <c:v>0.10229140457818997</c:v>
                </c:pt>
                <c:pt idx="24">
                  <c:v>1.6438456787705367E-2</c:v>
                </c:pt>
                <c:pt idx="25">
                  <c:v>7.3519783895122602E-4</c:v>
                </c:pt>
                <c:pt idx="26">
                  <c:v>0</c:v>
                </c:pt>
                <c:pt idx="27">
                  <c:v>3.0696225927392511E-2</c:v>
                </c:pt>
                <c:pt idx="28">
                  <c:v>4.6031932172939747E-3</c:v>
                </c:pt>
                <c:pt idx="29">
                  <c:v>1.5041637724278875E-3</c:v>
                </c:pt>
              </c:numCache>
            </c:numRef>
          </c:val>
          <c:extLst>
            <c:ext xmlns:c16="http://schemas.microsoft.com/office/drawing/2014/chart" uri="{C3380CC4-5D6E-409C-BE32-E72D297353CC}">
              <c16:uniqueId val="{00000001-8D70-4035-AFF0-38C58A16D724}"/>
            </c:ext>
          </c:extLst>
        </c:ser>
        <c:dLbls>
          <c:showLegendKey val="0"/>
          <c:showVal val="0"/>
          <c:showCatName val="0"/>
          <c:showSerName val="0"/>
          <c:showPercent val="0"/>
          <c:showBubbleSize val="0"/>
        </c:dLbls>
        <c:gapWidth val="219"/>
        <c:overlap val="-27"/>
        <c:axId val="688977696"/>
        <c:axId val="688978024"/>
      </c:barChart>
      <c:catAx>
        <c:axId val="68897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688978024"/>
        <c:crosses val="autoZero"/>
        <c:auto val="1"/>
        <c:lblAlgn val="ctr"/>
        <c:lblOffset val="100"/>
        <c:noMultiLvlLbl val="0"/>
      </c:catAx>
      <c:valAx>
        <c:axId val="688978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8977696"/>
        <c:crosses val="autoZero"/>
        <c:crossBetween val="between"/>
      </c:valAx>
      <c:spPr>
        <a:noFill/>
        <a:ln>
          <a:noFill/>
        </a:ln>
        <a:effectLst/>
      </c:spPr>
    </c:plotArea>
    <c:legend>
      <c:legendPos val="r"/>
      <c:layout>
        <c:manualLayout>
          <c:xMode val="edge"/>
          <c:yMode val="edge"/>
          <c:x val="0.91776110338599048"/>
          <c:y val="0.412998087119474"/>
          <c:w val="7.9685634943807163E-2"/>
          <c:h val="7.8961027487272364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The impact per component with their replacements, transport and EOL impacts included with</a:t>
            </a:r>
            <a:r>
              <a:rPr lang="en-US" sz="2000" baseline="0"/>
              <a:t> the components</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AWE!$U$628:$U$667</c:f>
              <c:strCache>
                <c:ptCount val="40"/>
                <c:pt idx="0">
                  <c:v>Tether</c:v>
                </c:pt>
                <c:pt idx="2">
                  <c:v>Aircraft</c:v>
                </c:pt>
                <c:pt idx="4">
                  <c:v>Full deck</c:v>
                </c:pt>
                <c:pt idx="5">
                  <c:v>Catapult</c:v>
                </c:pt>
                <c:pt idx="6">
                  <c:v>shifter</c:v>
                </c:pt>
                <c:pt idx="7">
                  <c:v>Yaw</c:v>
                </c:pt>
                <c:pt idx="9">
                  <c:v>Generator </c:v>
                </c:pt>
                <c:pt idx="11">
                  <c:v>Transformer</c:v>
                </c:pt>
                <c:pt idx="12">
                  <c:v>Drum</c:v>
                </c:pt>
                <c:pt idx="13">
                  <c:v>Converter</c:v>
                </c:pt>
                <c:pt idx="14">
                  <c:v>electronics</c:v>
                </c:pt>
                <c:pt idx="15">
                  <c:v>hydro extras</c:v>
                </c:pt>
                <c:pt idx="16">
                  <c:v>hydro accumul</c:v>
                </c:pt>
                <c:pt idx="17">
                  <c:v>hydro motor (drum</c:v>
                </c:pt>
                <c:pt idx="18">
                  <c:v>hydro motor grid</c:v>
                </c:pt>
                <c:pt idx="20">
                  <c:v>Foundations</c:v>
                </c:pt>
                <c:pt idx="22">
                  <c:v>Cables</c:v>
                </c:pt>
                <c:pt idx="27">
                  <c:v>digging</c:v>
                </c:pt>
                <c:pt idx="28">
                  <c:v>crane operation</c:v>
                </c:pt>
                <c:pt idx="33">
                  <c:v>servicing transport</c:v>
                </c:pt>
                <c:pt idx="34">
                  <c:v>consumables</c:v>
                </c:pt>
                <c:pt idx="39">
                  <c:v>disassembly</c:v>
                </c:pt>
              </c:strCache>
            </c:strRef>
          </c:cat>
          <c:val>
            <c:numRef>
              <c:f>AWE!$X$628:$X$667</c:f>
              <c:numCache>
                <c:formatCode>General</c:formatCode>
                <c:ptCount val="40"/>
                <c:pt idx="0">
                  <c:v>338166.4903645991</c:v>
                </c:pt>
                <c:pt idx="2">
                  <c:v>525737.34070318146</c:v>
                </c:pt>
                <c:pt idx="4">
                  <c:v>506545.42645427783</c:v>
                </c:pt>
                <c:pt idx="5">
                  <c:v>141723.76371904</c:v>
                </c:pt>
                <c:pt idx="6">
                  <c:v>211075.57597406325</c:v>
                </c:pt>
                <c:pt idx="7">
                  <c:v>80762.961617360008</c:v>
                </c:pt>
                <c:pt idx="9">
                  <c:v>75168.304350945662</c:v>
                </c:pt>
                <c:pt idx="11">
                  <c:v>93999.037231897193</c:v>
                </c:pt>
                <c:pt idx="12">
                  <c:v>191481.03461486948</c:v>
                </c:pt>
                <c:pt idx="13">
                  <c:v>32381.646184730722</c:v>
                </c:pt>
                <c:pt idx="14">
                  <c:v>18595.4918884</c:v>
                </c:pt>
                <c:pt idx="15" formatCode="0.00">
                  <c:v>27361.433590959918</c:v>
                </c:pt>
                <c:pt idx="16" formatCode="0.00">
                  <c:v>636350.12566808751</c:v>
                </c:pt>
                <c:pt idx="17" formatCode="0.00">
                  <c:v>210465.88707200001</c:v>
                </c:pt>
                <c:pt idx="18" formatCode="0.00">
                  <c:v>17805.4140462912</c:v>
                </c:pt>
                <c:pt idx="20">
                  <c:v>88760.035330215615</c:v>
                </c:pt>
                <c:pt idx="22">
                  <c:v>352622.23113357427</c:v>
                </c:pt>
                <c:pt idx="27">
                  <c:v>1813.6480000000001</c:v>
                </c:pt>
                <c:pt idx="28">
                  <c:v>1800.384</c:v>
                </c:pt>
                <c:pt idx="33">
                  <c:v>45682.108200000002</c:v>
                </c:pt>
                <c:pt idx="34">
                  <c:v>3503.1833132800002</c:v>
                </c:pt>
                <c:pt idx="39">
                  <c:v>5127.1021404000003</c:v>
                </c:pt>
              </c:numCache>
            </c:numRef>
          </c:val>
          <c:extLst>
            <c:ext xmlns:c16="http://schemas.microsoft.com/office/drawing/2014/chart" uri="{C3380CC4-5D6E-409C-BE32-E72D297353CC}">
              <c16:uniqueId val="{00000000-11F1-44AE-AFD4-886722C96748}"/>
            </c:ext>
          </c:extLst>
        </c:ser>
        <c:dLbls>
          <c:showLegendKey val="0"/>
          <c:showVal val="0"/>
          <c:showCatName val="0"/>
          <c:showSerName val="0"/>
          <c:showPercent val="0"/>
          <c:showBubbleSize val="0"/>
        </c:dLbls>
        <c:gapWidth val="219"/>
        <c:overlap val="-27"/>
        <c:axId val="802956576"/>
        <c:axId val="802959200"/>
      </c:barChart>
      <c:catAx>
        <c:axId val="80295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02959200"/>
        <c:crosses val="autoZero"/>
        <c:auto val="1"/>
        <c:lblAlgn val="ctr"/>
        <c:lblOffset val="100"/>
        <c:noMultiLvlLbl val="0"/>
      </c:catAx>
      <c:valAx>
        <c:axId val="80295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0295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8E-41A7-B609-6F4A65D0DD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8E-41A7-B609-6F4A65D0DD9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18E-41A7-B609-6F4A65D0DD9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8E-41A7-B609-6F4A65D0DD97}"/>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AWE!$E$270:$E$273</c:f>
              <c:strCache>
                <c:ptCount val="4"/>
                <c:pt idx="0">
                  <c:v>UHMWPE</c:v>
                </c:pt>
                <c:pt idx="1">
                  <c:v>Coating</c:v>
                </c:pt>
                <c:pt idx="2">
                  <c:v>Rope making</c:v>
                </c:pt>
                <c:pt idx="3">
                  <c:v>Losses</c:v>
                </c:pt>
              </c:strCache>
            </c:strRef>
          </c:cat>
          <c:val>
            <c:numRef>
              <c:f>AWE!$F$270:$F$273</c:f>
              <c:numCache>
                <c:formatCode>0.00%</c:formatCode>
                <c:ptCount val="4"/>
                <c:pt idx="0">
                  <c:v>0.80311074424745077</c:v>
                </c:pt>
                <c:pt idx="1">
                  <c:v>3.7879340985361047E-2</c:v>
                </c:pt>
                <c:pt idx="2">
                  <c:v>0.1337802122102037</c:v>
                </c:pt>
                <c:pt idx="3">
                  <c:v>2.5229702556984358E-2</c:v>
                </c:pt>
              </c:numCache>
            </c:numRef>
          </c:val>
          <c:extLst>
            <c:ext xmlns:c16="http://schemas.microsoft.com/office/drawing/2014/chart" uri="{C3380CC4-5D6E-409C-BE32-E72D297353CC}">
              <c16:uniqueId val="{00000000-5A55-4FFA-9C43-FFCA4838EB6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HAWT!$F$496:$F$499</c:f>
              <c:strCache>
                <c:ptCount val="4"/>
                <c:pt idx="0">
                  <c:v>Materials and manufacturing</c:v>
                </c:pt>
                <c:pt idx="1">
                  <c:v>installation</c:v>
                </c:pt>
                <c:pt idx="2">
                  <c:v>O&amp;M</c:v>
                </c:pt>
                <c:pt idx="3">
                  <c:v>EOL</c:v>
                </c:pt>
              </c:strCache>
            </c:strRef>
          </c:cat>
          <c:val>
            <c:numRef>
              <c:f>HAWT!$H$496:$H$499</c:f>
              <c:numCache>
                <c:formatCode>0.00%</c:formatCode>
                <c:ptCount val="4"/>
                <c:pt idx="0">
                  <c:v>0.85877505514268238</c:v>
                </c:pt>
                <c:pt idx="1">
                  <c:v>5.4284463167620325E-2</c:v>
                </c:pt>
                <c:pt idx="2">
                  <c:v>5.6650399990105821E-2</c:v>
                </c:pt>
                <c:pt idx="3">
                  <c:v>3.0290081699591489E-2</c:v>
                </c:pt>
              </c:numCache>
            </c:numRef>
          </c:val>
          <c:extLst>
            <c:ext xmlns:c16="http://schemas.microsoft.com/office/drawing/2014/chart" uri="{C3380CC4-5D6E-409C-BE32-E72D297353CC}">
              <c16:uniqueId val="{00000000-2CC0-4BE5-88D8-E429B7AD3603}"/>
            </c:ext>
          </c:extLst>
        </c:ser>
        <c:dLbls>
          <c:showLegendKey val="0"/>
          <c:showVal val="0"/>
          <c:showCatName val="0"/>
          <c:showSerName val="0"/>
          <c:showPercent val="0"/>
          <c:showBubbleSize val="0"/>
        </c:dLbls>
        <c:gapWidth val="219"/>
        <c:overlap val="-27"/>
        <c:axId val="699350864"/>
        <c:axId val="721491304"/>
      </c:barChart>
      <c:catAx>
        <c:axId val="69935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21491304"/>
        <c:crosses val="autoZero"/>
        <c:auto val="1"/>
        <c:lblAlgn val="ctr"/>
        <c:lblOffset val="100"/>
        <c:noMultiLvlLbl val="0"/>
      </c:catAx>
      <c:valAx>
        <c:axId val="7214913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9935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GWP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multiLvlStrRef>
              <c:f>HAWT!$C$527:$D$558</c:f>
              <c:multiLvlStrCache>
                <c:ptCount val="32"/>
                <c:lvl>
                  <c:pt idx="1">
                    <c:v>tower</c:v>
                  </c:pt>
                  <c:pt idx="2">
                    <c:v>blades</c:v>
                  </c:pt>
                  <c:pt idx="3">
                    <c:v>hub</c:v>
                  </c:pt>
                  <c:pt idx="4">
                    <c:v>spinner</c:v>
                  </c:pt>
                  <c:pt idx="5">
                    <c:v>pitch</c:v>
                  </c:pt>
                  <c:pt idx="6">
                    <c:v>generator</c:v>
                  </c:pt>
                  <c:pt idx="7">
                    <c:v>gearbox</c:v>
                  </c:pt>
                  <c:pt idx="8">
                    <c:v>transformer</c:v>
                  </c:pt>
                  <c:pt idx="9">
                    <c:v>cover</c:v>
                  </c:pt>
                  <c:pt idx="10">
                    <c:v>yaw</c:v>
                  </c:pt>
                  <c:pt idx="11">
                    <c:v>shaft</c:v>
                  </c:pt>
                  <c:pt idx="12">
                    <c:v>bed plate</c:v>
                  </c:pt>
                  <c:pt idx="13">
                    <c:v>Brake</c:v>
                  </c:pt>
                  <c:pt idx="14">
                    <c:v>HVAC</c:v>
                  </c:pt>
                  <c:pt idx="15">
                    <c:v>electronics</c:v>
                  </c:pt>
                  <c:pt idx="16">
                    <c:v>bearings</c:v>
                  </c:pt>
                  <c:pt idx="17">
                    <c:v>converter</c:v>
                  </c:pt>
                  <c:pt idx="18">
                    <c:v>foundations</c:v>
                  </c:pt>
                  <c:pt idx="19">
                    <c:v>cables</c:v>
                  </c:pt>
                  <c:pt idx="21">
                    <c:v>transport</c:v>
                  </c:pt>
                  <c:pt idx="22">
                    <c:v>digging</c:v>
                  </c:pt>
                  <c:pt idx="23">
                    <c:v>crane operation</c:v>
                  </c:pt>
                  <c:pt idx="25">
                    <c:v>replacements</c:v>
                  </c:pt>
                  <c:pt idx="26">
                    <c:v>transport</c:v>
                  </c:pt>
                  <c:pt idx="27">
                    <c:v>consumables</c:v>
                  </c:pt>
                  <c:pt idx="29">
                    <c:v>treatment</c:v>
                  </c:pt>
                  <c:pt idx="30">
                    <c:v>transport</c:v>
                  </c:pt>
                  <c:pt idx="31">
                    <c:v>disassembly</c:v>
                  </c:pt>
                </c:lvl>
                <c:lvl>
                  <c:pt idx="0">
                    <c:v>Materials and manufacturing</c:v>
                  </c:pt>
                  <c:pt idx="20">
                    <c:v>installation</c:v>
                  </c:pt>
                  <c:pt idx="24">
                    <c:v>O&amp;M</c:v>
                  </c:pt>
                  <c:pt idx="28">
                    <c:v>EOL</c:v>
                  </c:pt>
                </c:lvl>
              </c:multiLvlStrCache>
            </c:multiLvlStrRef>
          </c:cat>
          <c:val>
            <c:numRef>
              <c:f>HAWT!$H$527:$H$558</c:f>
              <c:numCache>
                <c:formatCode>General</c:formatCode>
                <c:ptCount val="32"/>
                <c:pt idx="0">
                  <c:v>11.145283831422619</c:v>
                </c:pt>
                <c:pt idx="17">
                  <c:v>0</c:v>
                </c:pt>
                <c:pt idx="18">
                  <c:v>0</c:v>
                </c:pt>
                <c:pt idx="19">
                  <c:v>0</c:v>
                </c:pt>
                <c:pt idx="20">
                  <c:v>0.70451015783057913</c:v>
                </c:pt>
                <c:pt idx="21">
                  <c:v>0</c:v>
                </c:pt>
                <c:pt idx="22">
                  <c:v>0</c:v>
                </c:pt>
                <c:pt idx="23">
                  <c:v>0</c:v>
                </c:pt>
                <c:pt idx="24">
                  <c:v>0.73521556462588233</c:v>
                </c:pt>
                <c:pt idx="25">
                  <c:v>0</c:v>
                </c:pt>
                <c:pt idx="26">
                  <c:v>0</c:v>
                </c:pt>
                <c:pt idx="27">
                  <c:v>0</c:v>
                </c:pt>
                <c:pt idx="28">
                  <c:v>0.39310824854226534</c:v>
                </c:pt>
                <c:pt idx="29">
                  <c:v>0</c:v>
                </c:pt>
                <c:pt idx="30">
                  <c:v>0</c:v>
                </c:pt>
                <c:pt idx="31">
                  <c:v>0</c:v>
                </c:pt>
              </c:numCache>
            </c:numRef>
          </c:val>
          <c:extLst>
            <c:ext xmlns:c16="http://schemas.microsoft.com/office/drawing/2014/chart" uri="{C3380CC4-5D6E-409C-BE32-E72D297353CC}">
              <c16:uniqueId val="{00000000-AB0F-4B8F-8852-0AD83530C1C7}"/>
            </c:ext>
          </c:extLst>
        </c:ser>
        <c:ser>
          <c:idx val="1"/>
          <c:order val="1"/>
          <c:spPr>
            <a:solidFill>
              <a:schemeClr val="accent2"/>
            </a:solidFill>
            <a:ln>
              <a:noFill/>
            </a:ln>
            <a:effectLst/>
          </c:spPr>
          <c:invertIfNegative val="0"/>
          <c:cat>
            <c:multiLvlStrRef>
              <c:f>HAWT!$C$527:$D$558</c:f>
              <c:multiLvlStrCache>
                <c:ptCount val="32"/>
                <c:lvl>
                  <c:pt idx="1">
                    <c:v>tower</c:v>
                  </c:pt>
                  <c:pt idx="2">
                    <c:v>blades</c:v>
                  </c:pt>
                  <c:pt idx="3">
                    <c:v>hub</c:v>
                  </c:pt>
                  <c:pt idx="4">
                    <c:v>spinner</c:v>
                  </c:pt>
                  <c:pt idx="5">
                    <c:v>pitch</c:v>
                  </c:pt>
                  <c:pt idx="6">
                    <c:v>generator</c:v>
                  </c:pt>
                  <c:pt idx="7">
                    <c:v>gearbox</c:v>
                  </c:pt>
                  <c:pt idx="8">
                    <c:v>transformer</c:v>
                  </c:pt>
                  <c:pt idx="9">
                    <c:v>cover</c:v>
                  </c:pt>
                  <c:pt idx="10">
                    <c:v>yaw</c:v>
                  </c:pt>
                  <c:pt idx="11">
                    <c:v>shaft</c:v>
                  </c:pt>
                  <c:pt idx="12">
                    <c:v>bed plate</c:v>
                  </c:pt>
                  <c:pt idx="13">
                    <c:v>Brake</c:v>
                  </c:pt>
                  <c:pt idx="14">
                    <c:v>HVAC</c:v>
                  </c:pt>
                  <c:pt idx="15">
                    <c:v>electronics</c:v>
                  </c:pt>
                  <c:pt idx="16">
                    <c:v>bearings</c:v>
                  </c:pt>
                  <c:pt idx="17">
                    <c:v>converter</c:v>
                  </c:pt>
                  <c:pt idx="18">
                    <c:v>foundations</c:v>
                  </c:pt>
                  <c:pt idx="19">
                    <c:v>cables</c:v>
                  </c:pt>
                  <c:pt idx="21">
                    <c:v>transport</c:v>
                  </c:pt>
                  <c:pt idx="22">
                    <c:v>digging</c:v>
                  </c:pt>
                  <c:pt idx="23">
                    <c:v>crane operation</c:v>
                  </c:pt>
                  <c:pt idx="25">
                    <c:v>replacements</c:v>
                  </c:pt>
                  <c:pt idx="26">
                    <c:v>transport</c:v>
                  </c:pt>
                  <c:pt idx="27">
                    <c:v>consumables</c:v>
                  </c:pt>
                  <c:pt idx="29">
                    <c:v>treatment</c:v>
                  </c:pt>
                  <c:pt idx="30">
                    <c:v>transport</c:v>
                  </c:pt>
                  <c:pt idx="31">
                    <c:v>disassembly</c:v>
                  </c:pt>
                </c:lvl>
                <c:lvl>
                  <c:pt idx="0">
                    <c:v>Materials and manufacturing</c:v>
                  </c:pt>
                  <c:pt idx="20">
                    <c:v>installation</c:v>
                  </c:pt>
                  <c:pt idx="24">
                    <c:v>O&amp;M</c:v>
                  </c:pt>
                  <c:pt idx="28">
                    <c:v>EOL</c:v>
                  </c:pt>
                </c:lvl>
              </c:multiLvlStrCache>
            </c:multiLvlStrRef>
          </c:cat>
          <c:val>
            <c:numRef>
              <c:f>HAWT!$I$527:$I$558</c:f>
              <c:numCache>
                <c:formatCode>General</c:formatCode>
                <c:ptCount val="32"/>
                <c:pt idx="0">
                  <c:v>0</c:v>
                </c:pt>
                <c:pt idx="1">
                  <c:v>4.4366640225996186</c:v>
                </c:pt>
                <c:pt idx="2">
                  <c:v>2.1368072874771098</c:v>
                </c:pt>
                <c:pt idx="3">
                  <c:v>0.27387184476964288</c:v>
                </c:pt>
                <c:pt idx="4">
                  <c:v>2.6383859846338308E-2</c:v>
                </c:pt>
                <c:pt idx="5">
                  <c:v>0.23592296162428278</c:v>
                </c:pt>
                <c:pt idx="6">
                  <c:v>0.1565280688069845</c:v>
                </c:pt>
                <c:pt idx="7">
                  <c:v>0.58615379594335282</c:v>
                </c:pt>
                <c:pt idx="8">
                  <c:v>0.20537498258943654</c:v>
                </c:pt>
                <c:pt idx="9">
                  <c:v>4.6611485728531021E-2</c:v>
                </c:pt>
                <c:pt idx="10">
                  <c:v>9.8635724916236442E-2</c:v>
                </c:pt>
                <c:pt idx="11">
                  <c:v>0.27146241505026186</c:v>
                </c:pt>
                <c:pt idx="12">
                  <c:v>0.61694184179387557</c:v>
                </c:pt>
                <c:pt idx="13">
                  <c:v>4.055797914168862E-2</c:v>
                </c:pt>
                <c:pt idx="14">
                  <c:v>0</c:v>
                </c:pt>
                <c:pt idx="15">
                  <c:v>4.45379432976492E-2</c:v>
                </c:pt>
                <c:pt idx="16">
                  <c:v>0.16705379387708422</c:v>
                </c:pt>
                <c:pt idx="17">
                  <c:v>4.2758440136190505E-2</c:v>
                </c:pt>
                <c:pt idx="18">
                  <c:v>1.0470725989414846</c:v>
                </c:pt>
                <c:pt idx="19">
                  <c:v>0.7119447848828484</c:v>
                </c:pt>
                <c:pt idx="20">
                  <c:v>0</c:v>
                </c:pt>
                <c:pt idx="21">
                  <c:v>0.69100749429928976</c:v>
                </c:pt>
                <c:pt idx="22">
                  <c:v>4.7392317820002805E-3</c:v>
                </c:pt>
                <c:pt idx="23">
                  <c:v>8.7634317492890548E-3</c:v>
                </c:pt>
                <c:pt idx="24">
                  <c:v>0</c:v>
                </c:pt>
                <c:pt idx="25">
                  <c:v>0.58615379594335282</c:v>
                </c:pt>
                <c:pt idx="26">
                  <c:v>0.14237377588570213</c:v>
                </c:pt>
                <c:pt idx="27">
                  <c:v>6.6879927968273222E-3</c:v>
                </c:pt>
                <c:pt idx="28">
                  <c:v>0</c:v>
                </c:pt>
                <c:pt idx="29">
                  <c:v>0.24153945762873869</c:v>
                </c:pt>
                <c:pt idx="30">
                  <c:v>0.11869291109353108</c:v>
                </c:pt>
                <c:pt idx="31">
                  <c:v>3.2875879819995547E-2</c:v>
                </c:pt>
              </c:numCache>
            </c:numRef>
          </c:val>
          <c:extLst>
            <c:ext xmlns:c16="http://schemas.microsoft.com/office/drawing/2014/chart" uri="{C3380CC4-5D6E-409C-BE32-E72D297353CC}">
              <c16:uniqueId val="{00000001-AB0F-4B8F-8852-0AD83530C1C7}"/>
            </c:ext>
          </c:extLst>
        </c:ser>
        <c:dLbls>
          <c:showLegendKey val="0"/>
          <c:showVal val="0"/>
          <c:showCatName val="0"/>
          <c:showSerName val="0"/>
          <c:showPercent val="0"/>
          <c:showBubbleSize val="0"/>
        </c:dLbls>
        <c:gapWidth val="219"/>
        <c:overlap val="-27"/>
        <c:axId val="688977696"/>
        <c:axId val="688978024"/>
      </c:barChart>
      <c:catAx>
        <c:axId val="68897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88978024"/>
        <c:crosses val="autoZero"/>
        <c:auto val="1"/>
        <c:lblAlgn val="ctr"/>
        <c:lblOffset val="100"/>
        <c:noMultiLvlLbl val="0"/>
      </c:catAx>
      <c:valAx>
        <c:axId val="68897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8977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GWP percentages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0445499360235081E-2"/>
          <c:y val="1.5215432257444931E-2"/>
          <c:w val="0.94482047532256086"/>
          <c:h val="0.73156364268568996"/>
        </c:manualLayout>
      </c:layout>
      <c:barChart>
        <c:barDir val="col"/>
        <c:grouping val="clustered"/>
        <c:varyColors val="0"/>
        <c:ser>
          <c:idx val="0"/>
          <c:order val="0"/>
          <c:spPr>
            <a:solidFill>
              <a:schemeClr val="accent1"/>
            </a:solidFill>
            <a:ln>
              <a:noFill/>
            </a:ln>
            <a:effectLst/>
          </c:spPr>
          <c:invertIfNegative val="0"/>
          <c:cat>
            <c:multiLvlStrRef>
              <c:f>HAWT!$C$527:$D$558</c:f>
              <c:multiLvlStrCache>
                <c:ptCount val="32"/>
                <c:lvl>
                  <c:pt idx="1">
                    <c:v>tower</c:v>
                  </c:pt>
                  <c:pt idx="2">
                    <c:v>blades</c:v>
                  </c:pt>
                  <c:pt idx="3">
                    <c:v>hub</c:v>
                  </c:pt>
                  <c:pt idx="4">
                    <c:v>spinner</c:v>
                  </c:pt>
                  <c:pt idx="5">
                    <c:v>pitch</c:v>
                  </c:pt>
                  <c:pt idx="6">
                    <c:v>generator</c:v>
                  </c:pt>
                  <c:pt idx="7">
                    <c:v>gearbox</c:v>
                  </c:pt>
                  <c:pt idx="8">
                    <c:v>transformer</c:v>
                  </c:pt>
                  <c:pt idx="9">
                    <c:v>cover</c:v>
                  </c:pt>
                  <c:pt idx="10">
                    <c:v>yaw</c:v>
                  </c:pt>
                  <c:pt idx="11">
                    <c:v>shaft</c:v>
                  </c:pt>
                  <c:pt idx="12">
                    <c:v>bed plate</c:v>
                  </c:pt>
                  <c:pt idx="13">
                    <c:v>Brake</c:v>
                  </c:pt>
                  <c:pt idx="14">
                    <c:v>HVAC</c:v>
                  </c:pt>
                  <c:pt idx="15">
                    <c:v>electronics</c:v>
                  </c:pt>
                  <c:pt idx="16">
                    <c:v>bearings</c:v>
                  </c:pt>
                  <c:pt idx="17">
                    <c:v>converter</c:v>
                  </c:pt>
                  <c:pt idx="18">
                    <c:v>foundations</c:v>
                  </c:pt>
                  <c:pt idx="19">
                    <c:v>cables</c:v>
                  </c:pt>
                  <c:pt idx="21">
                    <c:v>transport</c:v>
                  </c:pt>
                  <c:pt idx="22">
                    <c:v>digging</c:v>
                  </c:pt>
                  <c:pt idx="23">
                    <c:v>crane operation</c:v>
                  </c:pt>
                  <c:pt idx="25">
                    <c:v>replacements</c:v>
                  </c:pt>
                  <c:pt idx="26">
                    <c:v>transport</c:v>
                  </c:pt>
                  <c:pt idx="27">
                    <c:v>consumables</c:v>
                  </c:pt>
                  <c:pt idx="29">
                    <c:v>treatment</c:v>
                  </c:pt>
                  <c:pt idx="30">
                    <c:v>transport</c:v>
                  </c:pt>
                  <c:pt idx="31">
                    <c:v>disassembly</c:v>
                  </c:pt>
                </c:lvl>
                <c:lvl>
                  <c:pt idx="0">
                    <c:v>Materials and manufacturing</c:v>
                  </c:pt>
                  <c:pt idx="20">
                    <c:v>installation</c:v>
                  </c:pt>
                  <c:pt idx="24">
                    <c:v>O&amp;M</c:v>
                  </c:pt>
                  <c:pt idx="28">
                    <c:v>EOL</c:v>
                  </c:pt>
                </c:lvl>
              </c:multiLvlStrCache>
            </c:multiLvlStrRef>
          </c:cat>
          <c:val>
            <c:numRef>
              <c:f>HAWT!$J$527:$J$558</c:f>
              <c:numCache>
                <c:formatCode>0.00%</c:formatCode>
                <c:ptCount val="32"/>
                <c:pt idx="0">
                  <c:v>0.8587750551426826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5.4284463167620332E-2</c:v>
                </c:pt>
                <c:pt idx="21">
                  <c:v>0</c:v>
                </c:pt>
                <c:pt idx="22">
                  <c:v>0</c:v>
                </c:pt>
                <c:pt idx="23">
                  <c:v>0</c:v>
                </c:pt>
                <c:pt idx="24">
                  <c:v>5.6650399990105828E-2</c:v>
                </c:pt>
                <c:pt idx="25">
                  <c:v>0</c:v>
                </c:pt>
                <c:pt idx="26">
                  <c:v>0</c:v>
                </c:pt>
                <c:pt idx="27">
                  <c:v>0</c:v>
                </c:pt>
                <c:pt idx="28">
                  <c:v>3.0290081699591496E-2</c:v>
                </c:pt>
                <c:pt idx="29">
                  <c:v>0</c:v>
                </c:pt>
                <c:pt idx="30">
                  <c:v>0</c:v>
                </c:pt>
                <c:pt idx="31">
                  <c:v>0</c:v>
                </c:pt>
              </c:numCache>
            </c:numRef>
          </c:val>
          <c:extLst>
            <c:ext xmlns:c16="http://schemas.microsoft.com/office/drawing/2014/chart" uri="{C3380CC4-5D6E-409C-BE32-E72D297353CC}">
              <c16:uniqueId val="{00000000-0498-44B9-AC62-265F170328BD}"/>
            </c:ext>
          </c:extLst>
        </c:ser>
        <c:ser>
          <c:idx val="1"/>
          <c:order val="1"/>
          <c:spPr>
            <a:solidFill>
              <a:schemeClr val="accent2"/>
            </a:solidFill>
            <a:ln>
              <a:noFill/>
            </a:ln>
            <a:effectLst/>
          </c:spPr>
          <c:invertIfNegative val="0"/>
          <c:cat>
            <c:multiLvlStrRef>
              <c:f>HAWT!$C$527:$D$558</c:f>
              <c:multiLvlStrCache>
                <c:ptCount val="32"/>
                <c:lvl>
                  <c:pt idx="1">
                    <c:v>tower</c:v>
                  </c:pt>
                  <c:pt idx="2">
                    <c:v>blades</c:v>
                  </c:pt>
                  <c:pt idx="3">
                    <c:v>hub</c:v>
                  </c:pt>
                  <c:pt idx="4">
                    <c:v>spinner</c:v>
                  </c:pt>
                  <c:pt idx="5">
                    <c:v>pitch</c:v>
                  </c:pt>
                  <c:pt idx="6">
                    <c:v>generator</c:v>
                  </c:pt>
                  <c:pt idx="7">
                    <c:v>gearbox</c:v>
                  </c:pt>
                  <c:pt idx="8">
                    <c:v>transformer</c:v>
                  </c:pt>
                  <c:pt idx="9">
                    <c:v>cover</c:v>
                  </c:pt>
                  <c:pt idx="10">
                    <c:v>yaw</c:v>
                  </c:pt>
                  <c:pt idx="11">
                    <c:v>shaft</c:v>
                  </c:pt>
                  <c:pt idx="12">
                    <c:v>bed plate</c:v>
                  </c:pt>
                  <c:pt idx="13">
                    <c:v>Brake</c:v>
                  </c:pt>
                  <c:pt idx="14">
                    <c:v>HVAC</c:v>
                  </c:pt>
                  <c:pt idx="15">
                    <c:v>electronics</c:v>
                  </c:pt>
                  <c:pt idx="16">
                    <c:v>bearings</c:v>
                  </c:pt>
                  <c:pt idx="17">
                    <c:v>converter</c:v>
                  </c:pt>
                  <c:pt idx="18">
                    <c:v>foundations</c:v>
                  </c:pt>
                  <c:pt idx="19">
                    <c:v>cables</c:v>
                  </c:pt>
                  <c:pt idx="21">
                    <c:v>transport</c:v>
                  </c:pt>
                  <c:pt idx="22">
                    <c:v>digging</c:v>
                  </c:pt>
                  <c:pt idx="23">
                    <c:v>crane operation</c:v>
                  </c:pt>
                  <c:pt idx="25">
                    <c:v>replacements</c:v>
                  </c:pt>
                  <c:pt idx="26">
                    <c:v>transport</c:v>
                  </c:pt>
                  <c:pt idx="27">
                    <c:v>consumables</c:v>
                  </c:pt>
                  <c:pt idx="29">
                    <c:v>treatment</c:v>
                  </c:pt>
                  <c:pt idx="30">
                    <c:v>transport</c:v>
                  </c:pt>
                  <c:pt idx="31">
                    <c:v>disassembly</c:v>
                  </c:pt>
                </c:lvl>
                <c:lvl>
                  <c:pt idx="0">
                    <c:v>Materials and manufacturing</c:v>
                  </c:pt>
                  <c:pt idx="20">
                    <c:v>installation</c:v>
                  </c:pt>
                  <c:pt idx="24">
                    <c:v>O&amp;M</c:v>
                  </c:pt>
                  <c:pt idx="28">
                    <c:v>EOL</c:v>
                  </c:pt>
                </c:lvl>
              </c:multiLvlStrCache>
            </c:multiLvlStrRef>
          </c:cat>
          <c:val>
            <c:numRef>
              <c:f>HAWT!$K$527:$K$558</c:f>
              <c:numCache>
                <c:formatCode>0.00%</c:formatCode>
                <c:ptCount val="32"/>
                <c:pt idx="0">
                  <c:v>0</c:v>
                </c:pt>
                <c:pt idx="1">
                  <c:v>0.34185727777658675</c:v>
                </c:pt>
                <c:pt idx="2">
                  <c:v>0.16464693262981811</c:v>
                </c:pt>
                <c:pt idx="3">
                  <c:v>2.1102585824775477E-2</c:v>
                </c:pt>
                <c:pt idx="4">
                  <c:v>2.032949634762588E-3</c:v>
                </c:pt>
                <c:pt idx="5">
                  <c:v>1.8178519043822082E-2</c:v>
                </c:pt>
                <c:pt idx="6">
                  <c:v>1.2060922176078636E-2</c:v>
                </c:pt>
                <c:pt idx="7">
                  <c:v>4.5164776962803757E-2</c:v>
                </c:pt>
                <c:pt idx="8">
                  <c:v>1.5824712467251568E-2</c:v>
                </c:pt>
                <c:pt idx="9">
                  <c:v>3.5915443547472393E-3</c:v>
                </c:pt>
                <c:pt idx="10">
                  <c:v>7.600156387687732E-3</c:v>
                </c:pt>
                <c:pt idx="11">
                  <c:v>2.0916932577050178E-2</c:v>
                </c:pt>
                <c:pt idx="12">
                  <c:v>4.7537081353874903E-2</c:v>
                </c:pt>
                <c:pt idx="13">
                  <c:v>3.1251048695305934E-3</c:v>
                </c:pt>
                <c:pt idx="14">
                  <c:v>0</c:v>
                </c:pt>
                <c:pt idx="15">
                  <c:v>3.4317721549221645E-3</c:v>
                </c:pt>
                <c:pt idx="16">
                  <c:v>1.2871958508953956E-2</c:v>
                </c:pt>
                <c:pt idx="17">
                  <c:v>3.2946564969700779E-3</c:v>
                </c:pt>
                <c:pt idx="18">
                  <c:v>8.0679850104776449E-2</c:v>
                </c:pt>
                <c:pt idx="19">
                  <c:v>5.4857321818270133E-2</c:v>
                </c:pt>
                <c:pt idx="20">
                  <c:v>0</c:v>
                </c:pt>
                <c:pt idx="21">
                  <c:v>5.3244045463231013E-2</c:v>
                </c:pt>
                <c:pt idx="22">
                  <c:v>3.6517096347484814E-4</c:v>
                </c:pt>
                <c:pt idx="23">
                  <c:v>6.7524674091446846E-4</c:v>
                </c:pt>
                <c:pt idx="24">
                  <c:v>0</c:v>
                </c:pt>
                <c:pt idx="25">
                  <c:v>4.5164776962803757E-2</c:v>
                </c:pt>
                <c:pt idx="26">
                  <c:v>1.0970294618464573E-2</c:v>
                </c:pt>
                <c:pt idx="27">
                  <c:v>5.153284088374923E-4</c:v>
                </c:pt>
                <c:pt idx="28">
                  <c:v>0</c:v>
                </c:pt>
                <c:pt idx="29">
                  <c:v>1.861128565065686E-2</c:v>
                </c:pt>
                <c:pt idx="30">
                  <c:v>9.1456182553209999E-3</c:v>
                </c:pt>
                <c:pt idx="31">
                  <c:v>2.5331777936136359E-3</c:v>
                </c:pt>
              </c:numCache>
            </c:numRef>
          </c:val>
          <c:extLst>
            <c:ext xmlns:c16="http://schemas.microsoft.com/office/drawing/2014/chart" uri="{C3380CC4-5D6E-409C-BE32-E72D297353CC}">
              <c16:uniqueId val="{00000001-0498-44B9-AC62-265F170328BD}"/>
            </c:ext>
          </c:extLst>
        </c:ser>
        <c:dLbls>
          <c:showLegendKey val="0"/>
          <c:showVal val="0"/>
          <c:showCatName val="0"/>
          <c:showSerName val="0"/>
          <c:showPercent val="0"/>
          <c:showBubbleSize val="0"/>
        </c:dLbls>
        <c:gapWidth val="219"/>
        <c:overlap val="-27"/>
        <c:axId val="688977696"/>
        <c:axId val="688978024"/>
      </c:barChart>
      <c:catAx>
        <c:axId val="68897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88978024"/>
        <c:crosses val="autoZero"/>
        <c:auto val="1"/>
        <c:lblAlgn val="ctr"/>
        <c:lblOffset val="100"/>
        <c:noMultiLvlLbl val="0"/>
      </c:catAx>
      <c:valAx>
        <c:axId val="688978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8977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The impact per component with their replacements, transport and EOL impacts included</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HAWT!$U$437:$U$476</c:f>
              <c:strCache>
                <c:ptCount val="40"/>
                <c:pt idx="0">
                  <c:v>tower</c:v>
                </c:pt>
                <c:pt idx="2">
                  <c:v>blades</c:v>
                </c:pt>
                <c:pt idx="3">
                  <c:v>hub</c:v>
                </c:pt>
                <c:pt idx="4">
                  <c:v>spinner</c:v>
                </c:pt>
                <c:pt idx="5">
                  <c:v>pitch</c:v>
                </c:pt>
                <c:pt idx="7">
                  <c:v>generator</c:v>
                </c:pt>
                <c:pt idx="8">
                  <c:v>gearbox</c:v>
                </c:pt>
                <c:pt idx="9">
                  <c:v>transformer</c:v>
                </c:pt>
                <c:pt idx="10">
                  <c:v>cover</c:v>
                </c:pt>
                <c:pt idx="11">
                  <c:v>yaw</c:v>
                </c:pt>
                <c:pt idx="12">
                  <c:v>shaft</c:v>
                </c:pt>
                <c:pt idx="13">
                  <c:v>bed plate</c:v>
                </c:pt>
                <c:pt idx="14">
                  <c:v>Brake</c:v>
                </c:pt>
                <c:pt idx="15">
                  <c:v>HVAC</c:v>
                </c:pt>
                <c:pt idx="16">
                  <c:v>electronics</c:v>
                </c:pt>
                <c:pt idx="17">
                  <c:v>bearings</c:v>
                </c:pt>
                <c:pt idx="18">
                  <c:v>converter</c:v>
                </c:pt>
                <c:pt idx="20">
                  <c:v>foundations</c:v>
                </c:pt>
                <c:pt idx="22">
                  <c:v>cables</c:v>
                </c:pt>
                <c:pt idx="27">
                  <c:v>digging</c:v>
                </c:pt>
                <c:pt idx="28">
                  <c:v>crane operation</c:v>
                </c:pt>
                <c:pt idx="33">
                  <c:v>servicing</c:v>
                </c:pt>
                <c:pt idx="34">
                  <c:v>consumables</c:v>
                </c:pt>
                <c:pt idx="39">
                  <c:v>disassembly</c:v>
                </c:pt>
              </c:strCache>
            </c:strRef>
          </c:cat>
          <c:val>
            <c:numRef>
              <c:f>HAWT!$X$437:$X$476</c:f>
              <c:numCache>
                <c:formatCode>General</c:formatCode>
                <c:ptCount val="40"/>
                <c:pt idx="0">
                  <c:v>1991753.7493708979</c:v>
                </c:pt>
                <c:pt idx="2">
                  <c:v>934593.22782069759</c:v>
                </c:pt>
                <c:pt idx="3">
                  <c:v>123802.90678888001</c:v>
                </c:pt>
                <c:pt idx="4">
                  <c:v>12870.26728414322</c:v>
                </c:pt>
                <c:pt idx="5">
                  <c:v>101097.35649696001</c:v>
                </c:pt>
                <c:pt idx="7">
                  <c:v>69125.037591453351</c:v>
                </c:pt>
                <c:pt idx="8">
                  <c:v>511432.10558496002</c:v>
                </c:pt>
                <c:pt idx="9">
                  <c:v>90697.395949025697</c:v>
                </c:pt>
                <c:pt idx="10">
                  <c:v>22737.472201986358</c:v>
                </c:pt>
                <c:pt idx="11">
                  <c:v>42330.457289163198</c:v>
                </c:pt>
                <c:pt idx="12">
                  <c:v>116294.31774791999</c:v>
                </c:pt>
                <c:pt idx="13">
                  <c:v>275374.89814120001</c:v>
                </c:pt>
                <c:pt idx="14">
                  <c:v>18143.592272237602</c:v>
                </c:pt>
                <c:pt idx="15">
                  <c:v>0</c:v>
                </c:pt>
                <c:pt idx="16">
                  <c:v>18595.4918884</c:v>
                </c:pt>
                <c:pt idx="17">
                  <c:v>71565.733998719996</c:v>
                </c:pt>
                <c:pt idx="18">
                  <c:v>19172.811739278764</c:v>
                </c:pt>
                <c:pt idx="20">
                  <c:v>505168.38445455104</c:v>
                </c:pt>
                <c:pt idx="22">
                  <c:v>339172.27754427353</c:v>
                </c:pt>
                <c:pt idx="27">
                  <c:v>1947.2821416785719</c:v>
                </c:pt>
                <c:pt idx="28">
                  <c:v>3600.768</c:v>
                </c:pt>
                <c:pt idx="33">
                  <c:v>45682.108200000002</c:v>
                </c:pt>
                <c:pt idx="34">
                  <c:v>3855.9814592000002</c:v>
                </c:pt>
                <c:pt idx="39">
                  <c:v>13508.225934125558</c:v>
                </c:pt>
              </c:numCache>
            </c:numRef>
          </c:val>
          <c:extLst>
            <c:ext xmlns:c16="http://schemas.microsoft.com/office/drawing/2014/chart" uri="{C3380CC4-5D6E-409C-BE32-E72D297353CC}">
              <c16:uniqueId val="{00000000-FD34-43F8-B7B0-74E8672A3442}"/>
            </c:ext>
          </c:extLst>
        </c:ser>
        <c:dLbls>
          <c:showLegendKey val="0"/>
          <c:showVal val="0"/>
          <c:showCatName val="0"/>
          <c:showSerName val="0"/>
          <c:showPercent val="0"/>
          <c:showBubbleSize val="0"/>
        </c:dLbls>
        <c:gapWidth val="219"/>
        <c:overlap val="-27"/>
        <c:axId val="802956576"/>
        <c:axId val="802959200"/>
      </c:barChart>
      <c:catAx>
        <c:axId val="80295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02959200"/>
        <c:crosses val="autoZero"/>
        <c:auto val="1"/>
        <c:lblAlgn val="ctr"/>
        <c:lblOffset val="100"/>
        <c:noMultiLvlLbl val="0"/>
      </c:catAx>
      <c:valAx>
        <c:axId val="80295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0295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HAWT!$Q$505:$Q$515</c:f>
              <c:numCache>
                <c:formatCode>0.00</c:formatCode>
                <c:ptCount val="11"/>
                <c:pt idx="0">
                  <c:v>0.1565280688069845</c:v>
                </c:pt>
                <c:pt idx="1">
                  <c:v>0.58615379594335282</c:v>
                </c:pt>
                <c:pt idx="2">
                  <c:v>0.20537498258943654</c:v>
                </c:pt>
                <c:pt idx="3">
                  <c:v>4.6611485728531021E-2</c:v>
                </c:pt>
                <c:pt idx="4">
                  <c:v>9.8635724916236442E-2</c:v>
                </c:pt>
                <c:pt idx="5">
                  <c:v>0.27146241505026186</c:v>
                </c:pt>
                <c:pt idx="6">
                  <c:v>0.61694184179387557</c:v>
                </c:pt>
                <c:pt idx="7">
                  <c:v>4.055797914168862E-2</c:v>
                </c:pt>
                <c:pt idx="8">
                  <c:v>4.45379432976492E-2</c:v>
                </c:pt>
                <c:pt idx="9">
                  <c:v>0.16705379387708422</c:v>
                </c:pt>
                <c:pt idx="10">
                  <c:v>4.2758440136190505E-2</c:v>
                </c:pt>
              </c:numCache>
            </c:numRef>
          </c:val>
          <c:extLst>
            <c:ext xmlns:c16="http://schemas.microsoft.com/office/drawing/2014/chart" uri="{C3380CC4-5D6E-409C-BE32-E72D297353CC}">
              <c16:uniqueId val="{00000000-D449-4654-952A-199C27430029}"/>
            </c:ext>
          </c:extLst>
        </c:ser>
        <c:ser>
          <c:idx val="1"/>
          <c:order val="1"/>
          <c:spPr>
            <a:solidFill>
              <a:schemeClr val="accent2"/>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HAWT!$U$505:$U$515</c:f>
              <c:numCache>
                <c:formatCode>0.00</c:formatCode>
                <c:ptCount val="11"/>
                <c:pt idx="0">
                  <c:v>2.3517504755197369</c:v>
                </c:pt>
                <c:pt idx="1">
                  <c:v>8.9524595422068938</c:v>
                </c:pt>
                <c:pt idx="2">
                  <c:v>3.622814692877661</c:v>
                </c:pt>
                <c:pt idx="3">
                  <c:v>0.95908719621918082</c:v>
                </c:pt>
                <c:pt idx="4">
                  <c:v>1.4881309666697748</c:v>
                </c:pt>
                <c:pt idx="5">
                  <c:v>4.1706498312267506</c:v>
                </c:pt>
                <c:pt idx="6">
                  <c:v>9.1114793482302794</c:v>
                </c:pt>
                <c:pt idx="7">
                  <c:v>0.62308314958997968</c:v>
                </c:pt>
                <c:pt idx="8">
                  <c:v>0.69362370709453669</c:v>
                </c:pt>
                <c:pt idx="9">
                  <c:v>2.5665537422933848</c:v>
                </c:pt>
                <c:pt idx="10">
                  <c:v>0.60761829377739407</c:v>
                </c:pt>
              </c:numCache>
            </c:numRef>
          </c:val>
          <c:extLst>
            <c:ext xmlns:c16="http://schemas.microsoft.com/office/drawing/2014/chart" uri="{C3380CC4-5D6E-409C-BE32-E72D297353CC}">
              <c16:uniqueId val="{00000001-D449-4654-952A-199C27430029}"/>
            </c:ext>
          </c:extLst>
        </c:ser>
        <c:dLbls>
          <c:showLegendKey val="0"/>
          <c:showVal val="0"/>
          <c:showCatName val="0"/>
          <c:showSerName val="0"/>
          <c:showPercent val="0"/>
          <c:showBubbleSize val="0"/>
        </c:dLbls>
        <c:gapWidth val="219"/>
        <c:overlap val="-27"/>
        <c:axId val="746975768"/>
        <c:axId val="746977080"/>
      </c:barChart>
      <c:catAx>
        <c:axId val="74697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77080"/>
        <c:crosses val="autoZero"/>
        <c:auto val="1"/>
        <c:lblAlgn val="ctr"/>
        <c:lblOffset val="100"/>
        <c:noMultiLvlLbl val="0"/>
      </c:catAx>
      <c:valAx>
        <c:axId val="746977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75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a:t>Manufacturing stage impacts HAWT Nacelle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rgbClr val="CCCC00"/>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HAWT!$Q$505:$Q$515</c:f>
              <c:numCache>
                <c:formatCode>0.00</c:formatCode>
                <c:ptCount val="11"/>
                <c:pt idx="0">
                  <c:v>0.1565280688069845</c:v>
                </c:pt>
                <c:pt idx="1">
                  <c:v>0.58615379594335282</c:v>
                </c:pt>
                <c:pt idx="2">
                  <c:v>0.20537498258943654</c:v>
                </c:pt>
                <c:pt idx="3">
                  <c:v>4.6611485728531021E-2</c:v>
                </c:pt>
                <c:pt idx="4">
                  <c:v>9.8635724916236442E-2</c:v>
                </c:pt>
                <c:pt idx="5">
                  <c:v>0.27146241505026186</c:v>
                </c:pt>
                <c:pt idx="6">
                  <c:v>0.61694184179387557</c:v>
                </c:pt>
                <c:pt idx="7">
                  <c:v>4.055797914168862E-2</c:v>
                </c:pt>
                <c:pt idx="8">
                  <c:v>4.45379432976492E-2</c:v>
                </c:pt>
                <c:pt idx="9">
                  <c:v>0.16705379387708422</c:v>
                </c:pt>
                <c:pt idx="10">
                  <c:v>4.2758440136190505E-2</c:v>
                </c:pt>
              </c:numCache>
            </c:numRef>
          </c:val>
          <c:extLst>
            <c:ext xmlns:c16="http://schemas.microsoft.com/office/drawing/2014/chart" uri="{C3380CC4-5D6E-409C-BE32-E72D297353CC}">
              <c16:uniqueId val="{00000000-54B3-4DA9-9F83-D093DD71516B}"/>
            </c:ext>
          </c:extLst>
        </c:ser>
        <c:ser>
          <c:idx val="1"/>
          <c:order val="1"/>
          <c:spPr>
            <a:solidFill>
              <a:schemeClr val="accent2"/>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HAWT!$R$505:$R$515</c:f>
              <c:numCache>
                <c:formatCode>General</c:formatCode>
                <c:ptCount val="11"/>
              </c:numCache>
            </c:numRef>
          </c:val>
          <c:extLst>
            <c:ext xmlns:c16="http://schemas.microsoft.com/office/drawing/2014/chart" uri="{C3380CC4-5D6E-409C-BE32-E72D297353CC}">
              <c16:uniqueId val="{00000001-54B3-4DA9-9F83-D093DD71516B}"/>
            </c:ext>
          </c:extLst>
        </c:ser>
        <c:ser>
          <c:idx val="2"/>
          <c:order val="2"/>
          <c:spPr>
            <a:solidFill>
              <a:schemeClr val="accent3"/>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HAWT!$S$505:$S$515</c:f>
              <c:numCache>
                <c:formatCode>General</c:formatCode>
                <c:ptCount val="11"/>
              </c:numCache>
            </c:numRef>
          </c:val>
          <c:extLst>
            <c:ext xmlns:c16="http://schemas.microsoft.com/office/drawing/2014/chart" uri="{C3380CC4-5D6E-409C-BE32-E72D297353CC}">
              <c16:uniqueId val="{00000002-54B3-4DA9-9F83-D093DD71516B}"/>
            </c:ext>
          </c:extLst>
        </c:ser>
        <c:dLbls>
          <c:showLegendKey val="0"/>
          <c:showVal val="0"/>
          <c:showCatName val="0"/>
          <c:showSerName val="0"/>
          <c:showPercent val="0"/>
          <c:showBubbleSize val="0"/>
        </c:dLbls>
        <c:gapWidth val="219"/>
        <c:axId val="1306768056"/>
        <c:axId val="1306762808"/>
      </c:barChart>
      <c:barChart>
        <c:barDir val="col"/>
        <c:grouping val="clustered"/>
        <c:varyColors val="0"/>
        <c:ser>
          <c:idx val="3"/>
          <c:order val="3"/>
          <c:spPr>
            <a:solidFill>
              <a:schemeClr val="accent4"/>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HAWT!$T$505:$T$515</c:f>
              <c:numCache>
                <c:formatCode>General</c:formatCode>
                <c:ptCount val="11"/>
              </c:numCache>
            </c:numRef>
          </c:val>
          <c:extLst>
            <c:ext xmlns:c16="http://schemas.microsoft.com/office/drawing/2014/chart" uri="{C3380CC4-5D6E-409C-BE32-E72D297353CC}">
              <c16:uniqueId val="{00000003-54B3-4DA9-9F83-D093DD71516B}"/>
            </c:ext>
          </c:extLst>
        </c:ser>
        <c:ser>
          <c:idx val="4"/>
          <c:order val="4"/>
          <c:tx>
            <c:v>CED</c:v>
          </c:tx>
          <c:spPr>
            <a:solidFill>
              <a:srgbClr val="CC3300"/>
            </a:solidFill>
            <a:ln>
              <a:noFill/>
            </a:ln>
            <a:effectLst/>
          </c:spPr>
          <c:invertIfNegative val="0"/>
          <c:cat>
            <c:strRef>
              <c:f>HAWT!$P$505:$P$515</c:f>
              <c:strCache>
                <c:ptCount val="11"/>
                <c:pt idx="0">
                  <c:v>Generator</c:v>
                </c:pt>
                <c:pt idx="1">
                  <c:v>Gearbox</c:v>
                </c:pt>
                <c:pt idx="2">
                  <c:v>Transformer</c:v>
                </c:pt>
                <c:pt idx="3">
                  <c:v>Cover</c:v>
                </c:pt>
                <c:pt idx="4">
                  <c:v>Yaw</c:v>
                </c:pt>
                <c:pt idx="5">
                  <c:v>Shaft</c:v>
                </c:pt>
                <c:pt idx="6">
                  <c:v>Bed plate</c:v>
                </c:pt>
                <c:pt idx="7">
                  <c:v>Brake</c:v>
                </c:pt>
                <c:pt idx="8">
                  <c:v>Electronics</c:v>
                </c:pt>
                <c:pt idx="9">
                  <c:v>Bearigns </c:v>
                </c:pt>
                <c:pt idx="10">
                  <c:v>Converter</c:v>
                </c:pt>
              </c:strCache>
            </c:strRef>
          </c:cat>
          <c:val>
            <c:numRef>
              <c:f>HAWT!$U$505:$U$515</c:f>
              <c:numCache>
                <c:formatCode>0.00</c:formatCode>
                <c:ptCount val="11"/>
                <c:pt idx="0">
                  <c:v>2.3517504755197369</c:v>
                </c:pt>
                <c:pt idx="1">
                  <c:v>8.9524595422068938</c:v>
                </c:pt>
                <c:pt idx="2">
                  <c:v>3.622814692877661</c:v>
                </c:pt>
                <c:pt idx="3">
                  <c:v>0.95908719621918082</c:v>
                </c:pt>
                <c:pt idx="4">
                  <c:v>1.4881309666697748</c:v>
                </c:pt>
                <c:pt idx="5">
                  <c:v>4.1706498312267506</c:v>
                </c:pt>
                <c:pt idx="6">
                  <c:v>9.1114793482302794</c:v>
                </c:pt>
                <c:pt idx="7">
                  <c:v>0.62308314958997968</c:v>
                </c:pt>
                <c:pt idx="8">
                  <c:v>0.69362370709453669</c:v>
                </c:pt>
                <c:pt idx="9">
                  <c:v>2.5665537422933848</c:v>
                </c:pt>
                <c:pt idx="10">
                  <c:v>0.60761829377739407</c:v>
                </c:pt>
              </c:numCache>
            </c:numRef>
          </c:val>
          <c:extLst>
            <c:ext xmlns:c16="http://schemas.microsoft.com/office/drawing/2014/chart" uri="{C3380CC4-5D6E-409C-BE32-E72D297353CC}">
              <c16:uniqueId val="{00000004-54B3-4DA9-9F83-D093DD71516B}"/>
            </c:ext>
          </c:extLst>
        </c:ser>
        <c:dLbls>
          <c:showLegendKey val="0"/>
          <c:showVal val="0"/>
          <c:showCatName val="0"/>
          <c:showSerName val="0"/>
          <c:showPercent val="0"/>
          <c:showBubbleSize val="0"/>
        </c:dLbls>
        <c:gapWidth val="219"/>
        <c:axId val="1306794952"/>
        <c:axId val="1306803808"/>
      </c:barChart>
      <c:catAx>
        <c:axId val="1306768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06762808"/>
        <c:crosses val="autoZero"/>
        <c:auto val="1"/>
        <c:lblAlgn val="ctr"/>
        <c:lblOffset val="100"/>
        <c:noMultiLvlLbl val="0"/>
      </c:catAx>
      <c:valAx>
        <c:axId val="130676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GWP [kgCO2eq/MWh]</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06768056"/>
        <c:crosses val="autoZero"/>
        <c:crossBetween val="between"/>
      </c:valAx>
      <c:valAx>
        <c:axId val="1306803808"/>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CED [MJ/MWh]</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06794952"/>
        <c:crosses val="max"/>
        <c:crossBetween val="between"/>
      </c:valAx>
      <c:catAx>
        <c:axId val="1306794952"/>
        <c:scaling>
          <c:orientation val="minMax"/>
        </c:scaling>
        <c:delete val="1"/>
        <c:axPos val="b"/>
        <c:numFmt formatCode="General" sourceLinked="1"/>
        <c:majorTickMark val="out"/>
        <c:minorTickMark val="none"/>
        <c:tickLblPos val="nextTo"/>
        <c:crossAx val="1306803808"/>
        <c:crosses val="autoZero"/>
        <c:auto val="1"/>
        <c:lblAlgn val="ctr"/>
        <c:lblOffset val="100"/>
        <c:noMultiLvlLbl val="0"/>
      </c:catAx>
      <c:spPr>
        <a:noFill/>
        <a:ln>
          <a:noFill/>
        </a:ln>
        <a:effectLst/>
      </c:spPr>
    </c:plotArea>
    <c:legend>
      <c:legendPos val="b"/>
      <c:legendEntry>
        <c:idx val="1"/>
        <c:delete val="1"/>
      </c:legendEntry>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mass of cable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layout>
                <c:manualLayout>
                  <c:x val="-5.5035433070866092E-2"/>
                  <c:y val="-1.05016039661708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10031189851268592"/>
                  <c:y val="0.2240766258384368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Cables!$J$8:$J$15</c:f>
              <c:numCache>
                <c:formatCode>General</c:formatCode>
                <c:ptCount val="8"/>
                <c:pt idx="0">
                  <c:v>50</c:v>
                </c:pt>
                <c:pt idx="1">
                  <c:v>70</c:v>
                </c:pt>
                <c:pt idx="2">
                  <c:v>95</c:v>
                </c:pt>
                <c:pt idx="3">
                  <c:v>120</c:v>
                </c:pt>
                <c:pt idx="4">
                  <c:v>150</c:v>
                </c:pt>
                <c:pt idx="5">
                  <c:v>185</c:v>
                </c:pt>
                <c:pt idx="6">
                  <c:v>240</c:v>
                </c:pt>
                <c:pt idx="7">
                  <c:v>300</c:v>
                </c:pt>
              </c:numCache>
            </c:numRef>
          </c:xVal>
          <c:yVal>
            <c:numRef>
              <c:f>Cables!$K$8:$K$15</c:f>
              <c:numCache>
                <c:formatCode>General</c:formatCode>
                <c:ptCount val="8"/>
                <c:pt idx="0">
                  <c:v>3.22</c:v>
                </c:pt>
                <c:pt idx="1">
                  <c:v>3.67</c:v>
                </c:pt>
                <c:pt idx="2">
                  <c:v>4.18</c:v>
                </c:pt>
                <c:pt idx="3">
                  <c:v>4.63</c:v>
                </c:pt>
                <c:pt idx="4">
                  <c:v>5.0999999999999996</c:v>
                </c:pt>
                <c:pt idx="5">
                  <c:v>5.7</c:v>
                </c:pt>
                <c:pt idx="6">
                  <c:v>6.65</c:v>
                </c:pt>
                <c:pt idx="7">
                  <c:v>7.55</c:v>
                </c:pt>
              </c:numCache>
            </c:numRef>
          </c:yVal>
          <c:smooth val="0"/>
          <c:extLst>
            <c:ext xmlns:c16="http://schemas.microsoft.com/office/drawing/2014/chart" uri="{C3380CC4-5D6E-409C-BE32-E72D297353CC}">
              <c16:uniqueId val="{00000000-C0AC-43C2-857B-4676D9A2595D}"/>
            </c:ext>
          </c:extLst>
        </c:ser>
        <c:dLbls>
          <c:showLegendKey val="0"/>
          <c:showVal val="0"/>
          <c:showCatName val="0"/>
          <c:showSerName val="0"/>
          <c:showPercent val="0"/>
          <c:showBubbleSize val="0"/>
        </c:dLbls>
        <c:axId val="447340480"/>
        <c:axId val="447347040"/>
      </c:scatterChart>
      <c:valAx>
        <c:axId val="447340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47040"/>
        <c:crosses val="autoZero"/>
        <c:crossBetween val="midCat"/>
      </c:valAx>
      <c:valAx>
        <c:axId val="447347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40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rating cable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1"/>
            <c:trendlineLbl>
              <c:layout>
                <c:manualLayout>
                  <c:x val="5.0692913385826772E-2"/>
                  <c:y val="0.27047750229568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Cables!$A$26:$A$30</c:f>
              <c:numCache>
                <c:formatCode>General</c:formatCode>
                <c:ptCount val="5"/>
                <c:pt idx="0">
                  <c:v>120</c:v>
                </c:pt>
                <c:pt idx="1">
                  <c:v>150</c:v>
                </c:pt>
                <c:pt idx="2">
                  <c:v>185</c:v>
                </c:pt>
                <c:pt idx="3">
                  <c:v>240</c:v>
                </c:pt>
                <c:pt idx="4">
                  <c:v>300</c:v>
                </c:pt>
              </c:numCache>
            </c:numRef>
          </c:xVal>
          <c:yVal>
            <c:numRef>
              <c:f>Cables!$B$26:$B$30</c:f>
              <c:numCache>
                <c:formatCode>General</c:formatCode>
                <c:ptCount val="5"/>
                <c:pt idx="0">
                  <c:v>331</c:v>
                </c:pt>
                <c:pt idx="1">
                  <c:v>372</c:v>
                </c:pt>
                <c:pt idx="2">
                  <c:v>420</c:v>
                </c:pt>
                <c:pt idx="3">
                  <c:v>486</c:v>
                </c:pt>
                <c:pt idx="4">
                  <c:v>547</c:v>
                </c:pt>
              </c:numCache>
            </c:numRef>
          </c:yVal>
          <c:smooth val="0"/>
          <c:extLst>
            <c:ext xmlns:c16="http://schemas.microsoft.com/office/drawing/2014/chart" uri="{C3380CC4-5D6E-409C-BE32-E72D297353CC}">
              <c16:uniqueId val="{00000000-B3CE-401F-82A1-3C266286DB38}"/>
            </c:ext>
          </c:extLst>
        </c:ser>
        <c:dLbls>
          <c:showLegendKey val="0"/>
          <c:showVal val="0"/>
          <c:showCatName val="0"/>
          <c:showSerName val="0"/>
          <c:showPercent val="0"/>
          <c:showBubbleSize val="0"/>
        </c:dLbls>
        <c:axId val="445918024"/>
        <c:axId val="445921632"/>
      </c:scatterChart>
      <c:valAx>
        <c:axId val="445918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921632"/>
        <c:crosses val="autoZero"/>
        <c:crossBetween val="midCat"/>
      </c:valAx>
      <c:valAx>
        <c:axId val="44592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9180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0.16874496937882769"/>
                  <c:y val="4.1046952464275296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'Draft Calculations'!$M$107:$O$107</c:f>
              <c:numCache>
                <c:formatCode>General</c:formatCode>
                <c:ptCount val="3"/>
                <c:pt idx="0">
                  <c:v>6000</c:v>
                </c:pt>
                <c:pt idx="1">
                  <c:v>10000</c:v>
                </c:pt>
                <c:pt idx="2">
                  <c:v>12000</c:v>
                </c:pt>
              </c:numCache>
            </c:numRef>
          </c:cat>
          <c:val>
            <c:numRef>
              <c:f>'Draft Calculations'!$M$107:$O$107</c:f>
              <c:numCache>
                <c:formatCode>General</c:formatCode>
                <c:ptCount val="3"/>
                <c:pt idx="0">
                  <c:v>6000</c:v>
                </c:pt>
                <c:pt idx="1">
                  <c:v>10000</c:v>
                </c:pt>
                <c:pt idx="2">
                  <c:v>12000</c:v>
                </c:pt>
              </c:numCache>
            </c:numRef>
          </c:val>
          <c:smooth val="0"/>
          <c:extLst>
            <c:ext xmlns:c16="http://schemas.microsoft.com/office/drawing/2014/chart" uri="{C3380CC4-5D6E-409C-BE32-E72D297353CC}">
              <c16:uniqueId val="{00000000-39F9-4659-A59E-BFB18C6F3AF4}"/>
            </c:ext>
          </c:extLst>
        </c:ser>
        <c:dLbls>
          <c:showLegendKey val="0"/>
          <c:showVal val="0"/>
          <c:showCatName val="0"/>
          <c:showSerName val="0"/>
          <c:showPercent val="0"/>
          <c:showBubbleSize val="0"/>
        </c:dLbls>
        <c:smooth val="0"/>
        <c:axId val="854278128"/>
        <c:axId val="854279112"/>
      </c:lineChart>
      <c:catAx>
        <c:axId val="85427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279112"/>
        <c:crosses val="autoZero"/>
        <c:auto val="1"/>
        <c:lblAlgn val="ctr"/>
        <c:lblOffset val="100"/>
        <c:noMultiLvlLbl val="0"/>
      </c:catAx>
      <c:valAx>
        <c:axId val="854279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278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Masses of the HAWT system</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559435901121995E-2"/>
          <c:y val="0.10193694115457126"/>
          <c:w val="0.89025530160860866"/>
          <c:h val="0.72998448088950119"/>
        </c:manualLayout>
      </c:layout>
      <c:barChart>
        <c:barDir val="col"/>
        <c:grouping val="stacked"/>
        <c:varyColors val="0"/>
        <c:ser>
          <c:idx val="0"/>
          <c:order val="0"/>
          <c:tx>
            <c:strRef>
              <c:f>HAWTmas!$R$59</c:f>
              <c:strCache>
                <c:ptCount val="1"/>
                <c:pt idx="0">
                  <c:v>Rebar</c:v>
                </c:pt>
              </c:strCache>
            </c:strRef>
          </c:tx>
          <c:spPr>
            <a:solidFill>
              <a:schemeClr val="accent1"/>
            </a:solidFill>
            <a:ln>
              <a:noFill/>
            </a:ln>
            <a:effectLst/>
          </c:spPr>
          <c:invertIfNegative val="0"/>
          <c:dLbls>
            <c:dLbl>
              <c:idx val="3"/>
              <c:layout>
                <c:manualLayout>
                  <c:x val="8.2199942283166239E-2"/>
                  <c:y val="-5.3493993834858082E-2"/>
                </c:manualLayout>
              </c:layout>
              <c:tx>
                <c:rich>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r>
                      <a:rPr lang="en-US"/>
                      <a:t>Rebar</a:t>
                    </a:r>
                  </a:p>
                </c:rich>
              </c:tx>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15:layout>
                    <c:manualLayout>
                      <c:w val="6.2567977900953822E-2"/>
                      <c:h val="4.8817198828135525E-2"/>
                    </c:manualLayout>
                  </c15:layout>
                  <c15:showDataLabelsRange val="0"/>
                </c:ext>
                <c:ext xmlns:c16="http://schemas.microsoft.com/office/drawing/2014/chart" uri="{C3380CC4-5D6E-409C-BE32-E72D297353CC}">
                  <c16:uniqueId val="{00000003-D5FB-4204-81A5-09AD1E9FD64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HAWTmas!$R$60:$R$64</c:f>
              <c:numCache>
                <c:formatCode>General</c:formatCode>
                <c:ptCount val="5"/>
                <c:pt idx="3">
                  <c:v>108440.14000000001</c:v>
                </c:pt>
              </c:numCache>
            </c:numRef>
          </c:val>
          <c:extLst>
            <c:ext xmlns:c16="http://schemas.microsoft.com/office/drawing/2014/chart" uri="{C3380CC4-5D6E-409C-BE32-E72D297353CC}">
              <c16:uniqueId val="{00000000-6990-4D40-BBB3-FC96131E04EA}"/>
            </c:ext>
          </c:extLst>
        </c:ser>
        <c:ser>
          <c:idx val="1"/>
          <c:order val="1"/>
          <c:tx>
            <c:strRef>
              <c:f>HAWTmas!$S$59</c:f>
              <c:strCache>
                <c:ptCount val="1"/>
                <c:pt idx="0">
                  <c:v>Concrete</c:v>
                </c:pt>
              </c:strCache>
            </c:strRef>
          </c:tx>
          <c:spPr>
            <a:solidFill>
              <a:schemeClr val="accent2"/>
            </a:solidFill>
            <a:ln>
              <a:noFill/>
            </a:ln>
            <a:effectLst/>
          </c:spPr>
          <c:invertIfNegative val="0"/>
          <c:dLbls>
            <c:dLbl>
              <c:idx val="3"/>
              <c:layout>
                <c:manualLayout>
                  <c:x val="8.3393881069443038E-2"/>
                  <c:y val="-1.6497934375718443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D5FB-4204-81A5-09AD1E9FD64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HAWTmas!$S$60:$S$64</c:f>
              <c:numCache>
                <c:formatCode>General</c:formatCode>
                <c:ptCount val="5"/>
                <c:pt idx="3">
                  <c:v>225000</c:v>
                </c:pt>
              </c:numCache>
            </c:numRef>
          </c:val>
          <c:extLst>
            <c:ext xmlns:c16="http://schemas.microsoft.com/office/drawing/2014/chart" uri="{C3380CC4-5D6E-409C-BE32-E72D297353CC}">
              <c16:uniqueId val="{00000001-6990-4D40-BBB3-FC96131E04EA}"/>
            </c:ext>
          </c:extLst>
        </c:ser>
        <c:ser>
          <c:idx val="2"/>
          <c:order val="2"/>
          <c:tx>
            <c:strRef>
              <c:f>HAWTmas!$T$59</c:f>
              <c:strCache>
                <c:ptCount val="1"/>
                <c:pt idx="0">
                  <c:v>Inter array</c:v>
                </c:pt>
              </c:strCache>
            </c:strRef>
          </c:tx>
          <c:spPr>
            <a:solidFill>
              <a:schemeClr val="accent3"/>
            </a:solidFill>
            <a:ln>
              <a:noFill/>
            </a:ln>
            <a:effectLst/>
          </c:spPr>
          <c:invertIfNegative val="0"/>
          <c:dLbls>
            <c:dLbl>
              <c:idx val="4"/>
              <c:layout>
                <c:manualLayout>
                  <c:x val="-7.8538158655976076E-2"/>
                  <c:y val="-2.188070223816331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7-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HAWTmas!$T$60:$T$64</c:f>
              <c:numCache>
                <c:formatCode>General</c:formatCode>
                <c:ptCount val="5"/>
                <c:pt idx="4">
                  <c:v>5253.7653</c:v>
                </c:pt>
              </c:numCache>
            </c:numRef>
          </c:val>
          <c:extLst>
            <c:ext xmlns:c16="http://schemas.microsoft.com/office/drawing/2014/chart" uri="{C3380CC4-5D6E-409C-BE32-E72D297353CC}">
              <c16:uniqueId val="{00000002-6990-4D40-BBB3-FC96131E04EA}"/>
            </c:ext>
          </c:extLst>
        </c:ser>
        <c:ser>
          <c:idx val="3"/>
          <c:order val="3"/>
          <c:tx>
            <c:strRef>
              <c:f>HAWTmas!$U$59</c:f>
              <c:strCache>
                <c:ptCount val="1"/>
                <c:pt idx="0">
                  <c:v>Transmission</c:v>
                </c:pt>
              </c:strCache>
            </c:strRef>
          </c:tx>
          <c:spPr>
            <a:solidFill>
              <a:schemeClr val="accent4"/>
            </a:solidFill>
            <a:ln>
              <a:noFill/>
            </a:ln>
            <a:effectLst/>
          </c:spPr>
          <c:invertIfNegative val="0"/>
          <c:dLbls>
            <c:dLbl>
              <c:idx val="4"/>
              <c:layout>
                <c:manualLayout>
                  <c:x val="-5.2062812152766175E-2"/>
                  <c:y val="-6.5133168689587698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HAWTmas!$U$60:$U$64</c:f>
              <c:numCache>
                <c:formatCode>General</c:formatCode>
                <c:ptCount val="5"/>
                <c:pt idx="4">
                  <c:v>38431.5</c:v>
                </c:pt>
              </c:numCache>
            </c:numRef>
          </c:val>
          <c:extLst>
            <c:ext xmlns:c16="http://schemas.microsoft.com/office/drawing/2014/chart" uri="{C3380CC4-5D6E-409C-BE32-E72D297353CC}">
              <c16:uniqueId val="{00000003-6990-4D40-BBB3-FC96131E04EA}"/>
            </c:ext>
          </c:extLst>
        </c:ser>
        <c:ser>
          <c:idx val="4"/>
          <c:order val="4"/>
          <c:tx>
            <c:strRef>
              <c:f>HAWTmas!$V$59</c:f>
              <c:strCache>
                <c:ptCount val="1"/>
                <c:pt idx="0">
                  <c:v>Tower</c:v>
                </c:pt>
              </c:strCache>
            </c:strRef>
          </c:tx>
          <c:spPr>
            <a:solidFill>
              <a:schemeClr val="accent5"/>
            </a:solidFill>
            <a:ln cmpd="sng">
              <a:noFill/>
              <a:round/>
            </a:ln>
            <a:effectLst/>
          </c:spPr>
          <c:invertIfNegative val="0"/>
          <c:dLbls>
            <c:dLbl>
              <c:idx val="2"/>
              <c:layout>
                <c:manualLayout>
                  <c:x val="8.3393881069443107E-2"/>
                  <c:y val="-1.4055458358339559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D5FB-4204-81A5-09AD1E9FD64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HAWTmas!$V$60:$V$64</c:f>
              <c:numCache>
                <c:formatCode>General</c:formatCode>
                <c:ptCount val="5"/>
                <c:pt idx="2">
                  <c:v>300000</c:v>
                </c:pt>
              </c:numCache>
            </c:numRef>
          </c:val>
          <c:extLst>
            <c:ext xmlns:c16="http://schemas.microsoft.com/office/drawing/2014/chart" uri="{C3380CC4-5D6E-409C-BE32-E72D297353CC}">
              <c16:uniqueId val="{00000004-6990-4D40-BBB3-FC96131E04EA}"/>
            </c:ext>
          </c:extLst>
        </c:ser>
        <c:ser>
          <c:idx val="5"/>
          <c:order val="5"/>
          <c:tx>
            <c:strRef>
              <c:f>HAWTmas!$W$59</c:f>
              <c:strCache>
                <c:ptCount val="1"/>
                <c:pt idx="0">
                  <c:v>Blades</c:v>
                </c:pt>
              </c:strCache>
            </c:strRef>
          </c:tx>
          <c:spPr>
            <a:solidFill>
              <a:schemeClr val="accent6"/>
            </a:solidFill>
            <a:ln>
              <a:noFill/>
            </a:ln>
            <a:effectLst/>
          </c:spPr>
          <c:invertIfNegative val="0"/>
          <c:dLbls>
            <c:dLbl>
              <c:idx val="0"/>
              <c:layout>
                <c:manualLayout>
                  <c:x val="9.6756444933940589E-2"/>
                  <c:y val="-1.4654941328884692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B-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HAWTmas!$W$60:$W$64</c:f>
              <c:numCache>
                <c:formatCode>General</c:formatCode>
                <c:ptCount val="5"/>
                <c:pt idx="0">
                  <c:v>48300</c:v>
                </c:pt>
              </c:numCache>
            </c:numRef>
          </c:val>
          <c:extLst>
            <c:ext xmlns:c16="http://schemas.microsoft.com/office/drawing/2014/chart" uri="{C3380CC4-5D6E-409C-BE32-E72D297353CC}">
              <c16:uniqueId val="{00000006-6990-4D40-BBB3-FC96131E04EA}"/>
            </c:ext>
          </c:extLst>
        </c:ser>
        <c:ser>
          <c:idx val="6"/>
          <c:order val="6"/>
          <c:tx>
            <c:strRef>
              <c:f>HAWTmas!$X$59</c:f>
              <c:strCache>
                <c:ptCount val="1"/>
                <c:pt idx="0">
                  <c:v>Hub</c:v>
                </c:pt>
              </c:strCache>
            </c:strRef>
          </c:tx>
          <c:spPr>
            <a:solidFill>
              <a:schemeClr val="accent1">
                <a:lumMod val="60000"/>
              </a:schemeClr>
            </a:solidFill>
            <a:ln>
              <a:noFill/>
            </a:ln>
            <a:effectLst/>
          </c:spPr>
          <c:invertIfNegative val="0"/>
          <c:dLbls>
            <c:dLbl>
              <c:idx val="0"/>
              <c:layout>
                <c:manualLayout>
                  <c:x val="9.1717039178314919E-2"/>
                  <c:y val="-2.5239777889954568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A-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HAWTmas!$X$60:$X$64</c:f>
              <c:numCache>
                <c:formatCode>General</c:formatCode>
                <c:ptCount val="5"/>
                <c:pt idx="0">
                  <c:v>34100</c:v>
                </c:pt>
              </c:numCache>
            </c:numRef>
          </c:val>
          <c:extLst>
            <c:ext xmlns:c16="http://schemas.microsoft.com/office/drawing/2014/chart" uri="{C3380CC4-5D6E-409C-BE32-E72D297353CC}">
              <c16:uniqueId val="{00000007-6990-4D40-BBB3-FC96131E04EA}"/>
            </c:ext>
          </c:extLst>
        </c:ser>
        <c:ser>
          <c:idx val="7"/>
          <c:order val="7"/>
          <c:tx>
            <c:strRef>
              <c:f>HAWTmas!$Y$59</c:f>
              <c:strCache>
                <c:ptCount val="1"/>
                <c:pt idx="0">
                  <c:v>Spinner</c:v>
                </c:pt>
              </c:strCache>
            </c:strRef>
          </c:tx>
          <c:spPr>
            <a:solidFill>
              <a:schemeClr val="accent2">
                <a:lumMod val="60000"/>
              </a:schemeClr>
            </a:solidFill>
            <a:ln>
              <a:noFill/>
            </a:ln>
            <a:effectLst/>
          </c:spPr>
          <c:invertIfNegative val="0"/>
          <c:dLbls>
            <c:dLbl>
              <c:idx val="0"/>
              <c:layout>
                <c:manualLayout>
                  <c:x val="9.2724947239152949E-2"/>
                  <c:y val="4.0707933622981393E-4"/>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9-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HAWTmas!$Y$60:$Y$64</c:f>
              <c:numCache>
                <c:formatCode>General</c:formatCode>
                <c:ptCount val="5"/>
                <c:pt idx="0">
                  <c:v>1800</c:v>
                </c:pt>
              </c:numCache>
            </c:numRef>
          </c:val>
          <c:extLst>
            <c:ext xmlns:c16="http://schemas.microsoft.com/office/drawing/2014/chart" uri="{C3380CC4-5D6E-409C-BE32-E72D297353CC}">
              <c16:uniqueId val="{00000008-6990-4D40-BBB3-FC96131E04EA}"/>
            </c:ext>
          </c:extLst>
        </c:ser>
        <c:ser>
          <c:idx val="8"/>
          <c:order val="8"/>
          <c:tx>
            <c:strRef>
              <c:f>HAWTmas!$Z$59</c:f>
              <c:strCache>
                <c:ptCount val="1"/>
                <c:pt idx="0">
                  <c:v>Pitch</c:v>
                </c:pt>
              </c:strCache>
            </c:strRef>
          </c:tx>
          <c:spPr>
            <a:solidFill>
              <a:schemeClr val="accent3">
                <a:lumMod val="60000"/>
              </a:schemeClr>
            </a:solidFill>
            <a:ln>
              <a:noFill/>
            </a:ln>
            <a:effectLst/>
          </c:spPr>
          <c:invertIfNegative val="0"/>
          <c:dLbls>
            <c:dLbl>
              <c:idx val="0"/>
              <c:layout>
                <c:manualLayout>
                  <c:x val="9.4740687056183534E-2"/>
                  <c:y val="-9.8514058411322079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8-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HAWTmas!$Z$60:$Z$64</c:f>
              <c:numCache>
                <c:formatCode>General</c:formatCode>
                <c:ptCount val="5"/>
                <c:pt idx="0">
                  <c:v>14700</c:v>
                </c:pt>
              </c:numCache>
            </c:numRef>
          </c:val>
          <c:extLst>
            <c:ext xmlns:c16="http://schemas.microsoft.com/office/drawing/2014/chart" uri="{C3380CC4-5D6E-409C-BE32-E72D297353CC}">
              <c16:uniqueId val="{00000009-6990-4D40-BBB3-FC96131E04EA}"/>
            </c:ext>
          </c:extLst>
        </c:ser>
        <c:ser>
          <c:idx val="9"/>
          <c:order val="9"/>
          <c:tx>
            <c:strRef>
              <c:f>HAWTmas!$AA$59</c:f>
              <c:strCache>
                <c:ptCount val="1"/>
                <c:pt idx="0">
                  <c:v>Geanerator</c:v>
                </c:pt>
              </c:strCache>
            </c:strRef>
          </c:tx>
          <c:spPr>
            <a:solidFill>
              <a:schemeClr val="accent4">
                <a:lumMod val="60000"/>
              </a:schemeClr>
            </a:solidFill>
            <a:ln>
              <a:noFill/>
            </a:ln>
            <a:effectLst/>
          </c:spPr>
          <c:invertIfNegative val="0"/>
          <c:dLbls>
            <c:dLbl>
              <c:idx val="1"/>
              <c:layout>
                <c:manualLayout>
                  <c:x val="9.6562384160010228E-2"/>
                  <c:y val="-1.4410565550350109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5-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HAWTmas!$AA$60:$AA$64</c:f>
              <c:numCache>
                <c:formatCode>General</c:formatCode>
                <c:ptCount val="5"/>
                <c:pt idx="1">
                  <c:v>15645.312942509203</c:v>
                </c:pt>
              </c:numCache>
            </c:numRef>
          </c:val>
          <c:extLst>
            <c:ext xmlns:c16="http://schemas.microsoft.com/office/drawing/2014/chart" uri="{C3380CC4-5D6E-409C-BE32-E72D297353CC}">
              <c16:uniqueId val="{0000000A-6990-4D40-BBB3-FC96131E04EA}"/>
            </c:ext>
          </c:extLst>
        </c:ser>
        <c:ser>
          <c:idx val="10"/>
          <c:order val="10"/>
          <c:tx>
            <c:strRef>
              <c:f>HAWTmas!$AB$59</c:f>
              <c:strCache>
                <c:ptCount val="1"/>
                <c:pt idx="0">
                  <c:v>Gearbox</c:v>
                </c:pt>
              </c:strCache>
            </c:strRef>
          </c:tx>
          <c:spPr>
            <a:solidFill>
              <a:schemeClr val="accent5">
                <a:lumMod val="60000"/>
              </a:schemeClr>
            </a:solidFill>
            <a:ln>
              <a:noFill/>
            </a:ln>
            <a:effectLst/>
          </c:spPr>
          <c:invertIfNegative val="0"/>
          <c:dLbls>
            <c:dLbl>
              <c:idx val="1"/>
              <c:layout>
                <c:manualLayout>
                  <c:x val="9.2996591776709409E-2"/>
                  <c:y val="-1.3189434922123929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4-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HAWTmas!$AB$60:$AB$64</c:f>
              <c:numCache>
                <c:formatCode>General</c:formatCode>
                <c:ptCount val="5"/>
                <c:pt idx="1">
                  <c:v>97297.2</c:v>
                </c:pt>
              </c:numCache>
            </c:numRef>
          </c:val>
          <c:extLst>
            <c:ext xmlns:c16="http://schemas.microsoft.com/office/drawing/2014/chart" uri="{C3380CC4-5D6E-409C-BE32-E72D297353CC}">
              <c16:uniqueId val="{0000000B-6990-4D40-BBB3-FC96131E04EA}"/>
            </c:ext>
          </c:extLst>
        </c:ser>
        <c:ser>
          <c:idx val="11"/>
          <c:order val="11"/>
          <c:tx>
            <c:strRef>
              <c:f>HAWTmas!$AC$59</c:f>
              <c:strCache>
                <c:ptCount val="1"/>
                <c:pt idx="0">
                  <c:v>Transformer</c:v>
                </c:pt>
              </c:strCache>
            </c:strRef>
          </c:tx>
          <c:spPr>
            <a:solidFill>
              <a:schemeClr val="accent6">
                <a:lumMod val="60000"/>
              </a:schemeClr>
            </a:solidFill>
            <a:ln>
              <a:noFill/>
            </a:ln>
            <a:effectLst/>
          </c:spPr>
          <c:invertIfNegative val="0"/>
          <c:dLbls>
            <c:dLbl>
              <c:idx val="1"/>
              <c:layout>
                <c:manualLayout>
                  <c:x val="9.3074193601061839E-2"/>
                  <c:y val="-1.1479644773120404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3-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HAWTmas!$AC$60:$AC$64</c:f>
              <c:numCache>
                <c:formatCode>General</c:formatCode>
                <c:ptCount val="5"/>
                <c:pt idx="1">
                  <c:v>16877.125</c:v>
                </c:pt>
              </c:numCache>
            </c:numRef>
          </c:val>
          <c:extLst>
            <c:ext xmlns:c16="http://schemas.microsoft.com/office/drawing/2014/chart" uri="{C3380CC4-5D6E-409C-BE32-E72D297353CC}">
              <c16:uniqueId val="{0000000C-6990-4D40-BBB3-FC96131E04EA}"/>
            </c:ext>
          </c:extLst>
        </c:ser>
        <c:ser>
          <c:idx val="12"/>
          <c:order val="12"/>
          <c:tx>
            <c:strRef>
              <c:f>HAWTmas!$AD$59</c:f>
              <c:strCache>
                <c:ptCount val="1"/>
                <c:pt idx="0">
                  <c:v>cover</c:v>
                </c:pt>
              </c:strCache>
            </c:strRef>
          </c:tx>
          <c:spPr>
            <a:solidFill>
              <a:schemeClr val="accent1">
                <a:lumMod val="80000"/>
                <a:lumOff val="20000"/>
              </a:schemeClr>
            </a:solidFill>
            <a:ln>
              <a:noFill/>
            </a:ln>
            <a:effectLst/>
          </c:spPr>
          <c:invertIfNegative val="0"/>
          <c:dLbls>
            <c:dLbl>
              <c:idx val="1"/>
              <c:layout>
                <c:manualLayout>
                  <c:x val="7.4545441781768335E-2"/>
                  <c:y val="-7.8771259632046103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2-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HAWTmas!$AD$60:$AD$64</c:f>
              <c:numCache>
                <c:formatCode>General</c:formatCode>
                <c:ptCount val="5"/>
                <c:pt idx="1">
                  <c:v>3180</c:v>
                </c:pt>
              </c:numCache>
            </c:numRef>
          </c:val>
          <c:extLst>
            <c:ext xmlns:c16="http://schemas.microsoft.com/office/drawing/2014/chart" uri="{C3380CC4-5D6E-409C-BE32-E72D297353CC}">
              <c16:uniqueId val="{0000000D-6990-4D40-BBB3-FC96131E04EA}"/>
            </c:ext>
          </c:extLst>
        </c:ser>
        <c:ser>
          <c:idx val="13"/>
          <c:order val="13"/>
          <c:tx>
            <c:strRef>
              <c:f>HAWTmas!$AE$59</c:f>
              <c:strCache>
                <c:ptCount val="1"/>
                <c:pt idx="0">
                  <c:v>Yaw</c:v>
                </c:pt>
              </c:strCache>
            </c:strRef>
          </c:tx>
          <c:spPr>
            <a:solidFill>
              <a:schemeClr val="accent2">
                <a:lumMod val="80000"/>
                <a:lumOff val="20000"/>
              </a:schemeClr>
            </a:solidFill>
            <a:ln>
              <a:noFill/>
            </a:ln>
            <a:effectLst/>
          </c:spPr>
          <c:invertIfNegative val="0"/>
          <c:dLbls>
            <c:dLbl>
              <c:idx val="1"/>
              <c:layout>
                <c:manualLayout>
                  <c:x val="7.2490939204884225E-2"/>
                  <c:y val="-2.3130555733608255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HAWTmas!$AE$60:$AE$64</c:f>
              <c:numCache>
                <c:formatCode>General</c:formatCode>
                <c:ptCount val="5"/>
                <c:pt idx="1">
                  <c:v>6174</c:v>
                </c:pt>
              </c:numCache>
            </c:numRef>
          </c:val>
          <c:extLst>
            <c:ext xmlns:c16="http://schemas.microsoft.com/office/drawing/2014/chart" uri="{C3380CC4-5D6E-409C-BE32-E72D297353CC}">
              <c16:uniqueId val="{0000000E-6990-4D40-BBB3-FC96131E04EA}"/>
            </c:ext>
          </c:extLst>
        </c:ser>
        <c:ser>
          <c:idx val="14"/>
          <c:order val="14"/>
          <c:tx>
            <c:strRef>
              <c:f>HAWTmas!$AF$59</c:f>
              <c:strCache>
                <c:ptCount val="1"/>
                <c:pt idx="0">
                  <c:v>Shaft</c:v>
                </c:pt>
              </c:strCache>
            </c:strRef>
          </c:tx>
          <c:spPr>
            <a:solidFill>
              <a:schemeClr val="accent3">
                <a:lumMod val="80000"/>
                <a:lumOff val="20000"/>
              </a:schemeClr>
            </a:solidFill>
            <a:ln>
              <a:noFill/>
            </a:ln>
            <a:effectLst/>
          </c:spPr>
          <c:invertIfNegative val="0"/>
          <c:dLbls>
            <c:dLbl>
              <c:idx val="1"/>
              <c:layout>
                <c:manualLayout>
                  <c:x val="7.5553349842606407E-2"/>
                  <c:y val="-3.170773643263617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0-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HAWTmas!$AF$60:$AF$64</c:f>
              <c:numCache>
                <c:formatCode>General</c:formatCode>
                <c:ptCount val="5"/>
                <c:pt idx="1">
                  <c:v>16900</c:v>
                </c:pt>
              </c:numCache>
            </c:numRef>
          </c:val>
          <c:extLst>
            <c:ext xmlns:c16="http://schemas.microsoft.com/office/drawing/2014/chart" uri="{C3380CC4-5D6E-409C-BE32-E72D297353CC}">
              <c16:uniqueId val="{0000000F-6990-4D40-BBB3-FC96131E04EA}"/>
            </c:ext>
          </c:extLst>
        </c:ser>
        <c:ser>
          <c:idx val="15"/>
          <c:order val="15"/>
          <c:tx>
            <c:strRef>
              <c:f>HAWTmas!$AG$59</c:f>
              <c:strCache>
                <c:ptCount val="1"/>
                <c:pt idx="0">
                  <c:v>Bedplate</c:v>
                </c:pt>
              </c:strCache>
            </c:strRef>
          </c:tx>
          <c:spPr>
            <a:solidFill>
              <a:schemeClr val="accent4">
                <a:lumMod val="80000"/>
                <a:lumOff val="20000"/>
              </a:schemeClr>
            </a:solidFill>
            <a:ln>
              <a:noFill/>
            </a:ln>
            <a:effectLst/>
          </c:spPr>
          <c:invertIfNegative val="0"/>
          <c:dLbls>
            <c:dLbl>
              <c:idx val="1"/>
              <c:layout>
                <c:manualLayout>
                  <c:x val="9.8307700313810489E-2"/>
                  <c:y val="-2.700155191104987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F-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HAWTmas!$AG$60:$AG$64</c:f>
              <c:numCache>
                <c:formatCode>General</c:formatCode>
                <c:ptCount val="5"/>
                <c:pt idx="1">
                  <c:v>71571.5</c:v>
                </c:pt>
              </c:numCache>
            </c:numRef>
          </c:val>
          <c:extLst>
            <c:ext xmlns:c16="http://schemas.microsoft.com/office/drawing/2014/chart" uri="{C3380CC4-5D6E-409C-BE32-E72D297353CC}">
              <c16:uniqueId val="{00000010-6990-4D40-BBB3-FC96131E04EA}"/>
            </c:ext>
          </c:extLst>
        </c:ser>
        <c:ser>
          <c:idx val="16"/>
          <c:order val="16"/>
          <c:tx>
            <c:strRef>
              <c:f>HAWTmas!$AH$59</c:f>
              <c:strCache>
                <c:ptCount val="1"/>
                <c:pt idx="0">
                  <c:v>Brake</c:v>
                </c:pt>
              </c:strCache>
            </c:strRef>
          </c:tx>
          <c:spPr>
            <a:solidFill>
              <a:schemeClr val="accent5">
                <a:lumMod val="80000"/>
                <a:lumOff val="20000"/>
              </a:schemeClr>
            </a:solidFill>
            <a:ln>
              <a:noFill/>
            </a:ln>
            <a:effectLst/>
          </c:spPr>
          <c:invertIfNegative val="0"/>
          <c:dLbls>
            <c:dLbl>
              <c:idx val="1"/>
              <c:layout>
                <c:manualLayout>
                  <c:x val="9.0244664741042632E-2"/>
                  <c:y val="1.5570792391933158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HAWTmas!$AH$60:$AH$64</c:f>
              <c:numCache>
                <c:formatCode>General</c:formatCode>
                <c:ptCount val="5"/>
                <c:pt idx="1">
                  <c:v>5257</c:v>
                </c:pt>
              </c:numCache>
            </c:numRef>
          </c:val>
          <c:extLst>
            <c:ext xmlns:c16="http://schemas.microsoft.com/office/drawing/2014/chart" uri="{C3380CC4-5D6E-409C-BE32-E72D297353CC}">
              <c16:uniqueId val="{00000011-6990-4D40-BBB3-FC96131E04EA}"/>
            </c:ext>
          </c:extLst>
        </c:ser>
        <c:ser>
          <c:idx val="17"/>
          <c:order val="17"/>
          <c:tx>
            <c:strRef>
              <c:f>HAWTmas!$AI$59</c:f>
              <c:strCache>
                <c:ptCount val="1"/>
                <c:pt idx="0">
                  <c:v>HVAC</c:v>
                </c:pt>
              </c:strCache>
            </c:strRef>
          </c:tx>
          <c:spPr>
            <a:solidFill>
              <a:schemeClr val="accent6">
                <a:lumMod val="80000"/>
                <a:lumOff val="20000"/>
              </a:schemeClr>
            </a:solidFill>
            <a:ln>
              <a:noFill/>
            </a:ln>
            <a:effectLst/>
          </c:spPr>
          <c:invertIfNegative val="0"/>
          <c:dLbls>
            <c:delete val="1"/>
          </c:dLbls>
          <c:cat>
            <c:strRef>
              <c:f>HAWTmas!$Q$60:$Q$64</c:f>
              <c:strCache>
                <c:ptCount val="5"/>
                <c:pt idx="0">
                  <c:v>Rotor</c:v>
                </c:pt>
                <c:pt idx="1">
                  <c:v>Nacelle</c:v>
                </c:pt>
                <c:pt idx="2">
                  <c:v>Tower</c:v>
                </c:pt>
                <c:pt idx="3">
                  <c:v>Foundation</c:v>
                </c:pt>
                <c:pt idx="4">
                  <c:v>BOS</c:v>
                </c:pt>
              </c:strCache>
            </c:strRef>
          </c:cat>
          <c:val>
            <c:numRef>
              <c:f>HAWTmas!$AI$60:$AI$64</c:f>
              <c:numCache>
                <c:formatCode>General</c:formatCode>
                <c:ptCount val="5"/>
                <c:pt idx="1">
                  <c:v>0</c:v>
                </c:pt>
              </c:numCache>
            </c:numRef>
          </c:val>
          <c:extLst>
            <c:ext xmlns:c16="http://schemas.microsoft.com/office/drawing/2014/chart" uri="{C3380CC4-5D6E-409C-BE32-E72D297353CC}">
              <c16:uniqueId val="{00000012-6990-4D40-BBB3-FC96131E04EA}"/>
            </c:ext>
          </c:extLst>
        </c:ser>
        <c:ser>
          <c:idx val="18"/>
          <c:order val="18"/>
          <c:tx>
            <c:strRef>
              <c:f>HAWTmas!$AJ$59</c:f>
              <c:strCache>
                <c:ptCount val="1"/>
                <c:pt idx="0">
                  <c:v>Electronics</c:v>
                </c:pt>
              </c:strCache>
            </c:strRef>
          </c:tx>
          <c:spPr>
            <a:solidFill>
              <a:schemeClr val="accent1">
                <a:lumMod val="80000"/>
              </a:schemeClr>
            </a:solidFill>
            <a:ln>
              <a:noFill/>
            </a:ln>
            <a:effectLst/>
          </c:spPr>
          <c:invertIfNegative val="0"/>
          <c:dLbls>
            <c:dLbl>
              <c:idx val="1"/>
              <c:layout>
                <c:manualLayout>
                  <c:x val="0.10160177185490939"/>
                  <c:y val="-9.5013021711652847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C-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HAWTmas!$AJ$60:$AJ$64</c:f>
              <c:numCache>
                <c:formatCode>General</c:formatCode>
                <c:ptCount val="5"/>
                <c:pt idx="1">
                  <c:v>500</c:v>
                </c:pt>
              </c:numCache>
            </c:numRef>
          </c:val>
          <c:extLst>
            <c:ext xmlns:c16="http://schemas.microsoft.com/office/drawing/2014/chart" uri="{C3380CC4-5D6E-409C-BE32-E72D297353CC}">
              <c16:uniqueId val="{00000013-6990-4D40-BBB3-FC96131E04EA}"/>
            </c:ext>
          </c:extLst>
        </c:ser>
        <c:ser>
          <c:idx val="19"/>
          <c:order val="19"/>
          <c:tx>
            <c:strRef>
              <c:f>HAWTmas!$AK$59</c:f>
              <c:strCache>
                <c:ptCount val="1"/>
                <c:pt idx="0">
                  <c:v>bearigs</c:v>
                </c:pt>
              </c:strCache>
            </c:strRef>
          </c:tx>
          <c:spPr>
            <a:solidFill>
              <a:schemeClr val="accent2">
                <a:lumMod val="80000"/>
              </a:schemeClr>
            </a:solidFill>
            <a:ln>
              <a:noFill/>
            </a:ln>
            <a:effectLst/>
          </c:spPr>
          <c:invertIfNegative val="0"/>
          <c:dLbls>
            <c:dLbl>
              <c:idx val="1"/>
              <c:layout>
                <c:manualLayout>
                  <c:x val="9.0244664741042632E-2"/>
                  <c:y val="-3.1451116815509453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7-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HAWTmas!$AK$60:$AK$64</c:f>
              <c:numCache>
                <c:formatCode>General</c:formatCode>
                <c:ptCount val="5"/>
                <c:pt idx="1">
                  <c:v>10400</c:v>
                </c:pt>
              </c:numCache>
            </c:numRef>
          </c:val>
          <c:extLst>
            <c:ext xmlns:c16="http://schemas.microsoft.com/office/drawing/2014/chart" uri="{C3380CC4-5D6E-409C-BE32-E72D297353CC}">
              <c16:uniqueId val="{00000014-6990-4D40-BBB3-FC96131E04EA}"/>
            </c:ext>
          </c:extLst>
        </c:ser>
        <c:ser>
          <c:idx val="20"/>
          <c:order val="20"/>
          <c:tx>
            <c:strRef>
              <c:f>HAWTmas!$AL$59</c:f>
              <c:strCache>
                <c:ptCount val="1"/>
                <c:pt idx="0">
                  <c:v>Converter</c:v>
                </c:pt>
              </c:strCache>
            </c:strRef>
          </c:tx>
          <c:spPr>
            <a:solidFill>
              <a:schemeClr val="accent3">
                <a:lumMod val="80000"/>
              </a:schemeClr>
            </a:solidFill>
            <a:ln>
              <a:noFill/>
            </a:ln>
            <a:effectLst/>
          </c:spPr>
          <c:invertIfNegative val="0"/>
          <c:dLbls>
            <c:dLbl>
              <c:idx val="1"/>
              <c:layout>
                <c:manualLayout>
                  <c:x val="9.8074818536107514E-2"/>
                  <c:y val="-4.8479629447537344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6-6990-4D40-BBB3-FC96131E04EA}"/>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HAWTmas!$Q$60:$Q$64</c:f>
              <c:strCache>
                <c:ptCount val="5"/>
                <c:pt idx="0">
                  <c:v>Rotor</c:v>
                </c:pt>
                <c:pt idx="1">
                  <c:v>Nacelle</c:v>
                </c:pt>
                <c:pt idx="2">
                  <c:v>Tower</c:v>
                </c:pt>
                <c:pt idx="3">
                  <c:v>Foundation</c:v>
                </c:pt>
                <c:pt idx="4">
                  <c:v>BOS</c:v>
                </c:pt>
              </c:strCache>
            </c:strRef>
          </c:cat>
          <c:val>
            <c:numRef>
              <c:f>HAWTmas!$AL$60:$AL$64</c:f>
              <c:numCache>
                <c:formatCode>General</c:formatCode>
                <c:ptCount val="5"/>
                <c:pt idx="1">
                  <c:v>4822.0640569395009</c:v>
                </c:pt>
              </c:numCache>
            </c:numRef>
          </c:val>
          <c:extLst>
            <c:ext xmlns:c16="http://schemas.microsoft.com/office/drawing/2014/chart" uri="{C3380CC4-5D6E-409C-BE32-E72D297353CC}">
              <c16:uniqueId val="{00000015-6990-4D40-BBB3-FC96131E04EA}"/>
            </c:ext>
          </c:extLst>
        </c:ser>
        <c:dLbls>
          <c:dLblPos val="ctr"/>
          <c:showLegendKey val="0"/>
          <c:showVal val="1"/>
          <c:showCatName val="0"/>
          <c:showSerName val="0"/>
          <c:showPercent val="0"/>
          <c:showBubbleSize val="0"/>
        </c:dLbls>
        <c:gapWidth val="150"/>
        <c:overlap val="100"/>
        <c:axId val="874390792"/>
        <c:axId val="874388496"/>
      </c:barChart>
      <c:catAx>
        <c:axId val="874390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74388496"/>
        <c:crosses val="autoZero"/>
        <c:auto val="1"/>
        <c:lblAlgn val="ctr"/>
        <c:lblOffset val="100"/>
        <c:noMultiLvlLbl val="0"/>
      </c:catAx>
      <c:valAx>
        <c:axId val="8743884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a:t>Mass in kg</a:t>
                </a:r>
              </a:p>
            </c:rich>
          </c:tx>
          <c:layout>
            <c:manualLayout>
              <c:xMode val="edge"/>
              <c:yMode val="edge"/>
              <c:x val="5.4569267144242185E-3"/>
              <c:y val="0.41402610785787392"/>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74390792"/>
        <c:crosses val="autoZero"/>
        <c:crossBetween val="between"/>
        <c:majorUnit val="2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sz="1600"/>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GB"/>
              <a:t>HAWT, mass</a:t>
            </a:r>
            <a:r>
              <a:rPr lang="en-GB" baseline="0"/>
              <a:t> devision excluding the tower and foundation masses</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5313480326626E-2"/>
          <c:y val="7.2102426731351504E-2"/>
          <c:w val="0.91835833708113768"/>
          <c:h val="0.7598190126285207"/>
        </c:manualLayout>
      </c:layout>
      <c:barChart>
        <c:barDir val="col"/>
        <c:grouping val="stacked"/>
        <c:varyColors val="0"/>
        <c:ser>
          <c:idx val="0"/>
          <c:order val="0"/>
          <c:tx>
            <c:strRef>
              <c:f>HAWTmas!$R$59</c:f>
              <c:strCache>
                <c:ptCount val="1"/>
                <c:pt idx="0">
                  <c:v>Rebar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HAWTmas!$R$70:$R$74</c:f>
              <c:numCache>
                <c:formatCode>General</c:formatCode>
                <c:ptCount val="5"/>
                <c:pt idx="3">
                  <c:v>108440.14000000001</c:v>
                </c:pt>
              </c:numCache>
            </c:numRef>
          </c:val>
          <c:extLst>
            <c:ext xmlns:c16="http://schemas.microsoft.com/office/drawing/2014/chart" uri="{C3380CC4-5D6E-409C-BE32-E72D297353CC}">
              <c16:uniqueId val="{00000000-4BC3-4ECD-8FF4-73BBA18AC85C}"/>
            </c:ext>
          </c:extLst>
        </c:ser>
        <c:ser>
          <c:idx val="1"/>
          <c:order val="1"/>
          <c:tx>
            <c:strRef>
              <c:f>HAWTmas!$S$59</c:f>
              <c:strCache>
                <c:ptCount val="1"/>
                <c:pt idx="0">
                  <c:v>Concrete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HAWTmas!$S$70:$S$74</c:f>
              <c:numCache>
                <c:formatCode>General</c:formatCode>
                <c:ptCount val="5"/>
                <c:pt idx="3">
                  <c:v>225000</c:v>
                </c:pt>
              </c:numCache>
            </c:numRef>
          </c:val>
          <c:extLst>
            <c:ext xmlns:c16="http://schemas.microsoft.com/office/drawing/2014/chart" uri="{C3380CC4-5D6E-409C-BE32-E72D297353CC}">
              <c16:uniqueId val="{00000001-4BC3-4ECD-8FF4-73BBA18AC85C}"/>
            </c:ext>
          </c:extLst>
        </c:ser>
        <c:ser>
          <c:idx val="2"/>
          <c:order val="2"/>
          <c:tx>
            <c:strRef>
              <c:f>HAWTmas!$T$59</c:f>
              <c:strCache>
                <c:ptCount val="1"/>
                <c:pt idx="0">
                  <c:v>Inter array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HAWTmas!$T$70:$T$74</c:f>
              <c:numCache>
                <c:formatCode>General</c:formatCode>
                <c:ptCount val="5"/>
                <c:pt idx="4">
                  <c:v>5253.7653</c:v>
                </c:pt>
              </c:numCache>
            </c:numRef>
          </c:val>
          <c:extLst>
            <c:ext xmlns:c16="http://schemas.microsoft.com/office/drawing/2014/chart" uri="{C3380CC4-5D6E-409C-BE32-E72D297353CC}">
              <c16:uniqueId val="{00000003-4BC3-4ECD-8FF4-73BBA18AC85C}"/>
            </c:ext>
          </c:extLst>
        </c:ser>
        <c:ser>
          <c:idx val="3"/>
          <c:order val="3"/>
          <c:tx>
            <c:strRef>
              <c:f>HAWTmas!$U$59</c:f>
              <c:strCache>
                <c:ptCount val="1"/>
                <c:pt idx="0">
                  <c:v>Transmission</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HAWTmas!$U$70:$U$74</c:f>
              <c:numCache>
                <c:formatCode>General</c:formatCode>
                <c:ptCount val="5"/>
                <c:pt idx="4">
                  <c:v>38431.5</c:v>
                </c:pt>
              </c:numCache>
            </c:numRef>
          </c:val>
          <c:extLst>
            <c:ext xmlns:c16="http://schemas.microsoft.com/office/drawing/2014/chart" uri="{C3380CC4-5D6E-409C-BE32-E72D297353CC}">
              <c16:uniqueId val="{00000005-4BC3-4ECD-8FF4-73BBA18AC85C}"/>
            </c:ext>
          </c:extLst>
        </c:ser>
        <c:ser>
          <c:idx val="4"/>
          <c:order val="4"/>
          <c:tx>
            <c:strRef>
              <c:f>HAWTmas!$V$59</c:f>
              <c:strCache>
                <c:ptCount val="1"/>
                <c:pt idx="0">
                  <c:v>Tower</c:v>
                </c:pt>
              </c:strCache>
            </c:strRef>
          </c:tx>
          <c:spPr>
            <a:solidFill>
              <a:schemeClr val="accent5"/>
            </a:solidFill>
            <a:ln>
              <a:noFill/>
            </a:ln>
            <a:effectLst/>
          </c:spPr>
          <c:invertIfNegative val="0"/>
          <c:dLbls>
            <c:dLbl>
              <c:idx val="0"/>
              <c:tx>
                <c:rich>
                  <a:bodyPr/>
                  <a:lstStyle/>
                  <a:p>
                    <a:endParaRPr lang="en-GB"/>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4BC3-4ECD-8FF4-73BBA18AC85C}"/>
                </c:ext>
              </c:extLst>
            </c:dLbl>
            <c:dLbl>
              <c:idx val="1"/>
              <c:tx>
                <c:rich>
                  <a:bodyPr/>
                  <a:lstStyle/>
                  <a:p>
                    <a:endParaRPr lang="en-GB"/>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4BC3-4ECD-8FF4-73BBA18AC85C}"/>
                </c:ext>
              </c:extLst>
            </c:dLbl>
            <c:dLbl>
              <c:idx val="2"/>
              <c:tx>
                <c:rich>
                  <a:bodyPr/>
                  <a:lstStyle/>
                  <a:p>
                    <a:fld id="{599F8352-FBA9-4C81-8BDC-E17A6F218B58}"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27-4BC3-4ECD-8FF4-73BBA18AC85C}"/>
                </c:ext>
              </c:extLst>
            </c:dLbl>
            <c:dLbl>
              <c:idx val="3"/>
              <c:tx>
                <c:rich>
                  <a:bodyPr/>
                  <a:lstStyle/>
                  <a:p>
                    <a:endParaRPr lang="en-GB"/>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4BC3-4ECD-8FF4-73BBA18AC85C}"/>
                </c:ext>
              </c:extLst>
            </c:dLbl>
            <c:dLbl>
              <c:idx val="4"/>
              <c:tx>
                <c:rich>
                  <a:bodyPr/>
                  <a:lstStyle/>
                  <a:p>
                    <a:endParaRPr lang="en-GB"/>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4BC3-4ECD-8FF4-73BBA18AC85C}"/>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HAWTmas!$Q$70:$Q$74</c:f>
              <c:strCache>
                <c:ptCount val="5"/>
                <c:pt idx="0">
                  <c:v>Rotor</c:v>
                </c:pt>
                <c:pt idx="1">
                  <c:v>Nacelle</c:v>
                </c:pt>
                <c:pt idx="2">
                  <c:v>Tower</c:v>
                </c:pt>
                <c:pt idx="3">
                  <c:v>Foundation</c:v>
                </c:pt>
                <c:pt idx="4">
                  <c:v>BOS</c:v>
                </c:pt>
              </c:strCache>
            </c:strRef>
          </c:cat>
          <c:val>
            <c:numRef>
              <c:f>HAWTmas!$V$70:$V$74</c:f>
              <c:numCache>
                <c:formatCode>General</c:formatCode>
                <c:ptCount val="5"/>
                <c:pt idx="2">
                  <c:v>330000</c:v>
                </c:pt>
              </c:numCache>
            </c:numRef>
          </c:val>
          <c:extLst>
            <c:ext xmlns:c15="http://schemas.microsoft.com/office/drawing/2012/chart" uri="{02D57815-91ED-43cb-92C2-25804820EDAC}">
              <c15:datalabelsRange>
                <c15:f>HAWTmas!$AI$104:$AI$124</c15:f>
                <c15:dlblRangeCache>
                  <c:ptCount val="21"/>
                </c15:dlblRangeCache>
              </c15:datalabelsRange>
            </c:ext>
            <c:ext xmlns:c16="http://schemas.microsoft.com/office/drawing/2014/chart" uri="{C3380CC4-5D6E-409C-BE32-E72D297353CC}">
              <c16:uniqueId val="{00000006-4BC3-4ECD-8FF4-73BBA18AC85C}"/>
            </c:ext>
          </c:extLst>
        </c:ser>
        <c:ser>
          <c:idx val="5"/>
          <c:order val="5"/>
          <c:tx>
            <c:strRef>
              <c:f>HAWTmas!$W$59</c:f>
              <c:strCache>
                <c:ptCount val="1"/>
                <c:pt idx="0">
                  <c:v>Blades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HAWTmas!$W$70:$W$74</c:f>
              <c:numCache>
                <c:formatCode>General</c:formatCode>
                <c:ptCount val="5"/>
                <c:pt idx="0">
                  <c:v>48300</c:v>
                </c:pt>
              </c:numCache>
            </c:numRef>
          </c:val>
          <c:extLst>
            <c:ext xmlns:c16="http://schemas.microsoft.com/office/drawing/2014/chart" uri="{C3380CC4-5D6E-409C-BE32-E72D297353CC}">
              <c16:uniqueId val="{00000008-4BC3-4ECD-8FF4-73BBA18AC85C}"/>
            </c:ext>
          </c:extLst>
        </c:ser>
        <c:ser>
          <c:idx val="6"/>
          <c:order val="6"/>
          <c:tx>
            <c:strRef>
              <c:f>HAWTmas!$X$59</c:f>
              <c:strCache>
                <c:ptCount val="1"/>
                <c:pt idx="0">
                  <c:v>Hub</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HAWTmas!$X$70:$X$74</c:f>
              <c:numCache>
                <c:formatCode>General</c:formatCode>
                <c:ptCount val="5"/>
                <c:pt idx="0">
                  <c:v>34100</c:v>
                </c:pt>
              </c:numCache>
            </c:numRef>
          </c:val>
          <c:extLst>
            <c:ext xmlns:c16="http://schemas.microsoft.com/office/drawing/2014/chart" uri="{C3380CC4-5D6E-409C-BE32-E72D297353CC}">
              <c16:uniqueId val="{0000000A-4BC3-4ECD-8FF4-73BBA18AC85C}"/>
            </c:ext>
          </c:extLst>
        </c:ser>
        <c:ser>
          <c:idx val="7"/>
          <c:order val="7"/>
          <c:tx>
            <c:strRef>
              <c:f>HAWTmas!$Y$59</c:f>
              <c:strCache>
                <c:ptCount val="1"/>
                <c:pt idx="0">
                  <c:v>Spinner</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HAWTmas!$Y$70:$Y$74</c:f>
              <c:numCache>
                <c:formatCode>General</c:formatCode>
                <c:ptCount val="5"/>
                <c:pt idx="0">
                  <c:v>1800</c:v>
                </c:pt>
              </c:numCache>
            </c:numRef>
          </c:val>
          <c:extLst>
            <c:ext xmlns:c16="http://schemas.microsoft.com/office/drawing/2014/chart" uri="{C3380CC4-5D6E-409C-BE32-E72D297353CC}">
              <c16:uniqueId val="{0000000C-4BC3-4ECD-8FF4-73BBA18AC85C}"/>
            </c:ext>
          </c:extLst>
        </c:ser>
        <c:ser>
          <c:idx val="8"/>
          <c:order val="8"/>
          <c:tx>
            <c:strRef>
              <c:f>HAWTmas!$Z$59</c:f>
              <c:strCache>
                <c:ptCount val="1"/>
                <c:pt idx="0">
                  <c:v>Pitch</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HAWTmas!$Z$70:$Z$74</c:f>
              <c:numCache>
                <c:formatCode>General</c:formatCode>
                <c:ptCount val="5"/>
                <c:pt idx="0">
                  <c:v>14700</c:v>
                </c:pt>
              </c:numCache>
            </c:numRef>
          </c:val>
          <c:extLst>
            <c:ext xmlns:c16="http://schemas.microsoft.com/office/drawing/2014/chart" uri="{C3380CC4-5D6E-409C-BE32-E72D297353CC}">
              <c16:uniqueId val="{0000000E-4BC3-4ECD-8FF4-73BBA18AC85C}"/>
            </c:ext>
          </c:extLst>
        </c:ser>
        <c:ser>
          <c:idx val="9"/>
          <c:order val="9"/>
          <c:tx>
            <c:strRef>
              <c:f>HAWTmas!$AA$59</c:f>
              <c:strCache>
                <c:ptCount val="1"/>
                <c:pt idx="0">
                  <c:v>Geanerator</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HAWTmas!$AA$70:$AA$74</c:f>
              <c:numCache>
                <c:formatCode>General</c:formatCode>
                <c:ptCount val="5"/>
                <c:pt idx="1">
                  <c:v>15645.312942509203</c:v>
                </c:pt>
              </c:numCache>
            </c:numRef>
          </c:val>
          <c:extLst>
            <c:ext xmlns:c16="http://schemas.microsoft.com/office/drawing/2014/chart" uri="{C3380CC4-5D6E-409C-BE32-E72D297353CC}">
              <c16:uniqueId val="{00000010-4BC3-4ECD-8FF4-73BBA18AC85C}"/>
            </c:ext>
          </c:extLst>
        </c:ser>
        <c:ser>
          <c:idx val="10"/>
          <c:order val="10"/>
          <c:tx>
            <c:strRef>
              <c:f>HAWTmas!$AB$59</c:f>
              <c:strCache>
                <c:ptCount val="1"/>
                <c:pt idx="0">
                  <c:v>Gearbox</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HAWTmas!$AB$70:$AB$74</c:f>
              <c:numCache>
                <c:formatCode>General</c:formatCode>
                <c:ptCount val="5"/>
                <c:pt idx="1">
                  <c:v>97297.2</c:v>
                </c:pt>
              </c:numCache>
            </c:numRef>
          </c:val>
          <c:extLst>
            <c:ext xmlns:c16="http://schemas.microsoft.com/office/drawing/2014/chart" uri="{C3380CC4-5D6E-409C-BE32-E72D297353CC}">
              <c16:uniqueId val="{00000012-4BC3-4ECD-8FF4-73BBA18AC85C}"/>
            </c:ext>
          </c:extLst>
        </c:ser>
        <c:ser>
          <c:idx val="11"/>
          <c:order val="11"/>
          <c:tx>
            <c:strRef>
              <c:f>HAWTmas!$AC$59</c:f>
              <c:strCache>
                <c:ptCount val="1"/>
                <c:pt idx="0">
                  <c:v>Transformer</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HAWTmas!$AC$70:$AC$74</c:f>
              <c:numCache>
                <c:formatCode>General</c:formatCode>
                <c:ptCount val="5"/>
                <c:pt idx="1">
                  <c:v>16877.125</c:v>
                </c:pt>
              </c:numCache>
            </c:numRef>
          </c:val>
          <c:extLst>
            <c:ext xmlns:c16="http://schemas.microsoft.com/office/drawing/2014/chart" uri="{C3380CC4-5D6E-409C-BE32-E72D297353CC}">
              <c16:uniqueId val="{00000014-4BC3-4ECD-8FF4-73BBA18AC85C}"/>
            </c:ext>
          </c:extLst>
        </c:ser>
        <c:ser>
          <c:idx val="12"/>
          <c:order val="12"/>
          <c:tx>
            <c:strRef>
              <c:f>HAWTmas!$AD$59</c:f>
              <c:strCache>
                <c:ptCount val="1"/>
                <c:pt idx="0">
                  <c:v>cover</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HAWTmas!$AD$70:$AD$74</c:f>
              <c:numCache>
                <c:formatCode>General</c:formatCode>
                <c:ptCount val="5"/>
                <c:pt idx="1">
                  <c:v>3180</c:v>
                </c:pt>
              </c:numCache>
            </c:numRef>
          </c:val>
          <c:extLst>
            <c:ext xmlns:c16="http://schemas.microsoft.com/office/drawing/2014/chart" uri="{C3380CC4-5D6E-409C-BE32-E72D297353CC}">
              <c16:uniqueId val="{00000016-4BC3-4ECD-8FF4-73BBA18AC85C}"/>
            </c:ext>
          </c:extLst>
        </c:ser>
        <c:ser>
          <c:idx val="13"/>
          <c:order val="13"/>
          <c:tx>
            <c:strRef>
              <c:f>HAWTmas!$AE$59</c:f>
              <c:strCache>
                <c:ptCount val="1"/>
                <c:pt idx="0">
                  <c:v>Yaw</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HAWTmas!$AE$70:$AE$74</c:f>
              <c:numCache>
                <c:formatCode>General</c:formatCode>
                <c:ptCount val="5"/>
                <c:pt idx="1">
                  <c:v>6174</c:v>
                </c:pt>
              </c:numCache>
            </c:numRef>
          </c:val>
          <c:extLst>
            <c:ext xmlns:c16="http://schemas.microsoft.com/office/drawing/2014/chart" uri="{C3380CC4-5D6E-409C-BE32-E72D297353CC}">
              <c16:uniqueId val="{00000018-4BC3-4ECD-8FF4-73BBA18AC85C}"/>
            </c:ext>
          </c:extLst>
        </c:ser>
        <c:ser>
          <c:idx val="14"/>
          <c:order val="14"/>
          <c:tx>
            <c:strRef>
              <c:f>HAWTmas!$AF$59</c:f>
              <c:strCache>
                <c:ptCount val="1"/>
                <c:pt idx="0">
                  <c:v>Shaft</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HAWTmas!$AF$70:$AF$74</c:f>
              <c:numCache>
                <c:formatCode>General</c:formatCode>
                <c:ptCount val="5"/>
                <c:pt idx="1">
                  <c:v>16900</c:v>
                </c:pt>
              </c:numCache>
            </c:numRef>
          </c:val>
          <c:extLst>
            <c:ext xmlns:c16="http://schemas.microsoft.com/office/drawing/2014/chart" uri="{C3380CC4-5D6E-409C-BE32-E72D297353CC}">
              <c16:uniqueId val="{0000001A-4BC3-4ECD-8FF4-73BBA18AC85C}"/>
            </c:ext>
          </c:extLst>
        </c:ser>
        <c:ser>
          <c:idx val="15"/>
          <c:order val="15"/>
          <c:tx>
            <c:strRef>
              <c:f>HAWTmas!$AG$59</c:f>
              <c:strCache>
                <c:ptCount val="1"/>
                <c:pt idx="0">
                  <c:v>Bedplate</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HAWTmas!$AG$70:$AG$74</c:f>
              <c:numCache>
                <c:formatCode>General</c:formatCode>
                <c:ptCount val="5"/>
                <c:pt idx="1">
                  <c:v>71571.5</c:v>
                </c:pt>
              </c:numCache>
            </c:numRef>
          </c:val>
          <c:extLst>
            <c:ext xmlns:c16="http://schemas.microsoft.com/office/drawing/2014/chart" uri="{C3380CC4-5D6E-409C-BE32-E72D297353CC}">
              <c16:uniqueId val="{0000001C-4BC3-4ECD-8FF4-73BBA18AC85C}"/>
            </c:ext>
          </c:extLst>
        </c:ser>
        <c:ser>
          <c:idx val="16"/>
          <c:order val="16"/>
          <c:tx>
            <c:strRef>
              <c:f>HAWTmas!$AH$59</c:f>
              <c:strCache>
                <c:ptCount val="1"/>
                <c:pt idx="0">
                  <c:v>Brake</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HAWTmas!$AH$70:$AH$74</c:f>
              <c:numCache>
                <c:formatCode>General</c:formatCode>
                <c:ptCount val="5"/>
                <c:pt idx="1">
                  <c:v>5257</c:v>
                </c:pt>
              </c:numCache>
            </c:numRef>
          </c:val>
          <c:extLst>
            <c:ext xmlns:c16="http://schemas.microsoft.com/office/drawing/2014/chart" uri="{C3380CC4-5D6E-409C-BE32-E72D297353CC}">
              <c16:uniqueId val="{0000001E-4BC3-4ECD-8FF4-73BBA18AC85C}"/>
            </c:ext>
          </c:extLst>
        </c:ser>
        <c:ser>
          <c:idx val="17"/>
          <c:order val="17"/>
          <c:tx>
            <c:strRef>
              <c:f>HAWTmas!$AI$59</c:f>
              <c:strCache>
                <c:ptCount val="1"/>
                <c:pt idx="0">
                  <c:v>HVAC</c:v>
                </c:pt>
              </c:strCache>
            </c:strRef>
          </c:tx>
          <c:spPr>
            <a:solidFill>
              <a:schemeClr val="accent6">
                <a:lumMod val="80000"/>
                <a:lumOff val="20000"/>
              </a:schemeClr>
            </a:solidFill>
            <a:ln>
              <a:noFill/>
            </a:ln>
            <a:effectLst/>
          </c:spPr>
          <c:invertIfNegative val="0"/>
          <c:dLbls>
            <c:delete val="1"/>
          </c:dLbls>
          <c:cat>
            <c:strRef>
              <c:f>HAWTmas!$Q$70:$Q$74</c:f>
              <c:strCache>
                <c:ptCount val="5"/>
                <c:pt idx="0">
                  <c:v>Rotor</c:v>
                </c:pt>
                <c:pt idx="1">
                  <c:v>Nacelle</c:v>
                </c:pt>
                <c:pt idx="2">
                  <c:v>Tower</c:v>
                </c:pt>
                <c:pt idx="3">
                  <c:v>Foundation</c:v>
                </c:pt>
                <c:pt idx="4">
                  <c:v>BOS</c:v>
                </c:pt>
              </c:strCache>
            </c:strRef>
          </c:cat>
          <c:val>
            <c:numRef>
              <c:f>HAWTmas!$AI$70:$AI$74</c:f>
              <c:numCache>
                <c:formatCode>General</c:formatCode>
                <c:ptCount val="5"/>
                <c:pt idx="1">
                  <c:v>0</c:v>
                </c:pt>
              </c:numCache>
            </c:numRef>
          </c:val>
          <c:extLst>
            <c:ext xmlns:c16="http://schemas.microsoft.com/office/drawing/2014/chart" uri="{C3380CC4-5D6E-409C-BE32-E72D297353CC}">
              <c16:uniqueId val="{0000001F-4BC3-4ECD-8FF4-73BBA18AC85C}"/>
            </c:ext>
          </c:extLst>
        </c:ser>
        <c:ser>
          <c:idx val="18"/>
          <c:order val="18"/>
          <c:tx>
            <c:strRef>
              <c:f>HAWTmas!$AJ$59</c:f>
              <c:strCache>
                <c:ptCount val="1"/>
                <c:pt idx="0">
                  <c:v>Electronics</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HAWTmas!$AJ$70:$AJ$74</c:f>
              <c:numCache>
                <c:formatCode>General</c:formatCode>
                <c:ptCount val="5"/>
                <c:pt idx="1">
                  <c:v>500</c:v>
                </c:pt>
              </c:numCache>
            </c:numRef>
          </c:val>
          <c:extLst>
            <c:ext xmlns:c16="http://schemas.microsoft.com/office/drawing/2014/chart" uri="{C3380CC4-5D6E-409C-BE32-E72D297353CC}">
              <c16:uniqueId val="{00000021-4BC3-4ECD-8FF4-73BBA18AC85C}"/>
            </c:ext>
          </c:extLst>
        </c:ser>
        <c:ser>
          <c:idx val="19"/>
          <c:order val="19"/>
          <c:tx>
            <c:strRef>
              <c:f>HAWTmas!$AK$59</c:f>
              <c:strCache>
                <c:ptCount val="1"/>
                <c:pt idx="0">
                  <c:v>bearigs</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HAWTmas!$AK$70:$AK$74</c:f>
              <c:numCache>
                <c:formatCode>General</c:formatCode>
                <c:ptCount val="5"/>
                <c:pt idx="1">
                  <c:v>10400</c:v>
                </c:pt>
              </c:numCache>
            </c:numRef>
          </c:val>
          <c:extLst>
            <c:ext xmlns:c16="http://schemas.microsoft.com/office/drawing/2014/chart" uri="{C3380CC4-5D6E-409C-BE32-E72D297353CC}">
              <c16:uniqueId val="{00000023-4BC3-4ECD-8FF4-73BBA18AC85C}"/>
            </c:ext>
          </c:extLst>
        </c:ser>
        <c:ser>
          <c:idx val="20"/>
          <c:order val="20"/>
          <c:tx>
            <c:strRef>
              <c:f>HAWTmas!$AL$59</c:f>
              <c:strCache>
                <c:ptCount val="1"/>
                <c:pt idx="0">
                  <c:v>Converter</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HAWTmas!$Q$70:$Q$74</c:f>
              <c:strCache>
                <c:ptCount val="5"/>
                <c:pt idx="0">
                  <c:v>Rotor</c:v>
                </c:pt>
                <c:pt idx="1">
                  <c:v>Nacelle</c:v>
                </c:pt>
                <c:pt idx="2">
                  <c:v>Tower</c:v>
                </c:pt>
                <c:pt idx="3">
                  <c:v>Foundation</c:v>
                </c:pt>
                <c:pt idx="4">
                  <c:v>BOS</c:v>
                </c:pt>
              </c:strCache>
            </c:strRef>
          </c:cat>
          <c:val>
            <c:numRef>
              <c:f>HAWTmas!$AL$70:$AL$74</c:f>
              <c:numCache>
                <c:formatCode>General</c:formatCode>
                <c:ptCount val="5"/>
                <c:pt idx="1">
                  <c:v>4822.0640569395009</c:v>
                </c:pt>
              </c:numCache>
            </c:numRef>
          </c:val>
          <c:extLst>
            <c:ext xmlns:c16="http://schemas.microsoft.com/office/drawing/2014/chart" uri="{C3380CC4-5D6E-409C-BE32-E72D297353CC}">
              <c16:uniqueId val="{00000025-4BC3-4ECD-8FF4-73BBA18AC85C}"/>
            </c:ext>
          </c:extLst>
        </c:ser>
        <c:dLbls>
          <c:dLblPos val="ctr"/>
          <c:showLegendKey val="0"/>
          <c:showVal val="1"/>
          <c:showCatName val="0"/>
          <c:showSerName val="0"/>
          <c:showPercent val="0"/>
          <c:showBubbleSize val="0"/>
        </c:dLbls>
        <c:gapWidth val="150"/>
        <c:overlap val="100"/>
        <c:axId val="874390792"/>
        <c:axId val="874388496"/>
      </c:barChart>
      <c:catAx>
        <c:axId val="874390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74388496"/>
        <c:crosses val="autoZero"/>
        <c:auto val="1"/>
        <c:lblAlgn val="ctr"/>
        <c:lblOffset val="100"/>
        <c:noMultiLvlLbl val="0"/>
      </c:catAx>
      <c:valAx>
        <c:axId val="87438849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74390792"/>
        <c:crosses val="autoZero"/>
        <c:crossBetween val="between"/>
        <c:majorUnit val="2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sz="1600"/>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'Communication to latex'!$AJ$747:$AJ$755</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latex'!$AK$747:$AK$755</c:f>
              <c:numCache>
                <c:formatCode>General</c:formatCode>
                <c:ptCount val="9"/>
                <c:pt idx="0">
                  <c:v>0.39125009316575321</c:v>
                </c:pt>
                <c:pt idx="1">
                  <c:v>0.42856648678566489</c:v>
                </c:pt>
                <c:pt idx="2">
                  <c:v>1.3169194072575068</c:v>
                </c:pt>
                <c:pt idx="3">
                  <c:v>3.6144282436234493E-2</c:v>
                </c:pt>
                <c:pt idx="4">
                  <c:v>3.6256724782067248E-2</c:v>
                </c:pt>
                <c:pt idx="5">
                  <c:v>0.15120790739702319</c:v>
                </c:pt>
                <c:pt idx="6">
                  <c:v>6.4772802366767163E-2</c:v>
                </c:pt>
                <c:pt idx="7">
                  <c:v>0.1890858499377335</c:v>
                </c:pt>
                <c:pt idx="8">
                  <c:v>3.9565172270651726E-2</c:v>
                </c:pt>
              </c:numCache>
            </c:numRef>
          </c:val>
          <c:extLst>
            <c:ext xmlns:c16="http://schemas.microsoft.com/office/drawing/2014/chart" uri="{C3380CC4-5D6E-409C-BE32-E72D297353CC}">
              <c16:uniqueId val="{00000000-62FD-4C32-AF2B-2AF75EB0C2B5}"/>
            </c:ext>
          </c:extLst>
        </c:ser>
        <c:ser>
          <c:idx val="1"/>
          <c:order val="1"/>
          <c:spPr>
            <a:solidFill>
              <a:schemeClr val="accent2"/>
            </a:solidFill>
            <a:ln>
              <a:noFill/>
            </a:ln>
            <a:effectLst/>
          </c:spPr>
          <c:invertIfNegative val="0"/>
          <c:cat>
            <c:strRef>
              <c:f>'Communication to latex'!$AJ$747:$AJ$755</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latex'!$AL$747:$AL$755</c:f>
              <c:numCache>
                <c:formatCode>General</c:formatCode>
                <c:ptCount val="9"/>
                <c:pt idx="0">
                  <c:v>6.2687381207591208</c:v>
                </c:pt>
                <c:pt idx="1">
                  <c:v>6.5455929154559289</c:v>
                </c:pt>
                <c:pt idx="2">
                  <c:v>20.156081479751855</c:v>
                </c:pt>
                <c:pt idx="3">
                  <c:v>1.6107371085282043</c:v>
                </c:pt>
                <c:pt idx="4">
                  <c:v>0.55375716064757152</c:v>
                </c:pt>
                <c:pt idx="5">
                  <c:v>2.2718178971580474</c:v>
                </c:pt>
                <c:pt idx="6">
                  <c:v>0.90184347250597918</c:v>
                </c:pt>
                <c:pt idx="7">
                  <c:v>3.3354743929016188</c:v>
                </c:pt>
                <c:pt idx="8">
                  <c:v>0.61617891241178913</c:v>
                </c:pt>
              </c:numCache>
            </c:numRef>
          </c:val>
          <c:extLst>
            <c:ext xmlns:c16="http://schemas.microsoft.com/office/drawing/2014/chart" uri="{C3380CC4-5D6E-409C-BE32-E72D297353CC}">
              <c16:uniqueId val="{00000001-62FD-4C32-AF2B-2AF75EB0C2B5}"/>
            </c:ext>
          </c:extLst>
        </c:ser>
        <c:dLbls>
          <c:showLegendKey val="0"/>
          <c:showVal val="0"/>
          <c:showCatName val="0"/>
          <c:showSerName val="0"/>
          <c:showPercent val="0"/>
          <c:showBubbleSize val="0"/>
        </c:dLbls>
        <c:gapWidth val="219"/>
        <c:overlap val="-27"/>
        <c:axId val="863402280"/>
        <c:axId val="863404904"/>
      </c:barChart>
      <c:catAx>
        <c:axId val="863402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404904"/>
        <c:crosses val="autoZero"/>
        <c:auto val="1"/>
        <c:lblAlgn val="ctr"/>
        <c:lblOffset val="100"/>
        <c:noMultiLvlLbl val="0"/>
      </c:catAx>
      <c:valAx>
        <c:axId val="863404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402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Manufacturing stage impacts AWE PGA system</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chemeClr val="accent2"/>
            </a:solidFill>
            <a:ln>
              <a:noFill/>
            </a:ln>
            <a:effectLst/>
          </c:spPr>
          <c:invertIfNegative val="0"/>
          <c:cat>
            <c:strRef>
              <c:f>'Communication to latex'!$AJ$760:$AJ$768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latex'!$AK$760:$AK$768</c:f>
              <c:numCache>
                <c:formatCode>General</c:formatCode>
                <c:ptCount val="9"/>
                <c:pt idx="0">
                  <c:v>0.39125009316575321</c:v>
                </c:pt>
                <c:pt idx="1">
                  <c:v>0.42856648678566489</c:v>
                </c:pt>
                <c:pt idx="2">
                  <c:v>1.3169194072575068</c:v>
                </c:pt>
                <c:pt idx="3">
                  <c:v>3.6144282436234493E-2</c:v>
                </c:pt>
                <c:pt idx="4">
                  <c:v>3.6256724782067248E-2</c:v>
                </c:pt>
                <c:pt idx="5">
                  <c:v>0.15120790739702319</c:v>
                </c:pt>
                <c:pt idx="6">
                  <c:v>6.4772802366767163E-2</c:v>
                </c:pt>
                <c:pt idx="7">
                  <c:v>0.1890858499377335</c:v>
                </c:pt>
                <c:pt idx="8">
                  <c:v>3.9565172270651726E-2</c:v>
                </c:pt>
              </c:numCache>
            </c:numRef>
          </c:val>
          <c:extLst>
            <c:ext xmlns:c16="http://schemas.microsoft.com/office/drawing/2014/chart" uri="{C3380CC4-5D6E-409C-BE32-E72D297353CC}">
              <c16:uniqueId val="{00000000-DF0C-412D-96A0-4D458864D54A}"/>
            </c:ext>
          </c:extLst>
        </c:ser>
        <c:ser>
          <c:idx val="1"/>
          <c:order val="1"/>
          <c:spPr>
            <a:solidFill>
              <a:schemeClr val="accent2"/>
            </a:solidFill>
            <a:ln>
              <a:noFill/>
            </a:ln>
            <a:effectLst/>
          </c:spPr>
          <c:invertIfNegative val="0"/>
          <c:cat>
            <c:strRef>
              <c:f>'Communication to latex'!$AJ$760:$AJ$768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latex'!$AL$760:$AL$768</c:f>
              <c:numCache>
                <c:formatCode>General</c:formatCode>
                <c:ptCount val="9"/>
              </c:numCache>
            </c:numRef>
          </c:val>
          <c:extLst>
            <c:ext xmlns:c16="http://schemas.microsoft.com/office/drawing/2014/chart" uri="{C3380CC4-5D6E-409C-BE32-E72D297353CC}">
              <c16:uniqueId val="{00000001-DF0C-412D-96A0-4D458864D54A}"/>
            </c:ext>
          </c:extLst>
        </c:ser>
        <c:dLbls>
          <c:showLegendKey val="0"/>
          <c:showVal val="0"/>
          <c:showCatName val="0"/>
          <c:showSerName val="0"/>
          <c:showPercent val="0"/>
          <c:showBubbleSize val="0"/>
        </c:dLbls>
        <c:gapWidth val="216"/>
        <c:axId val="498288920"/>
        <c:axId val="498285640"/>
      </c:barChart>
      <c:barChart>
        <c:barDir val="col"/>
        <c:grouping val="clustered"/>
        <c:varyColors val="0"/>
        <c:ser>
          <c:idx val="2"/>
          <c:order val="2"/>
          <c:spPr>
            <a:solidFill>
              <a:schemeClr val="accent3"/>
            </a:solidFill>
            <a:ln>
              <a:noFill/>
            </a:ln>
            <a:effectLst/>
          </c:spPr>
          <c:invertIfNegative val="0"/>
          <c:cat>
            <c:strRef>
              <c:f>'Communication to latex'!$AJ$760:$AJ$768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latex'!$AM$760:$AM$768</c:f>
              <c:numCache>
                <c:formatCode>General</c:formatCode>
                <c:ptCount val="9"/>
              </c:numCache>
            </c:numRef>
          </c:val>
          <c:extLst>
            <c:ext xmlns:c16="http://schemas.microsoft.com/office/drawing/2014/chart" uri="{C3380CC4-5D6E-409C-BE32-E72D297353CC}">
              <c16:uniqueId val="{00000002-DF0C-412D-96A0-4D458864D54A}"/>
            </c:ext>
          </c:extLst>
        </c:ser>
        <c:ser>
          <c:idx val="3"/>
          <c:order val="3"/>
          <c:tx>
            <c:v>CED</c:v>
          </c:tx>
          <c:spPr>
            <a:solidFill>
              <a:srgbClr val="0070C0"/>
            </a:solidFill>
            <a:ln>
              <a:noFill/>
            </a:ln>
            <a:effectLst/>
          </c:spPr>
          <c:invertIfNegative val="0"/>
          <c:cat>
            <c:strRef>
              <c:f>'Communication to latex'!$AJ$760:$AJ$768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latex'!$AN$760:$AN$768</c:f>
              <c:numCache>
                <c:formatCode>General</c:formatCode>
                <c:ptCount val="9"/>
                <c:pt idx="0">
                  <c:v>6.2687381207591208</c:v>
                </c:pt>
                <c:pt idx="1">
                  <c:v>6.5455929154559289</c:v>
                </c:pt>
                <c:pt idx="2">
                  <c:v>20.156081479751855</c:v>
                </c:pt>
                <c:pt idx="3">
                  <c:v>1.6107371085282043</c:v>
                </c:pt>
                <c:pt idx="4">
                  <c:v>0.55375716064757152</c:v>
                </c:pt>
                <c:pt idx="5">
                  <c:v>2.2718178971580474</c:v>
                </c:pt>
                <c:pt idx="6">
                  <c:v>0.90184347250597918</c:v>
                </c:pt>
                <c:pt idx="7">
                  <c:v>3.3354743929016188</c:v>
                </c:pt>
                <c:pt idx="8">
                  <c:v>0.61617891241178913</c:v>
                </c:pt>
              </c:numCache>
            </c:numRef>
          </c:val>
          <c:extLst>
            <c:ext xmlns:c16="http://schemas.microsoft.com/office/drawing/2014/chart" uri="{C3380CC4-5D6E-409C-BE32-E72D297353CC}">
              <c16:uniqueId val="{00000003-DF0C-412D-96A0-4D458864D54A}"/>
            </c:ext>
          </c:extLst>
        </c:ser>
        <c:dLbls>
          <c:showLegendKey val="0"/>
          <c:showVal val="0"/>
          <c:showCatName val="0"/>
          <c:showSerName val="0"/>
          <c:showPercent val="0"/>
          <c:showBubbleSize val="0"/>
        </c:dLbls>
        <c:gapWidth val="216"/>
        <c:axId val="1034926256"/>
        <c:axId val="1034925600"/>
      </c:barChart>
      <c:catAx>
        <c:axId val="49828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8285640"/>
        <c:crosses val="autoZero"/>
        <c:auto val="1"/>
        <c:lblAlgn val="ctr"/>
        <c:lblOffset val="100"/>
        <c:noMultiLvlLbl val="0"/>
      </c:catAx>
      <c:valAx>
        <c:axId val="498285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GWP [kgCO2eq/MWh]</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8288920"/>
        <c:crosses val="autoZero"/>
        <c:crossBetween val="between"/>
      </c:valAx>
      <c:valAx>
        <c:axId val="1034925600"/>
        <c:scaling>
          <c:orientation val="minMax"/>
        </c:scaling>
        <c:delete val="0"/>
        <c:axPos val="r"/>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CED [MJ/MWh]</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34926256"/>
        <c:crosses val="max"/>
        <c:crossBetween val="between"/>
      </c:valAx>
      <c:catAx>
        <c:axId val="1034926256"/>
        <c:scaling>
          <c:orientation val="minMax"/>
        </c:scaling>
        <c:delete val="1"/>
        <c:axPos val="b"/>
        <c:numFmt formatCode="General" sourceLinked="1"/>
        <c:majorTickMark val="out"/>
        <c:minorTickMark val="none"/>
        <c:tickLblPos val="nextTo"/>
        <c:crossAx val="1034925600"/>
        <c:crosses val="autoZero"/>
        <c:auto val="1"/>
        <c:lblAlgn val="ctr"/>
        <c:lblOffset val="100"/>
        <c:noMultiLvlLbl val="0"/>
      </c:catAx>
      <c:spPr>
        <a:noFill/>
        <a:ln>
          <a:noFill/>
        </a:ln>
        <a:effectLst/>
      </c:spPr>
    </c:plotArea>
    <c:legend>
      <c:legendPos val="b"/>
      <c:legendEntry>
        <c:idx val="1"/>
        <c:delete val="1"/>
      </c:legendEntry>
      <c:legendEntry>
        <c:idx val="2"/>
        <c:delete val="1"/>
      </c:legendEntry>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Manufacturing stage impacts</a:t>
            </a:r>
            <a:r>
              <a:rPr lang="en-US" baseline="0"/>
              <a:t> Nacelle HAWT</a:t>
            </a:r>
            <a:endParaRPr lang="en-US"/>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378319890698367"/>
          <c:y val="8.0512015657551311E-2"/>
          <c:w val="0.80890501133402248"/>
          <c:h val="0.63029612189801576"/>
        </c:manualLayout>
      </c:layout>
      <c:barChart>
        <c:barDir val="col"/>
        <c:grouping val="clustered"/>
        <c:varyColors val="0"/>
        <c:ser>
          <c:idx val="0"/>
          <c:order val="0"/>
          <c:tx>
            <c:v>GWP</c:v>
          </c:tx>
          <c:spPr>
            <a:solidFill>
              <a:schemeClr val="accent2"/>
            </a:solidFill>
            <a:ln>
              <a:noFill/>
            </a:ln>
            <a:effectLst/>
          </c:spPr>
          <c:invertIfNegative val="0"/>
          <c:cat>
            <c:strRef>
              <c:extLst>
                <c:ext xmlns:c15="http://schemas.microsoft.com/office/drawing/2012/chart" uri="{02D57815-91ED-43cb-92C2-25804820EDAC}">
                  <c15:fullRef>
                    <c15:sqref>'Communication to latex'!$AU$759:$AU$770</c15:sqref>
                  </c15:fullRef>
                </c:ext>
              </c:extLst>
              <c:f>('Communication to latex'!$AU$759:$AU$766,'Communication to latex'!$AU$768:$AU$770)</c:f>
              <c:strCache>
                <c:ptCount val="11"/>
                <c:pt idx="0">
                  <c:v>Generator</c:v>
                </c:pt>
                <c:pt idx="1">
                  <c:v>Gearbox</c:v>
                </c:pt>
                <c:pt idx="2">
                  <c:v>Transformer</c:v>
                </c:pt>
                <c:pt idx="3">
                  <c:v>Cover</c:v>
                </c:pt>
                <c:pt idx="4">
                  <c:v>Yaw</c:v>
                </c:pt>
                <c:pt idx="5">
                  <c:v>Shaft</c:v>
                </c:pt>
                <c:pt idx="6">
                  <c:v>Bed plate</c:v>
                </c:pt>
                <c:pt idx="7">
                  <c:v>Brake</c:v>
                </c:pt>
                <c:pt idx="8">
                  <c:v>Electronics</c:v>
                </c:pt>
                <c:pt idx="9">
                  <c:v>Bearings</c:v>
                </c:pt>
                <c:pt idx="10">
                  <c:v>Converter</c:v>
                </c:pt>
              </c:strCache>
            </c:strRef>
          </c:cat>
          <c:val>
            <c:numRef>
              <c:extLst>
                <c:ext xmlns:c15="http://schemas.microsoft.com/office/drawing/2012/chart" uri="{02D57815-91ED-43cb-92C2-25804820EDAC}">
                  <c15:fullRef>
                    <c15:sqref>'Communication to latex'!$AV$759:$AV$770</c15:sqref>
                  </c15:fullRef>
                </c:ext>
              </c:extLst>
              <c:f>('Communication to latex'!$AV$759:$AV$766,'Communication to latex'!$AV$768:$AV$770)</c:f>
              <c:numCache>
                <c:formatCode>General</c:formatCode>
                <c:ptCount val="11"/>
                <c:pt idx="0">
                  <c:v>0.1565280688069845</c:v>
                </c:pt>
                <c:pt idx="1">
                  <c:v>0.58615379594335282</c:v>
                </c:pt>
                <c:pt idx="2">
                  <c:v>0.20537498258943654</c:v>
                </c:pt>
                <c:pt idx="3">
                  <c:v>4.6611485728531021E-2</c:v>
                </c:pt>
                <c:pt idx="4">
                  <c:v>9.8635724916236442E-2</c:v>
                </c:pt>
                <c:pt idx="5">
                  <c:v>0.27146241505026186</c:v>
                </c:pt>
                <c:pt idx="6">
                  <c:v>0.61694184179387557</c:v>
                </c:pt>
                <c:pt idx="7">
                  <c:v>4.055797914168862E-2</c:v>
                </c:pt>
                <c:pt idx="8">
                  <c:v>4.45379432976492E-2</c:v>
                </c:pt>
                <c:pt idx="9">
                  <c:v>0.16705379387708422</c:v>
                </c:pt>
                <c:pt idx="10">
                  <c:v>4.2758440136190505E-2</c:v>
                </c:pt>
              </c:numCache>
            </c:numRef>
          </c:val>
          <c:extLst>
            <c:ext xmlns:c16="http://schemas.microsoft.com/office/drawing/2014/chart" uri="{C3380CC4-5D6E-409C-BE32-E72D297353CC}">
              <c16:uniqueId val="{00000000-3D35-49EF-891C-013DC4F7BA51}"/>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'Communication to latex'!$AU$759:$AU$770</c15:sqref>
                  </c15:fullRef>
                </c:ext>
              </c:extLst>
              <c:f>('Communication to latex'!$AU$759:$AU$766,'Communication to latex'!$AU$768:$AU$770)</c:f>
              <c:strCache>
                <c:ptCount val="11"/>
                <c:pt idx="0">
                  <c:v>Generator</c:v>
                </c:pt>
                <c:pt idx="1">
                  <c:v>Gearbox</c:v>
                </c:pt>
                <c:pt idx="2">
                  <c:v>Transformer</c:v>
                </c:pt>
                <c:pt idx="3">
                  <c:v>Cover</c:v>
                </c:pt>
                <c:pt idx="4">
                  <c:v>Yaw</c:v>
                </c:pt>
                <c:pt idx="5">
                  <c:v>Shaft</c:v>
                </c:pt>
                <c:pt idx="6">
                  <c:v>Bed plate</c:v>
                </c:pt>
                <c:pt idx="7">
                  <c:v>Brake</c:v>
                </c:pt>
                <c:pt idx="8">
                  <c:v>Electronics</c:v>
                </c:pt>
                <c:pt idx="9">
                  <c:v>Bearings</c:v>
                </c:pt>
                <c:pt idx="10">
                  <c:v>Converter</c:v>
                </c:pt>
              </c:strCache>
            </c:strRef>
          </c:cat>
          <c:val>
            <c:numRef>
              <c:extLst>
                <c:ext xmlns:c15="http://schemas.microsoft.com/office/drawing/2012/chart" uri="{02D57815-91ED-43cb-92C2-25804820EDAC}">
                  <c15:fullRef>
                    <c15:sqref>'Communication to latex'!$AW$759:$AW$771</c15:sqref>
                  </c15:fullRef>
                </c:ext>
              </c:extLst>
              <c:f>('Communication to latex'!$AW$759:$AW$766,'Communication to latex'!$AW$768:$AW$770)</c:f>
              <c:numCache>
                <c:formatCode>General</c:formatCode>
                <c:ptCount val="11"/>
              </c:numCache>
            </c:numRef>
          </c:val>
          <c:extLst>
            <c:ext xmlns:c16="http://schemas.microsoft.com/office/drawing/2014/chart" uri="{C3380CC4-5D6E-409C-BE32-E72D297353CC}">
              <c16:uniqueId val="{00000001-3D35-49EF-891C-013DC4F7BA51}"/>
            </c:ext>
          </c:extLst>
        </c:ser>
        <c:dLbls>
          <c:showLegendKey val="0"/>
          <c:showVal val="0"/>
          <c:showCatName val="0"/>
          <c:showSerName val="0"/>
          <c:showPercent val="0"/>
          <c:showBubbleSize val="0"/>
        </c:dLbls>
        <c:gapWidth val="216"/>
        <c:axId val="498288920"/>
        <c:axId val="498285640"/>
      </c:barChart>
      <c:barChart>
        <c:barDir val="col"/>
        <c:grouping val="clustered"/>
        <c:varyColors val="0"/>
        <c:ser>
          <c:idx val="2"/>
          <c:order val="2"/>
          <c:spPr>
            <a:solidFill>
              <a:schemeClr val="accent3"/>
            </a:solidFill>
            <a:ln>
              <a:noFill/>
            </a:ln>
            <a:effectLst/>
          </c:spPr>
          <c:invertIfNegative val="0"/>
          <c:cat>
            <c:strRef>
              <c:extLst>
                <c:ext xmlns:c15="http://schemas.microsoft.com/office/drawing/2012/chart" uri="{02D57815-91ED-43cb-92C2-25804820EDAC}">
                  <c15:fullRef>
                    <c15:sqref>'Communication to latex'!$AU$759:$AU$770</c15:sqref>
                  </c15:fullRef>
                </c:ext>
              </c:extLst>
              <c:f>('Communication to latex'!$AU$759:$AU$766,'Communication to latex'!$AU$768:$AU$770)</c:f>
              <c:strCache>
                <c:ptCount val="11"/>
                <c:pt idx="0">
                  <c:v>Generator</c:v>
                </c:pt>
                <c:pt idx="1">
                  <c:v>Gearbox</c:v>
                </c:pt>
                <c:pt idx="2">
                  <c:v>Transformer</c:v>
                </c:pt>
                <c:pt idx="3">
                  <c:v>Cover</c:v>
                </c:pt>
                <c:pt idx="4">
                  <c:v>Yaw</c:v>
                </c:pt>
                <c:pt idx="5">
                  <c:v>Shaft</c:v>
                </c:pt>
                <c:pt idx="6">
                  <c:v>Bed plate</c:v>
                </c:pt>
                <c:pt idx="7">
                  <c:v>Brake</c:v>
                </c:pt>
                <c:pt idx="8">
                  <c:v>Electronics</c:v>
                </c:pt>
                <c:pt idx="9">
                  <c:v>Bearings</c:v>
                </c:pt>
                <c:pt idx="10">
                  <c:v>Converter</c:v>
                </c:pt>
              </c:strCache>
            </c:strRef>
          </c:cat>
          <c:val>
            <c:numRef>
              <c:extLst>
                <c:ext xmlns:c15="http://schemas.microsoft.com/office/drawing/2012/chart" uri="{02D57815-91ED-43cb-92C2-25804820EDAC}">
                  <c15:fullRef>
                    <c15:sqref>'Communication to latex'!$AX$759:$AX$771</c15:sqref>
                  </c15:fullRef>
                </c:ext>
              </c:extLst>
              <c:f>('Communication to latex'!$AX$759:$AX$766,'Communication to latex'!$AX$768:$AX$770)</c:f>
              <c:numCache>
                <c:formatCode>General</c:formatCode>
                <c:ptCount val="11"/>
              </c:numCache>
            </c:numRef>
          </c:val>
          <c:extLst>
            <c:ext xmlns:c16="http://schemas.microsoft.com/office/drawing/2014/chart" uri="{C3380CC4-5D6E-409C-BE32-E72D297353CC}">
              <c16:uniqueId val="{00000002-3D35-49EF-891C-013DC4F7BA51}"/>
            </c:ext>
          </c:extLst>
        </c:ser>
        <c:ser>
          <c:idx val="3"/>
          <c:order val="3"/>
          <c:tx>
            <c:v>CED</c:v>
          </c:tx>
          <c:spPr>
            <a:solidFill>
              <a:schemeClr val="accent1"/>
            </a:solidFill>
            <a:ln>
              <a:noFill/>
            </a:ln>
            <a:effectLst/>
          </c:spPr>
          <c:invertIfNegative val="0"/>
          <c:cat>
            <c:strRef>
              <c:extLst>
                <c:ext xmlns:c15="http://schemas.microsoft.com/office/drawing/2012/chart" uri="{02D57815-91ED-43cb-92C2-25804820EDAC}">
                  <c15:fullRef>
                    <c15:sqref>'Communication to latex'!$AU$759:$AU$770</c15:sqref>
                  </c15:fullRef>
                </c:ext>
              </c:extLst>
              <c:f>('Communication to latex'!$AU$759:$AU$766,'Communication to latex'!$AU$768:$AU$770)</c:f>
              <c:strCache>
                <c:ptCount val="11"/>
                <c:pt idx="0">
                  <c:v>Generator</c:v>
                </c:pt>
                <c:pt idx="1">
                  <c:v>Gearbox</c:v>
                </c:pt>
                <c:pt idx="2">
                  <c:v>Transformer</c:v>
                </c:pt>
                <c:pt idx="3">
                  <c:v>Cover</c:v>
                </c:pt>
                <c:pt idx="4">
                  <c:v>Yaw</c:v>
                </c:pt>
                <c:pt idx="5">
                  <c:v>Shaft</c:v>
                </c:pt>
                <c:pt idx="6">
                  <c:v>Bed plate</c:v>
                </c:pt>
                <c:pt idx="7">
                  <c:v>Brake</c:v>
                </c:pt>
                <c:pt idx="8">
                  <c:v>Electronics</c:v>
                </c:pt>
                <c:pt idx="9">
                  <c:v>Bearings</c:v>
                </c:pt>
                <c:pt idx="10">
                  <c:v>Converter</c:v>
                </c:pt>
              </c:strCache>
            </c:strRef>
          </c:cat>
          <c:val>
            <c:numRef>
              <c:extLst>
                <c:ext xmlns:c15="http://schemas.microsoft.com/office/drawing/2012/chart" uri="{02D57815-91ED-43cb-92C2-25804820EDAC}">
                  <c15:fullRef>
                    <c15:sqref>'Communication to latex'!$AY$759:$AY$770</c15:sqref>
                  </c15:fullRef>
                </c:ext>
              </c:extLst>
              <c:f>('Communication to latex'!$AY$759:$AY$766,'Communication to latex'!$AY$768:$AY$770)</c:f>
              <c:numCache>
                <c:formatCode>General</c:formatCode>
                <c:ptCount val="11"/>
                <c:pt idx="0">
                  <c:v>2.3517504755197369</c:v>
                </c:pt>
                <c:pt idx="1">
                  <c:v>8.9524595422068938</c:v>
                </c:pt>
                <c:pt idx="2">
                  <c:v>3.622814692877661</c:v>
                </c:pt>
                <c:pt idx="3">
                  <c:v>0.95908719621918082</c:v>
                </c:pt>
                <c:pt idx="4">
                  <c:v>1.4881309666697748</c:v>
                </c:pt>
                <c:pt idx="5">
                  <c:v>4.1706498312267506</c:v>
                </c:pt>
                <c:pt idx="6">
                  <c:v>9.1114793482302794</c:v>
                </c:pt>
                <c:pt idx="7">
                  <c:v>0.62308314958997968</c:v>
                </c:pt>
                <c:pt idx="8">
                  <c:v>0.69362370709453669</c:v>
                </c:pt>
                <c:pt idx="9">
                  <c:v>2.5665537422933848</c:v>
                </c:pt>
                <c:pt idx="10">
                  <c:v>0.60761829377739407</c:v>
                </c:pt>
              </c:numCache>
            </c:numRef>
          </c:val>
          <c:extLst>
            <c:ext xmlns:c16="http://schemas.microsoft.com/office/drawing/2014/chart" uri="{C3380CC4-5D6E-409C-BE32-E72D297353CC}">
              <c16:uniqueId val="{00000003-3D35-49EF-891C-013DC4F7BA51}"/>
            </c:ext>
          </c:extLst>
        </c:ser>
        <c:dLbls>
          <c:showLegendKey val="0"/>
          <c:showVal val="0"/>
          <c:showCatName val="0"/>
          <c:showSerName val="0"/>
          <c:showPercent val="0"/>
          <c:showBubbleSize val="0"/>
        </c:dLbls>
        <c:gapWidth val="216"/>
        <c:axId val="1034926256"/>
        <c:axId val="1034925600"/>
      </c:barChart>
      <c:catAx>
        <c:axId val="49828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8285640"/>
        <c:crosses val="autoZero"/>
        <c:auto val="1"/>
        <c:lblAlgn val="ctr"/>
        <c:lblOffset val="100"/>
        <c:noMultiLvlLbl val="0"/>
      </c:catAx>
      <c:valAx>
        <c:axId val="498285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GWP [kgCO2eq/MWh]</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8288920"/>
        <c:crosses val="autoZero"/>
        <c:crossBetween val="between"/>
      </c:valAx>
      <c:valAx>
        <c:axId val="1034925600"/>
        <c:scaling>
          <c:orientation val="minMax"/>
        </c:scaling>
        <c:delete val="0"/>
        <c:axPos val="r"/>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CED [MJ/MWh]</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34926256"/>
        <c:crosses val="max"/>
        <c:crossBetween val="between"/>
      </c:valAx>
      <c:catAx>
        <c:axId val="1034926256"/>
        <c:scaling>
          <c:orientation val="minMax"/>
        </c:scaling>
        <c:delete val="1"/>
        <c:axPos val="b"/>
        <c:numFmt formatCode="General" sourceLinked="1"/>
        <c:majorTickMark val="out"/>
        <c:minorTickMark val="none"/>
        <c:tickLblPos val="nextTo"/>
        <c:crossAx val="1034925600"/>
        <c:crosses val="autoZero"/>
        <c:auto val="1"/>
        <c:lblAlgn val="ctr"/>
        <c:lblOffset val="100"/>
        <c:noMultiLvlLbl val="0"/>
      </c:catAx>
      <c:spPr>
        <a:noFill/>
        <a:ln>
          <a:noFill/>
        </a:ln>
        <a:effectLst/>
      </c:spPr>
    </c:plotArea>
    <c:legend>
      <c:legendPos val="b"/>
      <c:legendEntry>
        <c:idx val="1"/>
        <c:delete val="1"/>
      </c:legendEntry>
      <c:legendEntry>
        <c:idx val="2"/>
        <c:delete val="1"/>
      </c:legendEntry>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Manufacturing impacts of AWE LLA</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rgbClr val="CCCC00"/>
            </a:solidFill>
            <a:ln>
              <a:noFill/>
            </a:ln>
            <a:effectLst/>
          </c:spPr>
          <c:invertIfNegative val="0"/>
          <c:cat>
            <c:strRef>
              <c:f>'Communication to latex'!$P$918:$P$921</c:f>
              <c:strCache>
                <c:ptCount val="4"/>
                <c:pt idx="0">
                  <c:v>Full deck</c:v>
                </c:pt>
                <c:pt idx="1">
                  <c:v>Catapult</c:v>
                </c:pt>
                <c:pt idx="2">
                  <c:v>Shifter</c:v>
                </c:pt>
                <c:pt idx="3">
                  <c:v>Yaw</c:v>
                </c:pt>
              </c:strCache>
            </c:strRef>
          </c:cat>
          <c:val>
            <c:numRef>
              <c:f>'Communication to latex'!$Q$918:$Q$921</c:f>
              <c:numCache>
                <c:formatCode>General</c:formatCode>
                <c:ptCount val="4"/>
                <c:pt idx="0">
                  <c:v>1.0172285402755599</c:v>
                </c:pt>
                <c:pt idx="1">
                  <c:v>0.28602869447903695</c:v>
                </c:pt>
                <c:pt idx="2">
                  <c:v>0.42877902744382013</c:v>
                </c:pt>
                <c:pt idx="3">
                  <c:v>0.16019726373322263</c:v>
                </c:pt>
              </c:numCache>
            </c:numRef>
          </c:val>
          <c:extLst>
            <c:ext xmlns:c16="http://schemas.microsoft.com/office/drawing/2014/chart" uri="{C3380CC4-5D6E-409C-BE32-E72D297353CC}">
              <c16:uniqueId val="{00000000-F6E2-4DEE-BA1D-CF5CF9B1A49C}"/>
            </c:ext>
          </c:extLst>
        </c:ser>
        <c:ser>
          <c:idx val="1"/>
          <c:order val="1"/>
          <c:spPr>
            <a:solidFill>
              <a:schemeClr val="accent2"/>
            </a:solidFill>
            <a:ln>
              <a:noFill/>
            </a:ln>
            <a:effectLst/>
          </c:spPr>
          <c:invertIfNegative val="0"/>
          <c:cat>
            <c:strRef>
              <c:f>'Communication to latex'!$P$918:$P$921</c:f>
              <c:strCache>
                <c:ptCount val="4"/>
                <c:pt idx="0">
                  <c:v>Full deck</c:v>
                </c:pt>
                <c:pt idx="1">
                  <c:v>Catapult</c:v>
                </c:pt>
                <c:pt idx="2">
                  <c:v>Shifter</c:v>
                </c:pt>
                <c:pt idx="3">
                  <c:v>Yaw</c:v>
                </c:pt>
              </c:strCache>
            </c:strRef>
          </c:cat>
          <c:val>
            <c:numRef>
              <c:f>'Communication to latex'!$R$918:$R$921</c:f>
              <c:numCache>
                <c:formatCode>General</c:formatCode>
                <c:ptCount val="4"/>
              </c:numCache>
            </c:numRef>
          </c:val>
          <c:extLst>
            <c:ext xmlns:c16="http://schemas.microsoft.com/office/drawing/2014/chart" uri="{C3380CC4-5D6E-409C-BE32-E72D297353CC}">
              <c16:uniqueId val="{00000001-F6E2-4DEE-BA1D-CF5CF9B1A49C}"/>
            </c:ext>
          </c:extLst>
        </c:ser>
        <c:dLbls>
          <c:showLegendKey val="0"/>
          <c:showVal val="0"/>
          <c:showCatName val="0"/>
          <c:showSerName val="0"/>
          <c:showPercent val="0"/>
          <c:showBubbleSize val="0"/>
        </c:dLbls>
        <c:gapWidth val="270"/>
        <c:axId val="740346296"/>
        <c:axId val="740337112"/>
      </c:barChart>
      <c:barChart>
        <c:barDir val="col"/>
        <c:grouping val="clustered"/>
        <c:varyColors val="0"/>
        <c:ser>
          <c:idx val="2"/>
          <c:order val="2"/>
          <c:spPr>
            <a:solidFill>
              <a:schemeClr val="accent3"/>
            </a:solidFill>
            <a:ln>
              <a:noFill/>
            </a:ln>
            <a:effectLst/>
          </c:spPr>
          <c:invertIfNegative val="0"/>
          <c:cat>
            <c:strRef>
              <c:f>'Communication to latex'!$P$918:$P$921</c:f>
              <c:strCache>
                <c:ptCount val="4"/>
                <c:pt idx="0">
                  <c:v>Full deck</c:v>
                </c:pt>
                <c:pt idx="1">
                  <c:v>Catapult</c:v>
                </c:pt>
                <c:pt idx="2">
                  <c:v>Shifter</c:v>
                </c:pt>
                <c:pt idx="3">
                  <c:v>Yaw</c:v>
                </c:pt>
              </c:strCache>
            </c:strRef>
          </c:cat>
          <c:val>
            <c:numRef>
              <c:f>'Communication to latex'!$S$918:$S$921</c:f>
              <c:numCache>
                <c:formatCode>General</c:formatCode>
                <c:ptCount val="4"/>
              </c:numCache>
            </c:numRef>
          </c:val>
          <c:extLst>
            <c:ext xmlns:c16="http://schemas.microsoft.com/office/drawing/2014/chart" uri="{C3380CC4-5D6E-409C-BE32-E72D297353CC}">
              <c16:uniqueId val="{00000002-F6E2-4DEE-BA1D-CF5CF9B1A49C}"/>
            </c:ext>
          </c:extLst>
        </c:ser>
        <c:ser>
          <c:idx val="3"/>
          <c:order val="3"/>
          <c:spPr>
            <a:solidFill>
              <a:schemeClr val="accent1"/>
            </a:solidFill>
            <a:ln>
              <a:noFill/>
            </a:ln>
            <a:effectLst/>
          </c:spPr>
          <c:invertIfNegative val="0"/>
          <c:cat>
            <c:strRef>
              <c:f>'Communication to latex'!$P$918:$P$921</c:f>
              <c:strCache>
                <c:ptCount val="4"/>
                <c:pt idx="0">
                  <c:v>Full deck</c:v>
                </c:pt>
                <c:pt idx="1">
                  <c:v>Catapult</c:v>
                </c:pt>
                <c:pt idx="2">
                  <c:v>Shifter</c:v>
                </c:pt>
                <c:pt idx="3">
                  <c:v>Yaw</c:v>
                </c:pt>
              </c:strCache>
            </c:strRef>
          </c:cat>
          <c:val>
            <c:numRef>
              <c:f>'Communication to latex'!$T$918:$T$921</c:f>
              <c:numCache>
                <c:formatCode>General</c:formatCode>
                <c:ptCount val="4"/>
              </c:numCache>
            </c:numRef>
          </c:val>
          <c:extLst>
            <c:ext xmlns:c16="http://schemas.microsoft.com/office/drawing/2014/chart" uri="{C3380CC4-5D6E-409C-BE32-E72D297353CC}">
              <c16:uniqueId val="{00000003-F6E2-4DEE-BA1D-CF5CF9B1A49C}"/>
            </c:ext>
          </c:extLst>
        </c:ser>
        <c:ser>
          <c:idx val="4"/>
          <c:order val="4"/>
          <c:tx>
            <c:v>CED</c:v>
          </c:tx>
          <c:spPr>
            <a:solidFill>
              <a:srgbClr val="CC3300"/>
            </a:solidFill>
            <a:ln>
              <a:noFill/>
            </a:ln>
            <a:effectLst/>
          </c:spPr>
          <c:invertIfNegative val="0"/>
          <c:cat>
            <c:strRef>
              <c:f>'Communication to latex'!$P$918:$P$921</c:f>
              <c:strCache>
                <c:ptCount val="4"/>
                <c:pt idx="0">
                  <c:v>Full deck</c:v>
                </c:pt>
                <c:pt idx="1">
                  <c:v>Catapult</c:v>
                </c:pt>
                <c:pt idx="2">
                  <c:v>Shifter</c:v>
                </c:pt>
                <c:pt idx="3">
                  <c:v>Yaw</c:v>
                </c:pt>
              </c:strCache>
            </c:strRef>
          </c:cat>
          <c:val>
            <c:numRef>
              <c:f>'Communication to latex'!$U$918:$U$921</c:f>
              <c:numCache>
                <c:formatCode>General</c:formatCode>
                <c:ptCount val="4"/>
                <c:pt idx="0">
                  <c:v>14.730443487478501</c:v>
                </c:pt>
                <c:pt idx="1">
                  <c:v>4.2230360107928595</c:v>
                </c:pt>
                <c:pt idx="2">
                  <c:v>6.1449553720042314</c:v>
                </c:pt>
                <c:pt idx="3">
                  <c:v>2.3399353120243531</c:v>
                </c:pt>
              </c:numCache>
            </c:numRef>
          </c:val>
          <c:extLst>
            <c:ext xmlns:c16="http://schemas.microsoft.com/office/drawing/2014/chart" uri="{C3380CC4-5D6E-409C-BE32-E72D297353CC}">
              <c16:uniqueId val="{00000001-DA46-41AF-BD57-5B566BF9531A}"/>
            </c:ext>
          </c:extLst>
        </c:ser>
        <c:dLbls>
          <c:showLegendKey val="0"/>
          <c:showVal val="0"/>
          <c:showCatName val="0"/>
          <c:showSerName val="0"/>
          <c:showPercent val="0"/>
          <c:showBubbleSize val="0"/>
        </c:dLbls>
        <c:gapWidth val="150"/>
        <c:axId val="636707784"/>
        <c:axId val="636711064"/>
      </c:barChart>
      <c:catAx>
        <c:axId val="740346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40337112"/>
        <c:crosses val="autoZero"/>
        <c:auto val="1"/>
        <c:lblAlgn val="ctr"/>
        <c:lblOffset val="100"/>
        <c:noMultiLvlLbl val="0"/>
      </c:catAx>
      <c:valAx>
        <c:axId val="740337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GWP [kgCO2eq/MWh]</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40346296"/>
        <c:crosses val="autoZero"/>
        <c:crossBetween val="between"/>
      </c:valAx>
      <c:valAx>
        <c:axId val="636711064"/>
        <c:scaling>
          <c:orientation val="minMax"/>
        </c:scaling>
        <c:delete val="0"/>
        <c:axPos val="r"/>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a:t>CED [MJ/MWh]</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36707784"/>
        <c:crosses val="max"/>
        <c:crossBetween val="between"/>
      </c:valAx>
      <c:catAx>
        <c:axId val="636707784"/>
        <c:scaling>
          <c:orientation val="minMax"/>
        </c:scaling>
        <c:delete val="1"/>
        <c:axPos val="b"/>
        <c:numFmt formatCode="General" sourceLinked="1"/>
        <c:majorTickMark val="out"/>
        <c:minorTickMark val="none"/>
        <c:tickLblPos val="nextTo"/>
        <c:crossAx val="636711064"/>
        <c:crosses val="autoZero"/>
        <c:auto val="1"/>
        <c:lblAlgn val="ctr"/>
        <c:lblOffset val="100"/>
        <c:noMultiLvlLbl val="0"/>
      </c:catAx>
      <c:spPr>
        <a:noFill/>
        <a:ln>
          <a:noFill/>
        </a:ln>
        <a:effectLst/>
      </c:spPr>
    </c:plotArea>
    <c:legend>
      <c:legendPos val="b"/>
      <c:legendEntry>
        <c:idx val="1"/>
        <c:delete val="1"/>
      </c:legendEntry>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GWP of AWE vs HAWT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'Communication to latex'!$N$937</c:f>
              <c:strCache>
                <c:ptCount val="1"/>
                <c:pt idx="0">
                  <c:v>Man: Tether / Tower</c:v>
                </c:pt>
              </c:strCache>
            </c:strRef>
          </c:tx>
          <c:spPr>
            <a:pattFill prst="pct60">
              <a:fgClr>
                <a:schemeClr val="accent5"/>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latex'!$N$938:$N$939</c:f>
              <c:numCache>
                <c:formatCode>0.00</c:formatCode>
                <c:ptCount val="2"/>
                <c:pt idx="0">
                  <c:v>6.4194436116937009E-2</c:v>
                </c:pt>
                <c:pt idx="1">
                  <c:v>4.4366640225996186</c:v>
                </c:pt>
              </c:numCache>
            </c:numRef>
          </c:val>
          <c:extLst>
            <c:ext xmlns:c16="http://schemas.microsoft.com/office/drawing/2014/chart" uri="{C3380CC4-5D6E-409C-BE32-E72D297353CC}">
              <c16:uniqueId val="{00000000-D8BB-49CF-9938-33860D7F4A42}"/>
            </c:ext>
          </c:extLst>
        </c:ser>
        <c:ser>
          <c:idx val="1"/>
          <c:order val="1"/>
          <c:tx>
            <c:strRef>
              <c:f>'Communication to latex'!$P$937</c:f>
              <c:strCache>
                <c:ptCount val="1"/>
                <c:pt idx="0">
                  <c:v>Man: Aircraft / Rotor</c:v>
                </c:pt>
              </c:strCache>
            </c:strRef>
          </c:tx>
          <c:spPr>
            <a:pattFill prst="pct60">
              <a:fgClr>
                <a:schemeClr val="accent4"/>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latex'!$P$938:$P$939</c:f>
              <c:numCache>
                <c:formatCode>0.00</c:formatCode>
                <c:ptCount val="2"/>
                <c:pt idx="0">
                  <c:v>0.89223475341296021</c:v>
                </c:pt>
                <c:pt idx="1">
                  <c:v>2.6729859537173737</c:v>
                </c:pt>
              </c:numCache>
            </c:numRef>
          </c:val>
          <c:extLst>
            <c:ext xmlns:c16="http://schemas.microsoft.com/office/drawing/2014/chart" uri="{C3380CC4-5D6E-409C-BE32-E72D297353CC}">
              <c16:uniqueId val="{00000001-D8BB-49CF-9938-33860D7F4A42}"/>
            </c:ext>
          </c:extLst>
        </c:ser>
        <c:ser>
          <c:idx val="2"/>
          <c:order val="2"/>
          <c:tx>
            <c:strRef>
              <c:f>'Communication to latex'!$Q$937</c:f>
              <c:strCache>
                <c:ptCount val="1"/>
                <c:pt idx="0">
                  <c:v>Man: PGA / Nacelle</c:v>
                </c:pt>
              </c:strCache>
            </c:strRef>
          </c:tx>
          <c:spPr>
            <a:pattFill prst="pct50">
              <a:fgClr>
                <a:schemeClr val="tx2"/>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latex'!$Q$938:$Q$939</c:f>
              <c:numCache>
                <c:formatCode>0.00</c:formatCode>
                <c:ptCount val="2"/>
                <c:pt idx="0">
                  <c:v>2.6537687263994019</c:v>
                </c:pt>
                <c:pt idx="1">
                  <c:v>2.2766164712812915</c:v>
                </c:pt>
              </c:numCache>
            </c:numRef>
          </c:val>
          <c:extLst>
            <c:ext xmlns:c16="http://schemas.microsoft.com/office/drawing/2014/chart" uri="{C3380CC4-5D6E-409C-BE32-E72D297353CC}">
              <c16:uniqueId val="{00000002-D8BB-49CF-9938-33860D7F4A42}"/>
            </c:ext>
          </c:extLst>
        </c:ser>
        <c:ser>
          <c:idx val="3"/>
          <c:order val="3"/>
          <c:tx>
            <c:strRef>
              <c:f>'Communication to latex'!$O$937</c:f>
              <c:strCache>
                <c:ptCount val="1"/>
                <c:pt idx="0">
                  <c:v>Man: LLA</c:v>
                </c:pt>
              </c:strCache>
            </c:strRef>
          </c:tx>
          <c:spPr>
            <a:pattFill prst="pct50">
              <a:fgClr>
                <a:schemeClr val="bg1">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latex'!$O$938:$O$939</c:f>
              <c:numCache>
                <c:formatCode>0.00</c:formatCode>
                <c:ptCount val="2"/>
                <c:pt idx="0">
                  <c:v>1.8922335259316396</c:v>
                </c:pt>
                <c:pt idx="1">
                  <c:v>0</c:v>
                </c:pt>
              </c:numCache>
            </c:numRef>
          </c:val>
          <c:extLst>
            <c:ext xmlns:c16="http://schemas.microsoft.com/office/drawing/2014/chart" uri="{C3380CC4-5D6E-409C-BE32-E72D297353CC}">
              <c16:uniqueId val="{00000003-D8BB-49CF-9938-33860D7F4A42}"/>
            </c:ext>
          </c:extLst>
        </c:ser>
        <c:ser>
          <c:idx val="4"/>
          <c:order val="4"/>
          <c:tx>
            <c:strRef>
              <c:f>'Communication to latex'!$R$937</c:f>
              <c:strCache>
                <c:ptCount val="1"/>
                <c:pt idx="0">
                  <c:v>Man: Foundation</c:v>
                </c:pt>
              </c:strCache>
            </c:strRef>
          </c:tx>
          <c:spPr>
            <a:pattFill prst="pct50">
              <a:fgClr>
                <a:schemeClr val="accent2">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latex'!$R$938:$R$939</c:f>
              <c:numCache>
                <c:formatCode>0.00</c:formatCode>
                <c:ptCount val="2"/>
                <c:pt idx="0">
                  <c:v>0.16241719355147477</c:v>
                </c:pt>
                <c:pt idx="1">
                  <c:v>1.0470725989414846</c:v>
                </c:pt>
              </c:numCache>
            </c:numRef>
          </c:val>
          <c:extLst>
            <c:ext xmlns:c16="http://schemas.microsoft.com/office/drawing/2014/chart" uri="{C3380CC4-5D6E-409C-BE32-E72D297353CC}">
              <c16:uniqueId val="{00000004-D8BB-49CF-9938-33860D7F4A42}"/>
            </c:ext>
          </c:extLst>
        </c:ser>
        <c:ser>
          <c:idx val="5"/>
          <c:order val="5"/>
          <c:tx>
            <c:strRef>
              <c:f>'Communication to latex'!$S$937</c:f>
              <c:strCache>
                <c:ptCount val="1"/>
                <c:pt idx="0">
                  <c:v>Man: BOS</c:v>
                </c:pt>
              </c:strCache>
            </c:strRef>
          </c:tx>
          <c:spPr>
            <a:pattFill prst="pct50">
              <a:fgClr>
                <a:schemeClr val="accent6">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latex'!$S$938:$S$939</c:f>
              <c:numCache>
                <c:formatCode>0.00</c:formatCode>
                <c:ptCount val="2"/>
                <c:pt idx="0">
                  <c:v>0.65674863608273137</c:v>
                </c:pt>
                <c:pt idx="1">
                  <c:v>0.7119447848828484</c:v>
                </c:pt>
              </c:numCache>
            </c:numRef>
          </c:val>
          <c:extLst>
            <c:ext xmlns:c16="http://schemas.microsoft.com/office/drawing/2014/chart" uri="{C3380CC4-5D6E-409C-BE32-E72D297353CC}">
              <c16:uniqueId val="{00000005-D8BB-49CF-9938-33860D7F4A42}"/>
            </c:ext>
          </c:extLst>
        </c:ser>
        <c:ser>
          <c:idx val="6"/>
          <c:order val="6"/>
          <c:tx>
            <c:strRef>
              <c:f>'Communication to latex'!$T$937</c:f>
              <c:strCache>
                <c:ptCount val="1"/>
                <c:pt idx="0">
                  <c:v>Installation</c:v>
                </c:pt>
              </c:strCache>
            </c:strRef>
          </c:tx>
          <c:spPr>
            <a:solidFill>
              <a:schemeClr val="accent1">
                <a:lumMod val="60000"/>
              </a:schemeClr>
            </a:solidFill>
            <a:ln>
              <a:noFill/>
            </a:ln>
            <a:effectLst/>
          </c:spPr>
          <c:invertIfNegative val="0"/>
          <c:cat>
            <c:strRef>
              <c:f>'Communication to latex'!$M$952:$M$953</c:f>
              <c:strCache>
                <c:ptCount val="2"/>
                <c:pt idx="0">
                  <c:v>AWE</c:v>
                </c:pt>
                <c:pt idx="1">
                  <c:v>HAWT</c:v>
                </c:pt>
              </c:strCache>
            </c:strRef>
          </c:cat>
          <c:val>
            <c:numRef>
              <c:f>'Communication to latex'!$T$938:$T$939</c:f>
              <c:numCache>
                <c:formatCode>0.00</c:formatCode>
                <c:ptCount val="2"/>
                <c:pt idx="0">
                  <c:v>0.32507135074415039</c:v>
                </c:pt>
                <c:pt idx="1">
                  <c:v>0.70451015783057913</c:v>
                </c:pt>
              </c:numCache>
            </c:numRef>
          </c:val>
          <c:extLst>
            <c:ext xmlns:c16="http://schemas.microsoft.com/office/drawing/2014/chart" uri="{C3380CC4-5D6E-409C-BE32-E72D297353CC}">
              <c16:uniqueId val="{00000006-D8BB-49CF-9938-33860D7F4A42}"/>
            </c:ext>
          </c:extLst>
        </c:ser>
        <c:ser>
          <c:idx val="7"/>
          <c:order val="7"/>
          <c:tx>
            <c:strRef>
              <c:f>'Communication to latex'!$U$937</c:f>
              <c:strCache>
                <c:ptCount val="1"/>
                <c:pt idx="0">
                  <c:v>OenM</c:v>
                </c:pt>
              </c:strCache>
            </c:strRef>
          </c:tx>
          <c:spPr>
            <a:solidFill>
              <a:schemeClr val="accent2">
                <a:lumMod val="60000"/>
              </a:schemeClr>
            </a:solidFill>
            <a:ln>
              <a:noFill/>
            </a:ln>
            <a:effectLst/>
          </c:spPr>
          <c:invertIfNegative val="0"/>
          <c:cat>
            <c:strRef>
              <c:f>'Communication to latex'!$M$952:$M$953</c:f>
              <c:strCache>
                <c:ptCount val="2"/>
                <c:pt idx="0">
                  <c:v>AWE</c:v>
                </c:pt>
                <c:pt idx="1">
                  <c:v>HAWT</c:v>
                </c:pt>
              </c:strCache>
            </c:strRef>
          </c:cat>
          <c:val>
            <c:numRef>
              <c:f>'Communication to latex'!$U$938:$U$939</c:f>
              <c:numCache>
                <c:formatCode>0.00</c:formatCode>
                <c:ptCount val="2"/>
                <c:pt idx="0">
                  <c:v>0.880399361284395</c:v>
                </c:pt>
                <c:pt idx="1">
                  <c:v>0.73521556462588233</c:v>
                </c:pt>
              </c:numCache>
            </c:numRef>
          </c:val>
          <c:extLst>
            <c:ext xmlns:c16="http://schemas.microsoft.com/office/drawing/2014/chart" uri="{C3380CC4-5D6E-409C-BE32-E72D297353CC}">
              <c16:uniqueId val="{00000007-D8BB-49CF-9938-33860D7F4A42}"/>
            </c:ext>
          </c:extLst>
        </c:ser>
        <c:ser>
          <c:idx val="8"/>
          <c:order val="8"/>
          <c:tx>
            <c:strRef>
              <c:f>'Communication to latex'!$V$937</c:f>
              <c:strCache>
                <c:ptCount val="1"/>
                <c:pt idx="0">
                  <c:v>EOL</c:v>
                </c:pt>
              </c:strCache>
            </c:strRef>
          </c:tx>
          <c:spPr>
            <a:solidFill>
              <a:schemeClr val="accent3">
                <a:lumMod val="60000"/>
              </a:schemeClr>
            </a:solidFill>
            <a:ln>
              <a:noFill/>
            </a:ln>
            <a:effectLst/>
          </c:spPr>
          <c:invertIfNegative val="0"/>
          <c:cat>
            <c:strRef>
              <c:f>'Communication to latex'!$M$952:$M$953</c:f>
              <c:strCache>
                <c:ptCount val="2"/>
                <c:pt idx="0">
                  <c:v>AWE</c:v>
                </c:pt>
                <c:pt idx="1">
                  <c:v>HAWT</c:v>
                </c:pt>
              </c:strCache>
            </c:strRef>
          </c:cat>
          <c:val>
            <c:numRef>
              <c:f>'Communication to latex'!$V$938:$V$939</c:f>
              <c:numCache>
                <c:formatCode>0.00</c:formatCode>
                <c:ptCount val="2"/>
                <c:pt idx="0">
                  <c:v>0.27122449952203481</c:v>
                </c:pt>
                <c:pt idx="1">
                  <c:v>0.39310824854226534</c:v>
                </c:pt>
              </c:numCache>
            </c:numRef>
          </c:val>
          <c:extLst>
            <c:ext xmlns:c16="http://schemas.microsoft.com/office/drawing/2014/chart" uri="{C3380CC4-5D6E-409C-BE32-E72D297353CC}">
              <c16:uniqueId val="{00000008-D8BB-49CF-9938-33860D7F4A42}"/>
            </c:ext>
          </c:extLst>
        </c:ser>
        <c:dLbls>
          <c:showLegendKey val="0"/>
          <c:showVal val="0"/>
          <c:showCatName val="0"/>
          <c:showSerName val="0"/>
          <c:showPercent val="0"/>
          <c:showBubbleSize val="0"/>
        </c:dLbls>
        <c:gapWidth val="150"/>
        <c:overlap val="100"/>
        <c:axId val="636666784"/>
        <c:axId val="636671704"/>
      </c:barChart>
      <c:catAx>
        <c:axId val="636666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71704"/>
        <c:crosses val="autoZero"/>
        <c:auto val="1"/>
        <c:lblAlgn val="ctr"/>
        <c:lblOffset val="100"/>
        <c:noMultiLvlLbl val="0"/>
      </c:catAx>
      <c:valAx>
        <c:axId val="6366717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GWP [kgCO2eq/MWh]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66784"/>
        <c:crosses val="autoZero"/>
        <c:crossBetween val="between"/>
      </c:valAx>
      <c:spPr>
        <a:noFill/>
        <a:ln>
          <a:noFill/>
        </a:ln>
        <a:effectLst/>
      </c:spPr>
    </c:plotArea>
    <c:legend>
      <c:legendPos val="r"/>
      <c:layout>
        <c:manualLayout>
          <c:xMode val="edge"/>
          <c:yMode val="edge"/>
          <c:x val="0.8777537900704615"/>
          <c:y val="0.14091055925701595"/>
          <c:w val="0.11565209337215072"/>
          <c:h val="0.66222772697894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GWP of AWE vs HAWT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'Communication to latex'!$N$937</c:f>
              <c:strCache>
                <c:ptCount val="1"/>
                <c:pt idx="0">
                  <c:v>Man: Tether / Tower</c:v>
                </c:pt>
              </c:strCache>
            </c:strRef>
          </c:tx>
          <c:spPr>
            <a:pattFill prst="pct60">
              <a:fgClr>
                <a:schemeClr val="accent5"/>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latex'!$N$938:$N$939</c:f>
              <c:numCache>
                <c:formatCode>0.00</c:formatCode>
                <c:ptCount val="2"/>
                <c:pt idx="0">
                  <c:v>6.4194436116937009E-2</c:v>
                </c:pt>
                <c:pt idx="1">
                  <c:v>4.4366640225996186</c:v>
                </c:pt>
              </c:numCache>
            </c:numRef>
          </c:val>
          <c:extLst>
            <c:ext xmlns:c16="http://schemas.microsoft.com/office/drawing/2014/chart" uri="{C3380CC4-5D6E-409C-BE32-E72D297353CC}">
              <c16:uniqueId val="{00000000-DB15-4880-BF7C-82D51D4BFB8A}"/>
            </c:ext>
          </c:extLst>
        </c:ser>
        <c:ser>
          <c:idx val="1"/>
          <c:order val="1"/>
          <c:tx>
            <c:strRef>
              <c:f>'Communication to latex'!$P$937</c:f>
              <c:strCache>
                <c:ptCount val="1"/>
                <c:pt idx="0">
                  <c:v>Man: Aircraft / Rotor</c:v>
                </c:pt>
              </c:strCache>
            </c:strRef>
          </c:tx>
          <c:spPr>
            <a:pattFill prst="pct60">
              <a:fgClr>
                <a:schemeClr val="accent4"/>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latex'!$P$938:$P$939</c:f>
              <c:numCache>
                <c:formatCode>0.00</c:formatCode>
                <c:ptCount val="2"/>
                <c:pt idx="0">
                  <c:v>0.89223475341296021</c:v>
                </c:pt>
                <c:pt idx="1">
                  <c:v>2.6729859537173737</c:v>
                </c:pt>
              </c:numCache>
            </c:numRef>
          </c:val>
          <c:extLst>
            <c:ext xmlns:c16="http://schemas.microsoft.com/office/drawing/2014/chart" uri="{C3380CC4-5D6E-409C-BE32-E72D297353CC}">
              <c16:uniqueId val="{00000001-DB15-4880-BF7C-82D51D4BFB8A}"/>
            </c:ext>
          </c:extLst>
        </c:ser>
        <c:ser>
          <c:idx val="2"/>
          <c:order val="2"/>
          <c:tx>
            <c:strRef>
              <c:f>'Communication to latex'!$Q$937</c:f>
              <c:strCache>
                <c:ptCount val="1"/>
                <c:pt idx="0">
                  <c:v>Man: PGA / Nacelle</c:v>
                </c:pt>
              </c:strCache>
            </c:strRef>
          </c:tx>
          <c:spPr>
            <a:pattFill prst="pct50">
              <a:fgClr>
                <a:schemeClr val="tx2"/>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latex'!$Q$938:$Q$939</c:f>
              <c:numCache>
                <c:formatCode>0.00</c:formatCode>
                <c:ptCount val="2"/>
                <c:pt idx="0">
                  <c:v>2.6537687263994019</c:v>
                </c:pt>
                <c:pt idx="1">
                  <c:v>2.2766164712812915</c:v>
                </c:pt>
              </c:numCache>
            </c:numRef>
          </c:val>
          <c:extLst>
            <c:ext xmlns:c16="http://schemas.microsoft.com/office/drawing/2014/chart" uri="{C3380CC4-5D6E-409C-BE32-E72D297353CC}">
              <c16:uniqueId val="{00000002-DB15-4880-BF7C-82D51D4BFB8A}"/>
            </c:ext>
          </c:extLst>
        </c:ser>
        <c:ser>
          <c:idx val="3"/>
          <c:order val="3"/>
          <c:tx>
            <c:strRef>
              <c:f>'Communication to latex'!$O$937</c:f>
              <c:strCache>
                <c:ptCount val="1"/>
                <c:pt idx="0">
                  <c:v>Man: LLA</c:v>
                </c:pt>
              </c:strCache>
            </c:strRef>
          </c:tx>
          <c:spPr>
            <a:pattFill prst="pct50">
              <a:fgClr>
                <a:schemeClr val="bg1">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latex'!$O$938:$O$939</c:f>
              <c:numCache>
                <c:formatCode>0.00</c:formatCode>
                <c:ptCount val="2"/>
                <c:pt idx="0">
                  <c:v>1.8922335259316396</c:v>
                </c:pt>
                <c:pt idx="1">
                  <c:v>0</c:v>
                </c:pt>
              </c:numCache>
            </c:numRef>
          </c:val>
          <c:extLst>
            <c:ext xmlns:c16="http://schemas.microsoft.com/office/drawing/2014/chart" uri="{C3380CC4-5D6E-409C-BE32-E72D297353CC}">
              <c16:uniqueId val="{00000003-DB15-4880-BF7C-82D51D4BFB8A}"/>
            </c:ext>
          </c:extLst>
        </c:ser>
        <c:ser>
          <c:idx val="4"/>
          <c:order val="4"/>
          <c:tx>
            <c:strRef>
              <c:f>'Communication to latex'!$R$937</c:f>
              <c:strCache>
                <c:ptCount val="1"/>
                <c:pt idx="0">
                  <c:v>Man: Foundation</c:v>
                </c:pt>
              </c:strCache>
            </c:strRef>
          </c:tx>
          <c:spPr>
            <a:pattFill prst="pct50">
              <a:fgClr>
                <a:schemeClr val="accent2">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latex'!$R$938:$R$939</c:f>
              <c:numCache>
                <c:formatCode>0.00</c:formatCode>
                <c:ptCount val="2"/>
                <c:pt idx="0">
                  <c:v>0.16241719355147477</c:v>
                </c:pt>
                <c:pt idx="1">
                  <c:v>1.0470725989414846</c:v>
                </c:pt>
              </c:numCache>
            </c:numRef>
          </c:val>
          <c:extLst>
            <c:ext xmlns:c16="http://schemas.microsoft.com/office/drawing/2014/chart" uri="{C3380CC4-5D6E-409C-BE32-E72D297353CC}">
              <c16:uniqueId val="{00000004-DB15-4880-BF7C-82D51D4BFB8A}"/>
            </c:ext>
          </c:extLst>
        </c:ser>
        <c:ser>
          <c:idx val="5"/>
          <c:order val="5"/>
          <c:tx>
            <c:strRef>
              <c:f>'Communication to latex'!$S$937</c:f>
              <c:strCache>
                <c:ptCount val="1"/>
                <c:pt idx="0">
                  <c:v>Man: BOS</c:v>
                </c:pt>
              </c:strCache>
            </c:strRef>
          </c:tx>
          <c:spPr>
            <a:pattFill prst="pct50">
              <a:fgClr>
                <a:schemeClr val="accent6">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latex'!$S$938:$S$939</c:f>
              <c:numCache>
                <c:formatCode>0.00</c:formatCode>
                <c:ptCount val="2"/>
                <c:pt idx="0">
                  <c:v>0.65674863608273137</c:v>
                </c:pt>
                <c:pt idx="1">
                  <c:v>0.7119447848828484</c:v>
                </c:pt>
              </c:numCache>
            </c:numRef>
          </c:val>
          <c:extLst>
            <c:ext xmlns:c16="http://schemas.microsoft.com/office/drawing/2014/chart" uri="{C3380CC4-5D6E-409C-BE32-E72D297353CC}">
              <c16:uniqueId val="{00000005-DB15-4880-BF7C-82D51D4BFB8A}"/>
            </c:ext>
          </c:extLst>
        </c:ser>
        <c:ser>
          <c:idx val="6"/>
          <c:order val="6"/>
          <c:tx>
            <c:strRef>
              <c:f>'Communication to latex'!$T$937</c:f>
              <c:strCache>
                <c:ptCount val="1"/>
                <c:pt idx="0">
                  <c:v>Installation</c:v>
                </c:pt>
              </c:strCache>
            </c:strRef>
          </c:tx>
          <c:spPr>
            <a:solidFill>
              <a:schemeClr val="accent1">
                <a:lumMod val="60000"/>
              </a:schemeClr>
            </a:solidFill>
            <a:ln>
              <a:noFill/>
            </a:ln>
            <a:effectLst/>
          </c:spPr>
          <c:invertIfNegative val="0"/>
          <c:cat>
            <c:strRef>
              <c:f>'Communication to latex'!$M$952:$M$953</c:f>
              <c:strCache>
                <c:ptCount val="2"/>
                <c:pt idx="0">
                  <c:v>AWE</c:v>
                </c:pt>
                <c:pt idx="1">
                  <c:v>HAWT</c:v>
                </c:pt>
              </c:strCache>
            </c:strRef>
          </c:cat>
          <c:val>
            <c:numRef>
              <c:f>'Communication to latex'!$T$938:$T$939</c:f>
              <c:numCache>
                <c:formatCode>0.00</c:formatCode>
                <c:ptCount val="2"/>
                <c:pt idx="0">
                  <c:v>0.32507135074415039</c:v>
                </c:pt>
                <c:pt idx="1">
                  <c:v>0.70451015783057913</c:v>
                </c:pt>
              </c:numCache>
            </c:numRef>
          </c:val>
          <c:extLst>
            <c:ext xmlns:c16="http://schemas.microsoft.com/office/drawing/2014/chart" uri="{C3380CC4-5D6E-409C-BE32-E72D297353CC}">
              <c16:uniqueId val="{00000006-DB15-4880-BF7C-82D51D4BFB8A}"/>
            </c:ext>
          </c:extLst>
        </c:ser>
        <c:ser>
          <c:idx val="7"/>
          <c:order val="7"/>
          <c:tx>
            <c:strRef>
              <c:f>'Communication to latex'!$U$937</c:f>
              <c:strCache>
                <c:ptCount val="1"/>
                <c:pt idx="0">
                  <c:v>OenM</c:v>
                </c:pt>
              </c:strCache>
            </c:strRef>
          </c:tx>
          <c:spPr>
            <a:solidFill>
              <a:schemeClr val="accent2">
                <a:lumMod val="60000"/>
              </a:schemeClr>
            </a:solidFill>
            <a:ln>
              <a:noFill/>
            </a:ln>
            <a:effectLst/>
          </c:spPr>
          <c:invertIfNegative val="0"/>
          <c:cat>
            <c:strRef>
              <c:f>'Communication to latex'!$M$952:$M$953</c:f>
              <c:strCache>
                <c:ptCount val="2"/>
                <c:pt idx="0">
                  <c:v>AWE</c:v>
                </c:pt>
                <c:pt idx="1">
                  <c:v>HAWT</c:v>
                </c:pt>
              </c:strCache>
            </c:strRef>
          </c:cat>
          <c:val>
            <c:numRef>
              <c:f>'Communication to latex'!$U$938:$U$939</c:f>
              <c:numCache>
                <c:formatCode>0.00</c:formatCode>
                <c:ptCount val="2"/>
                <c:pt idx="0">
                  <c:v>0.880399361284395</c:v>
                </c:pt>
                <c:pt idx="1">
                  <c:v>0.73521556462588233</c:v>
                </c:pt>
              </c:numCache>
            </c:numRef>
          </c:val>
          <c:extLst>
            <c:ext xmlns:c16="http://schemas.microsoft.com/office/drawing/2014/chart" uri="{C3380CC4-5D6E-409C-BE32-E72D297353CC}">
              <c16:uniqueId val="{00000007-DB15-4880-BF7C-82D51D4BFB8A}"/>
            </c:ext>
          </c:extLst>
        </c:ser>
        <c:ser>
          <c:idx val="8"/>
          <c:order val="8"/>
          <c:tx>
            <c:strRef>
              <c:f>'Communication to latex'!$V$937</c:f>
              <c:strCache>
                <c:ptCount val="1"/>
                <c:pt idx="0">
                  <c:v>EOL</c:v>
                </c:pt>
              </c:strCache>
            </c:strRef>
          </c:tx>
          <c:spPr>
            <a:solidFill>
              <a:schemeClr val="accent3">
                <a:lumMod val="60000"/>
              </a:schemeClr>
            </a:solidFill>
            <a:ln>
              <a:noFill/>
            </a:ln>
            <a:effectLst/>
          </c:spPr>
          <c:invertIfNegative val="0"/>
          <c:cat>
            <c:strRef>
              <c:f>'Communication to latex'!$M$952:$M$953</c:f>
              <c:strCache>
                <c:ptCount val="2"/>
                <c:pt idx="0">
                  <c:v>AWE</c:v>
                </c:pt>
                <c:pt idx="1">
                  <c:v>HAWT</c:v>
                </c:pt>
              </c:strCache>
            </c:strRef>
          </c:cat>
          <c:val>
            <c:numRef>
              <c:f>'Communication to latex'!$V$938:$V$939</c:f>
              <c:numCache>
                <c:formatCode>0.00</c:formatCode>
                <c:ptCount val="2"/>
                <c:pt idx="0">
                  <c:v>0.27122449952203481</c:v>
                </c:pt>
                <c:pt idx="1">
                  <c:v>0.39310824854226534</c:v>
                </c:pt>
              </c:numCache>
            </c:numRef>
          </c:val>
          <c:extLst>
            <c:ext xmlns:c16="http://schemas.microsoft.com/office/drawing/2014/chart" uri="{C3380CC4-5D6E-409C-BE32-E72D297353CC}">
              <c16:uniqueId val="{00000008-DB15-4880-BF7C-82D51D4BFB8A}"/>
            </c:ext>
          </c:extLst>
        </c:ser>
        <c:dLbls>
          <c:showLegendKey val="0"/>
          <c:showVal val="0"/>
          <c:showCatName val="0"/>
          <c:showSerName val="0"/>
          <c:showPercent val="0"/>
          <c:showBubbleSize val="0"/>
        </c:dLbls>
        <c:gapWidth val="150"/>
        <c:overlap val="100"/>
        <c:axId val="636666784"/>
        <c:axId val="636671704"/>
      </c:barChart>
      <c:catAx>
        <c:axId val="636666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36671704"/>
        <c:crosses val="autoZero"/>
        <c:auto val="1"/>
        <c:lblAlgn val="ctr"/>
        <c:lblOffset val="100"/>
        <c:noMultiLvlLbl val="0"/>
      </c:catAx>
      <c:valAx>
        <c:axId val="6366717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GWP [kgCO2eq/MWh]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66784"/>
        <c:crosses val="autoZero"/>
        <c:crossBetween val="between"/>
      </c:valAx>
      <c:spPr>
        <a:noFill/>
        <a:ln>
          <a:noFill/>
        </a:ln>
        <a:effectLst/>
      </c:spPr>
    </c:plotArea>
    <c:legend>
      <c:legendPos val="r"/>
      <c:layout>
        <c:manualLayout>
          <c:xMode val="edge"/>
          <c:yMode val="edge"/>
          <c:x val="0.8777537900704615"/>
          <c:y val="0.14091055925701595"/>
          <c:w val="0.11565209337215072"/>
          <c:h val="0.66222772697894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GWP of AWE vs HAWT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'Communication to latex'!$N$937</c:f>
              <c:strCache>
                <c:ptCount val="1"/>
                <c:pt idx="0">
                  <c:v>Man: Tether / Tower</c:v>
                </c:pt>
              </c:strCache>
            </c:strRef>
          </c:tx>
          <c:spPr>
            <a:pattFill prst="pct60">
              <a:fgClr>
                <a:srgbClr val="0070C0"/>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latex'!$N$938:$N$939</c:f>
              <c:numCache>
                <c:formatCode>0.00</c:formatCode>
                <c:ptCount val="2"/>
                <c:pt idx="0">
                  <c:v>6.4194436116937009E-2</c:v>
                </c:pt>
                <c:pt idx="1">
                  <c:v>4.4366640225996186</c:v>
                </c:pt>
              </c:numCache>
            </c:numRef>
          </c:val>
          <c:extLst>
            <c:ext xmlns:c16="http://schemas.microsoft.com/office/drawing/2014/chart" uri="{C3380CC4-5D6E-409C-BE32-E72D297353CC}">
              <c16:uniqueId val="{00000000-C477-4B69-834E-7DE7D2B177F2}"/>
            </c:ext>
          </c:extLst>
        </c:ser>
        <c:ser>
          <c:idx val="3"/>
          <c:order val="1"/>
          <c:tx>
            <c:strRef>
              <c:f>'Communication to latex'!$O$937</c:f>
              <c:strCache>
                <c:ptCount val="1"/>
                <c:pt idx="0">
                  <c:v>Man: LLA</c:v>
                </c:pt>
              </c:strCache>
            </c:strRef>
          </c:tx>
          <c:spPr>
            <a:pattFill prst="pct60">
              <a:fgClr>
                <a:schemeClr val="accent1">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latex'!$O$938:$O$939</c:f>
              <c:numCache>
                <c:formatCode>0.00</c:formatCode>
                <c:ptCount val="2"/>
                <c:pt idx="0">
                  <c:v>1.8922335259316396</c:v>
                </c:pt>
                <c:pt idx="1">
                  <c:v>0</c:v>
                </c:pt>
              </c:numCache>
            </c:numRef>
          </c:val>
          <c:extLst>
            <c:ext xmlns:c16="http://schemas.microsoft.com/office/drawing/2014/chart" uri="{C3380CC4-5D6E-409C-BE32-E72D297353CC}">
              <c16:uniqueId val="{00000003-C477-4B69-834E-7DE7D2B177F2}"/>
            </c:ext>
          </c:extLst>
        </c:ser>
        <c:ser>
          <c:idx val="1"/>
          <c:order val="2"/>
          <c:tx>
            <c:strRef>
              <c:f>'Communication to latex'!$P$937</c:f>
              <c:strCache>
                <c:ptCount val="1"/>
                <c:pt idx="0">
                  <c:v>Man: Aircraft / Rotor</c:v>
                </c:pt>
              </c:strCache>
            </c:strRef>
          </c:tx>
          <c:spPr>
            <a:pattFill prst="pct60">
              <a:fgClr>
                <a:schemeClr val="accent6">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latex'!$P$938:$P$939</c:f>
              <c:numCache>
                <c:formatCode>0.00</c:formatCode>
                <c:ptCount val="2"/>
                <c:pt idx="0">
                  <c:v>0.89223475341296021</c:v>
                </c:pt>
                <c:pt idx="1">
                  <c:v>2.6729859537173737</c:v>
                </c:pt>
              </c:numCache>
            </c:numRef>
          </c:val>
          <c:extLst>
            <c:ext xmlns:c16="http://schemas.microsoft.com/office/drawing/2014/chart" uri="{C3380CC4-5D6E-409C-BE32-E72D297353CC}">
              <c16:uniqueId val="{00000001-C477-4B69-834E-7DE7D2B177F2}"/>
            </c:ext>
          </c:extLst>
        </c:ser>
        <c:ser>
          <c:idx val="2"/>
          <c:order val="3"/>
          <c:tx>
            <c:strRef>
              <c:f>'Communication to latex'!$Q$937</c:f>
              <c:strCache>
                <c:ptCount val="1"/>
                <c:pt idx="0">
                  <c:v>Man: PGA / Nacelle</c:v>
                </c:pt>
              </c:strCache>
            </c:strRef>
          </c:tx>
          <c:spPr>
            <a:pattFill prst="pct60">
              <a:fgClr>
                <a:schemeClr val="accent2">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latex'!$Q$938:$Q$939</c:f>
              <c:numCache>
                <c:formatCode>0.00</c:formatCode>
                <c:ptCount val="2"/>
                <c:pt idx="0">
                  <c:v>2.6537687263994019</c:v>
                </c:pt>
                <c:pt idx="1">
                  <c:v>2.2766164712812915</c:v>
                </c:pt>
              </c:numCache>
            </c:numRef>
          </c:val>
          <c:extLst>
            <c:ext xmlns:c16="http://schemas.microsoft.com/office/drawing/2014/chart" uri="{C3380CC4-5D6E-409C-BE32-E72D297353CC}">
              <c16:uniqueId val="{00000002-C477-4B69-834E-7DE7D2B177F2}"/>
            </c:ext>
          </c:extLst>
        </c:ser>
        <c:ser>
          <c:idx val="4"/>
          <c:order val="4"/>
          <c:tx>
            <c:strRef>
              <c:f>'Communication to latex'!$R$937</c:f>
              <c:strCache>
                <c:ptCount val="1"/>
                <c:pt idx="0">
                  <c:v>Man: Foundation</c:v>
                </c:pt>
              </c:strCache>
            </c:strRef>
          </c:tx>
          <c:spPr>
            <a:pattFill prst="pct60">
              <a:fgClr>
                <a:schemeClr val="bg1">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latex'!$R$938:$R$939</c:f>
              <c:numCache>
                <c:formatCode>0.00</c:formatCode>
                <c:ptCount val="2"/>
                <c:pt idx="0">
                  <c:v>0.16241719355147477</c:v>
                </c:pt>
                <c:pt idx="1">
                  <c:v>1.0470725989414846</c:v>
                </c:pt>
              </c:numCache>
            </c:numRef>
          </c:val>
          <c:extLst>
            <c:ext xmlns:c16="http://schemas.microsoft.com/office/drawing/2014/chart" uri="{C3380CC4-5D6E-409C-BE32-E72D297353CC}">
              <c16:uniqueId val="{00000004-C477-4B69-834E-7DE7D2B177F2}"/>
            </c:ext>
          </c:extLst>
        </c:ser>
        <c:ser>
          <c:idx val="5"/>
          <c:order val="5"/>
          <c:tx>
            <c:strRef>
              <c:f>'Communication to latex'!$S$937</c:f>
              <c:strCache>
                <c:ptCount val="1"/>
                <c:pt idx="0">
                  <c:v>Man: BOS</c:v>
                </c:pt>
              </c:strCache>
            </c:strRef>
          </c:tx>
          <c:spPr>
            <a:pattFill prst="pct60">
              <a:fgClr>
                <a:schemeClr val="accent4">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latex'!$S$938:$S$939</c:f>
              <c:numCache>
                <c:formatCode>0.00</c:formatCode>
                <c:ptCount val="2"/>
                <c:pt idx="0">
                  <c:v>0.65674863608273137</c:v>
                </c:pt>
                <c:pt idx="1">
                  <c:v>0.7119447848828484</c:v>
                </c:pt>
              </c:numCache>
            </c:numRef>
          </c:val>
          <c:extLst>
            <c:ext xmlns:c16="http://schemas.microsoft.com/office/drawing/2014/chart" uri="{C3380CC4-5D6E-409C-BE32-E72D297353CC}">
              <c16:uniqueId val="{00000005-C477-4B69-834E-7DE7D2B177F2}"/>
            </c:ext>
          </c:extLst>
        </c:ser>
        <c:ser>
          <c:idx val="6"/>
          <c:order val="6"/>
          <c:tx>
            <c:strRef>
              <c:f>'Communication to latex'!$T$937</c:f>
              <c:strCache>
                <c:ptCount val="1"/>
                <c:pt idx="0">
                  <c:v>Installation</c:v>
                </c:pt>
              </c:strCache>
            </c:strRef>
          </c:tx>
          <c:spPr>
            <a:solidFill>
              <a:schemeClr val="accent1">
                <a:lumMod val="60000"/>
              </a:schemeClr>
            </a:solidFill>
            <a:ln>
              <a:noFill/>
            </a:ln>
            <a:effectLst/>
          </c:spPr>
          <c:invertIfNegative val="0"/>
          <c:cat>
            <c:strRef>
              <c:f>'Communication to latex'!$M$952:$M$953</c:f>
              <c:strCache>
                <c:ptCount val="2"/>
                <c:pt idx="0">
                  <c:v>AWE</c:v>
                </c:pt>
                <c:pt idx="1">
                  <c:v>HAWT</c:v>
                </c:pt>
              </c:strCache>
            </c:strRef>
          </c:cat>
          <c:val>
            <c:numRef>
              <c:f>'Communication to latex'!$T$938:$T$939</c:f>
              <c:numCache>
                <c:formatCode>0.00</c:formatCode>
                <c:ptCount val="2"/>
                <c:pt idx="0">
                  <c:v>0.32507135074415039</c:v>
                </c:pt>
                <c:pt idx="1">
                  <c:v>0.70451015783057913</c:v>
                </c:pt>
              </c:numCache>
            </c:numRef>
          </c:val>
          <c:extLst>
            <c:ext xmlns:c16="http://schemas.microsoft.com/office/drawing/2014/chart" uri="{C3380CC4-5D6E-409C-BE32-E72D297353CC}">
              <c16:uniqueId val="{00000006-C477-4B69-834E-7DE7D2B177F2}"/>
            </c:ext>
          </c:extLst>
        </c:ser>
        <c:ser>
          <c:idx val="7"/>
          <c:order val="7"/>
          <c:tx>
            <c:strRef>
              <c:f>'Communication to latex'!$U$937</c:f>
              <c:strCache>
                <c:ptCount val="1"/>
                <c:pt idx="0">
                  <c:v>OenM</c:v>
                </c:pt>
              </c:strCache>
            </c:strRef>
          </c:tx>
          <c:spPr>
            <a:solidFill>
              <a:schemeClr val="accent2">
                <a:lumMod val="60000"/>
              </a:schemeClr>
            </a:solidFill>
            <a:ln>
              <a:noFill/>
            </a:ln>
            <a:effectLst/>
          </c:spPr>
          <c:invertIfNegative val="0"/>
          <c:cat>
            <c:strRef>
              <c:f>'Communication to latex'!$M$952:$M$953</c:f>
              <c:strCache>
                <c:ptCount val="2"/>
                <c:pt idx="0">
                  <c:v>AWE</c:v>
                </c:pt>
                <c:pt idx="1">
                  <c:v>HAWT</c:v>
                </c:pt>
              </c:strCache>
            </c:strRef>
          </c:cat>
          <c:val>
            <c:numRef>
              <c:f>'Communication to latex'!$U$938:$U$939</c:f>
              <c:numCache>
                <c:formatCode>0.00</c:formatCode>
                <c:ptCount val="2"/>
                <c:pt idx="0">
                  <c:v>0.880399361284395</c:v>
                </c:pt>
                <c:pt idx="1">
                  <c:v>0.73521556462588233</c:v>
                </c:pt>
              </c:numCache>
            </c:numRef>
          </c:val>
          <c:extLst>
            <c:ext xmlns:c16="http://schemas.microsoft.com/office/drawing/2014/chart" uri="{C3380CC4-5D6E-409C-BE32-E72D297353CC}">
              <c16:uniqueId val="{00000007-C477-4B69-834E-7DE7D2B177F2}"/>
            </c:ext>
          </c:extLst>
        </c:ser>
        <c:ser>
          <c:idx val="8"/>
          <c:order val="8"/>
          <c:tx>
            <c:strRef>
              <c:f>'Communication to latex'!$V$937</c:f>
              <c:strCache>
                <c:ptCount val="1"/>
                <c:pt idx="0">
                  <c:v>EOL</c:v>
                </c:pt>
              </c:strCache>
            </c:strRef>
          </c:tx>
          <c:spPr>
            <a:solidFill>
              <a:schemeClr val="accent3">
                <a:lumMod val="60000"/>
              </a:schemeClr>
            </a:solidFill>
            <a:ln>
              <a:noFill/>
            </a:ln>
            <a:effectLst/>
          </c:spPr>
          <c:invertIfNegative val="0"/>
          <c:cat>
            <c:strRef>
              <c:f>'Communication to latex'!$M$952:$M$953</c:f>
              <c:strCache>
                <c:ptCount val="2"/>
                <c:pt idx="0">
                  <c:v>AWE</c:v>
                </c:pt>
                <c:pt idx="1">
                  <c:v>HAWT</c:v>
                </c:pt>
              </c:strCache>
            </c:strRef>
          </c:cat>
          <c:val>
            <c:numRef>
              <c:f>'Communication to latex'!$V$938:$V$939</c:f>
              <c:numCache>
                <c:formatCode>0.00</c:formatCode>
                <c:ptCount val="2"/>
                <c:pt idx="0">
                  <c:v>0.27122449952203481</c:v>
                </c:pt>
                <c:pt idx="1">
                  <c:v>0.39310824854226534</c:v>
                </c:pt>
              </c:numCache>
            </c:numRef>
          </c:val>
          <c:extLst>
            <c:ext xmlns:c16="http://schemas.microsoft.com/office/drawing/2014/chart" uri="{C3380CC4-5D6E-409C-BE32-E72D297353CC}">
              <c16:uniqueId val="{00000008-C477-4B69-834E-7DE7D2B177F2}"/>
            </c:ext>
          </c:extLst>
        </c:ser>
        <c:dLbls>
          <c:showLegendKey val="0"/>
          <c:showVal val="0"/>
          <c:showCatName val="0"/>
          <c:showSerName val="0"/>
          <c:showPercent val="0"/>
          <c:showBubbleSize val="0"/>
        </c:dLbls>
        <c:gapWidth val="150"/>
        <c:overlap val="100"/>
        <c:axId val="636666784"/>
        <c:axId val="636671704"/>
      </c:barChart>
      <c:catAx>
        <c:axId val="636666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36671704"/>
        <c:crosses val="autoZero"/>
        <c:auto val="1"/>
        <c:lblAlgn val="ctr"/>
        <c:lblOffset val="100"/>
        <c:noMultiLvlLbl val="0"/>
      </c:catAx>
      <c:valAx>
        <c:axId val="6366717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GWP [kgCO</a:t>
                </a:r>
                <a:r>
                  <a:rPr lang="en-US" sz="700"/>
                  <a:t>2</a:t>
                </a:r>
                <a:r>
                  <a:rPr lang="en-US"/>
                  <a:t>eq/MWh]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66784"/>
        <c:crosses val="autoZero"/>
        <c:crossBetween val="between"/>
      </c:valAx>
      <c:spPr>
        <a:noFill/>
        <a:ln>
          <a:noFill/>
        </a:ln>
        <a:effectLst/>
      </c:spPr>
    </c:plotArea>
    <c:legend>
      <c:legendPos val="r"/>
      <c:layout>
        <c:manualLayout>
          <c:xMode val="edge"/>
          <c:yMode val="edge"/>
          <c:x val="0.86182672005326499"/>
          <c:y val="0.14091055925701595"/>
          <c:w val="0.13157911538163361"/>
          <c:h val="0.66222772697894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CED of AWE vs HAWT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'Communication to latex'!$N$960</c:f>
              <c:strCache>
                <c:ptCount val="1"/>
                <c:pt idx="0">
                  <c:v>Man: Tether / Tower</c:v>
                </c:pt>
              </c:strCache>
            </c:strRef>
          </c:tx>
          <c:spPr>
            <a:pattFill prst="pct60">
              <a:fgClr>
                <a:srgbClr val="0070C0"/>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latex'!$N$961:$N$962</c:f>
              <c:numCache>
                <c:formatCode>0.00</c:formatCode>
                <c:ptCount val="2"/>
                <c:pt idx="0">
                  <c:v>2.0777024182320742</c:v>
                </c:pt>
                <c:pt idx="1">
                  <c:v>63.183633737484676</c:v>
                </c:pt>
              </c:numCache>
            </c:numRef>
          </c:val>
          <c:extLst>
            <c:ext xmlns:c16="http://schemas.microsoft.com/office/drawing/2014/chart" uri="{C3380CC4-5D6E-409C-BE32-E72D297353CC}">
              <c16:uniqueId val="{00000000-C4A4-4885-886C-A61415D17744}"/>
            </c:ext>
          </c:extLst>
        </c:ser>
        <c:ser>
          <c:idx val="3"/>
          <c:order val="1"/>
          <c:tx>
            <c:strRef>
              <c:f>'Communication to latex'!$O$960</c:f>
              <c:strCache>
                <c:ptCount val="1"/>
                <c:pt idx="0">
                  <c:v>Man: LLA</c:v>
                </c:pt>
              </c:strCache>
            </c:strRef>
          </c:tx>
          <c:spPr>
            <a:pattFill prst="pct60">
              <a:fgClr>
                <a:schemeClr val="accent1">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latex'!$O$961:$O$962</c:f>
              <c:numCache>
                <c:formatCode>0.00</c:formatCode>
                <c:ptCount val="2"/>
                <c:pt idx="0">
                  <c:v>27.438370182299941</c:v>
                </c:pt>
                <c:pt idx="1">
                  <c:v>0</c:v>
                </c:pt>
              </c:numCache>
            </c:numRef>
          </c:val>
          <c:extLst>
            <c:ext xmlns:c16="http://schemas.microsoft.com/office/drawing/2014/chart" uri="{C3380CC4-5D6E-409C-BE32-E72D297353CC}">
              <c16:uniqueId val="{00000001-C4A4-4885-886C-A61415D17744}"/>
            </c:ext>
          </c:extLst>
        </c:ser>
        <c:ser>
          <c:idx val="1"/>
          <c:order val="2"/>
          <c:tx>
            <c:strRef>
              <c:f>'Communication to latex'!$P$960</c:f>
              <c:strCache>
                <c:ptCount val="1"/>
                <c:pt idx="0">
                  <c:v>Man: Aircraft / Rotor</c:v>
                </c:pt>
              </c:strCache>
            </c:strRef>
          </c:tx>
          <c:spPr>
            <a:pattFill prst="pct60">
              <a:fgClr>
                <a:schemeClr val="accent6">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latex'!$P$961:$P$962</c:f>
              <c:numCache>
                <c:formatCode>0.00</c:formatCode>
                <c:ptCount val="2"/>
                <c:pt idx="0">
                  <c:v>16.327139786872973</c:v>
                </c:pt>
                <c:pt idx="1">
                  <c:v>51.634565239059953</c:v>
                </c:pt>
              </c:numCache>
            </c:numRef>
          </c:val>
          <c:extLst>
            <c:ext xmlns:c16="http://schemas.microsoft.com/office/drawing/2014/chart" uri="{C3380CC4-5D6E-409C-BE32-E72D297353CC}">
              <c16:uniqueId val="{00000002-C4A4-4885-886C-A61415D17744}"/>
            </c:ext>
          </c:extLst>
        </c:ser>
        <c:ser>
          <c:idx val="2"/>
          <c:order val="3"/>
          <c:tx>
            <c:strRef>
              <c:f>'Communication to latex'!$Q$937</c:f>
              <c:strCache>
                <c:ptCount val="1"/>
                <c:pt idx="0">
                  <c:v>Man: PGA / Nacelle</c:v>
                </c:pt>
              </c:strCache>
            </c:strRef>
          </c:tx>
          <c:spPr>
            <a:pattFill prst="pct60">
              <a:fgClr>
                <a:schemeClr val="accent2">
                  <a:lumMod val="40000"/>
                  <a:lumOff val="6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latex'!$Q$961:$Q$962</c:f>
              <c:numCache>
                <c:formatCode>0.00</c:formatCode>
                <c:ptCount val="2"/>
                <c:pt idx="0">
                  <c:v>42.260221460120128</c:v>
                </c:pt>
                <c:pt idx="1">
                  <c:v>35.147250945705572</c:v>
                </c:pt>
              </c:numCache>
            </c:numRef>
          </c:val>
          <c:extLst>
            <c:ext xmlns:c16="http://schemas.microsoft.com/office/drawing/2014/chart" uri="{C3380CC4-5D6E-409C-BE32-E72D297353CC}">
              <c16:uniqueId val="{00000003-C4A4-4885-886C-A61415D17744}"/>
            </c:ext>
          </c:extLst>
        </c:ser>
        <c:ser>
          <c:idx val="4"/>
          <c:order val="4"/>
          <c:tx>
            <c:strRef>
              <c:f>'Communication to latex'!$R$960</c:f>
              <c:strCache>
                <c:ptCount val="1"/>
                <c:pt idx="0">
                  <c:v>Man: Foundation</c:v>
                </c:pt>
              </c:strCache>
            </c:strRef>
          </c:tx>
          <c:spPr>
            <a:pattFill prst="pct60">
              <a:fgClr>
                <a:schemeClr val="bg1">
                  <a:lumMod val="75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latex'!$R$961:$R$962</c:f>
              <c:numCache>
                <c:formatCode>0.00</c:formatCode>
                <c:ptCount val="2"/>
                <c:pt idx="0">
                  <c:v>1.5148950391480474</c:v>
                </c:pt>
                <c:pt idx="1">
                  <c:v>9.9770965773956988</c:v>
                </c:pt>
              </c:numCache>
            </c:numRef>
          </c:val>
          <c:extLst>
            <c:ext xmlns:c16="http://schemas.microsoft.com/office/drawing/2014/chart" uri="{C3380CC4-5D6E-409C-BE32-E72D297353CC}">
              <c16:uniqueId val="{00000004-C4A4-4885-886C-A61415D17744}"/>
            </c:ext>
          </c:extLst>
        </c:ser>
        <c:ser>
          <c:idx val="5"/>
          <c:order val="5"/>
          <c:tx>
            <c:strRef>
              <c:f>'Communication to latex'!$S$960</c:f>
              <c:strCache>
                <c:ptCount val="1"/>
                <c:pt idx="0">
                  <c:v>Man: BOS</c:v>
                </c:pt>
              </c:strCache>
            </c:strRef>
          </c:tx>
          <c:spPr>
            <a:pattFill prst="pct60">
              <a:fgClr>
                <a:schemeClr val="accent4">
                  <a:lumMod val="60000"/>
                  <a:lumOff val="40000"/>
                </a:schemeClr>
              </a:fgClr>
              <a:bgClr>
                <a:schemeClr val="bg1"/>
              </a:bgClr>
            </a:pattFill>
            <a:ln>
              <a:noFill/>
            </a:ln>
            <a:effectLst/>
          </c:spPr>
          <c:invertIfNegative val="0"/>
          <c:cat>
            <c:strRef>
              <c:f>'Communication to latex'!$M$952:$M$953</c:f>
              <c:strCache>
                <c:ptCount val="2"/>
                <c:pt idx="0">
                  <c:v>AWE</c:v>
                </c:pt>
                <c:pt idx="1">
                  <c:v>HAWT</c:v>
                </c:pt>
              </c:strCache>
            </c:strRef>
          </c:cat>
          <c:val>
            <c:numRef>
              <c:f>'Communication to latex'!$S$961:$S$962</c:f>
              <c:numCache>
                <c:formatCode>0.00</c:formatCode>
                <c:ptCount val="2"/>
                <c:pt idx="0">
                  <c:v>10.482194131784958</c:v>
                </c:pt>
                <c:pt idx="1">
                  <c:v>11.332986817964082</c:v>
                </c:pt>
              </c:numCache>
            </c:numRef>
          </c:val>
          <c:extLst>
            <c:ext xmlns:c16="http://schemas.microsoft.com/office/drawing/2014/chart" uri="{C3380CC4-5D6E-409C-BE32-E72D297353CC}">
              <c16:uniqueId val="{00000005-C4A4-4885-886C-A61415D17744}"/>
            </c:ext>
          </c:extLst>
        </c:ser>
        <c:ser>
          <c:idx val="6"/>
          <c:order val="6"/>
          <c:tx>
            <c:strRef>
              <c:f>'Communication to latex'!$T$960</c:f>
              <c:strCache>
                <c:ptCount val="1"/>
                <c:pt idx="0">
                  <c:v>Installation</c:v>
                </c:pt>
              </c:strCache>
            </c:strRef>
          </c:tx>
          <c:spPr>
            <a:solidFill>
              <a:schemeClr val="accent1">
                <a:lumMod val="60000"/>
              </a:schemeClr>
            </a:solidFill>
            <a:ln>
              <a:noFill/>
            </a:ln>
            <a:effectLst/>
          </c:spPr>
          <c:invertIfNegative val="0"/>
          <c:cat>
            <c:strRef>
              <c:f>'Communication to latex'!$M$952:$M$953</c:f>
              <c:strCache>
                <c:ptCount val="2"/>
                <c:pt idx="0">
                  <c:v>AWE</c:v>
                </c:pt>
                <c:pt idx="1">
                  <c:v>HAWT</c:v>
                </c:pt>
              </c:strCache>
            </c:strRef>
          </c:cat>
          <c:val>
            <c:numRef>
              <c:f>'Communication to latex'!$T$961:$T$962</c:f>
              <c:numCache>
                <c:formatCode>0.00</c:formatCode>
                <c:ptCount val="2"/>
                <c:pt idx="0">
                  <c:v>4.6602968533030209</c:v>
                </c:pt>
                <c:pt idx="1">
                  <c:v>10.126259053675444</c:v>
                </c:pt>
              </c:numCache>
            </c:numRef>
          </c:val>
          <c:extLst>
            <c:ext xmlns:c16="http://schemas.microsoft.com/office/drawing/2014/chart" uri="{C3380CC4-5D6E-409C-BE32-E72D297353CC}">
              <c16:uniqueId val="{00000006-C4A4-4885-886C-A61415D17744}"/>
            </c:ext>
          </c:extLst>
        </c:ser>
        <c:ser>
          <c:idx val="7"/>
          <c:order val="7"/>
          <c:tx>
            <c:strRef>
              <c:f>'Communication to latex'!$U$960</c:f>
              <c:strCache>
                <c:ptCount val="1"/>
                <c:pt idx="0">
                  <c:v>OenM</c:v>
                </c:pt>
              </c:strCache>
            </c:strRef>
          </c:tx>
          <c:spPr>
            <a:solidFill>
              <a:schemeClr val="accent2">
                <a:lumMod val="60000"/>
              </a:schemeClr>
            </a:solidFill>
            <a:ln>
              <a:noFill/>
            </a:ln>
            <a:effectLst/>
          </c:spPr>
          <c:invertIfNegative val="0"/>
          <c:cat>
            <c:strRef>
              <c:f>'Communication to latex'!$M$952:$M$953</c:f>
              <c:strCache>
                <c:ptCount val="2"/>
                <c:pt idx="0">
                  <c:v>AWE</c:v>
                </c:pt>
                <c:pt idx="1">
                  <c:v>HAWT</c:v>
                </c:pt>
              </c:strCache>
            </c:strRef>
          </c:cat>
          <c:val>
            <c:numRef>
              <c:f>'Communication to latex'!$U$961:$U$962</c:f>
              <c:numCache>
                <c:formatCode>0.00</c:formatCode>
                <c:ptCount val="2"/>
                <c:pt idx="0">
                  <c:v>21.618157999532958</c:v>
                </c:pt>
                <c:pt idx="1">
                  <c:v>10.046934474049847</c:v>
                </c:pt>
              </c:numCache>
            </c:numRef>
          </c:val>
          <c:extLst>
            <c:ext xmlns:c16="http://schemas.microsoft.com/office/drawing/2014/chart" uri="{C3380CC4-5D6E-409C-BE32-E72D297353CC}">
              <c16:uniqueId val="{00000007-C4A4-4885-886C-A61415D17744}"/>
            </c:ext>
          </c:extLst>
        </c:ser>
        <c:ser>
          <c:idx val="8"/>
          <c:order val="8"/>
          <c:tx>
            <c:strRef>
              <c:f>'Communication to latex'!$V$960</c:f>
              <c:strCache>
                <c:ptCount val="1"/>
                <c:pt idx="0">
                  <c:v>EOL</c:v>
                </c:pt>
              </c:strCache>
            </c:strRef>
          </c:tx>
          <c:spPr>
            <a:solidFill>
              <a:schemeClr val="accent3">
                <a:lumMod val="60000"/>
              </a:schemeClr>
            </a:solidFill>
            <a:ln>
              <a:noFill/>
            </a:ln>
            <a:effectLst/>
          </c:spPr>
          <c:invertIfNegative val="0"/>
          <c:cat>
            <c:strRef>
              <c:f>'Communication to latex'!$M$952:$M$953</c:f>
              <c:strCache>
                <c:ptCount val="2"/>
                <c:pt idx="0">
                  <c:v>AWE</c:v>
                </c:pt>
                <c:pt idx="1">
                  <c:v>HAWT</c:v>
                </c:pt>
              </c:strCache>
            </c:strRef>
          </c:cat>
          <c:val>
            <c:numRef>
              <c:f>'Communication to latex'!$V$961:$V$962</c:f>
              <c:numCache>
                <c:formatCode>0.00</c:formatCode>
                <c:ptCount val="2"/>
                <c:pt idx="0">
                  <c:v>1.0906210155760316</c:v>
                </c:pt>
                <c:pt idx="1">
                  <c:v>3.5657236475020886</c:v>
                </c:pt>
              </c:numCache>
            </c:numRef>
          </c:val>
          <c:extLst>
            <c:ext xmlns:c16="http://schemas.microsoft.com/office/drawing/2014/chart" uri="{C3380CC4-5D6E-409C-BE32-E72D297353CC}">
              <c16:uniqueId val="{00000008-C4A4-4885-886C-A61415D17744}"/>
            </c:ext>
          </c:extLst>
        </c:ser>
        <c:dLbls>
          <c:showLegendKey val="0"/>
          <c:showVal val="0"/>
          <c:showCatName val="0"/>
          <c:showSerName val="0"/>
          <c:showPercent val="0"/>
          <c:showBubbleSize val="0"/>
        </c:dLbls>
        <c:gapWidth val="150"/>
        <c:overlap val="100"/>
        <c:axId val="636666784"/>
        <c:axId val="636671704"/>
      </c:barChart>
      <c:catAx>
        <c:axId val="636666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36671704"/>
        <c:crosses val="autoZero"/>
        <c:auto val="1"/>
        <c:lblAlgn val="ctr"/>
        <c:lblOffset val="100"/>
        <c:noMultiLvlLbl val="0"/>
      </c:catAx>
      <c:valAx>
        <c:axId val="6366717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CED [MJ/MWh]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66784"/>
        <c:crosses val="autoZero"/>
        <c:crossBetween val="between"/>
      </c:valAx>
      <c:spPr>
        <a:noFill/>
        <a:ln>
          <a:noFill/>
        </a:ln>
        <a:effectLst/>
      </c:spPr>
    </c:plotArea>
    <c:legend>
      <c:legendPos val="r"/>
      <c:layout>
        <c:manualLayout>
          <c:xMode val="edge"/>
          <c:yMode val="edge"/>
          <c:x val="0.85748297846142618"/>
          <c:y val="0.14091055925701595"/>
          <c:w val="0.13592285697347239"/>
          <c:h val="0.66222772697894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Manufacturing stage impacts AWE PGA system</a:t>
            </a:r>
          </a:p>
        </c:rich>
      </c:tx>
      <c:layout>
        <c:manualLayout>
          <c:xMode val="edge"/>
          <c:yMode val="edge"/>
          <c:x val="0.23570251477399951"/>
          <c:y val="1.966359595731606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rgbClr val="CCCC00"/>
            </a:solidFill>
            <a:ln>
              <a:noFill/>
            </a:ln>
            <a:effectLst/>
          </c:spPr>
          <c:invertIfNegative val="0"/>
          <c:cat>
            <c:strRef>
              <c:f>'Communication to latex'!$AJ$770:$AJ$778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latex'!$AK$770:$AK$778</c:f>
              <c:numCache>
                <c:formatCode>General</c:formatCode>
                <c:ptCount val="9"/>
                <c:pt idx="0">
                  <c:v>0.39125009316575321</c:v>
                </c:pt>
                <c:pt idx="1">
                  <c:v>0.42856648678566489</c:v>
                </c:pt>
                <c:pt idx="2">
                  <c:v>1.3169194072575068</c:v>
                </c:pt>
                <c:pt idx="3">
                  <c:v>3.6144282436234493E-2</c:v>
                </c:pt>
                <c:pt idx="4">
                  <c:v>3.6256724782067248E-2</c:v>
                </c:pt>
                <c:pt idx="5">
                  <c:v>0.15120790739702319</c:v>
                </c:pt>
                <c:pt idx="6">
                  <c:v>6.4772802366767163E-2</c:v>
                </c:pt>
                <c:pt idx="7">
                  <c:v>0.1890858499377335</c:v>
                </c:pt>
                <c:pt idx="8">
                  <c:v>3.9565172270651726E-2</c:v>
                </c:pt>
              </c:numCache>
            </c:numRef>
          </c:val>
          <c:extLst>
            <c:ext xmlns:c16="http://schemas.microsoft.com/office/drawing/2014/chart" uri="{C3380CC4-5D6E-409C-BE32-E72D297353CC}">
              <c16:uniqueId val="{00000000-2F4A-4DF9-AD0B-931288980EC5}"/>
            </c:ext>
          </c:extLst>
        </c:ser>
        <c:ser>
          <c:idx val="1"/>
          <c:order val="1"/>
          <c:spPr>
            <a:solidFill>
              <a:schemeClr val="accent2"/>
            </a:solidFill>
            <a:ln>
              <a:noFill/>
            </a:ln>
            <a:effectLst/>
          </c:spPr>
          <c:invertIfNegative val="0"/>
          <c:cat>
            <c:strRef>
              <c:f>'Communication to latex'!$AJ$770:$AJ$778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latex'!$AL$770:$AL$778</c:f>
              <c:numCache>
                <c:formatCode>General</c:formatCode>
                <c:ptCount val="9"/>
              </c:numCache>
            </c:numRef>
          </c:val>
          <c:extLst>
            <c:ext xmlns:c16="http://schemas.microsoft.com/office/drawing/2014/chart" uri="{C3380CC4-5D6E-409C-BE32-E72D297353CC}">
              <c16:uniqueId val="{00000001-2F4A-4DF9-AD0B-931288980EC5}"/>
            </c:ext>
          </c:extLst>
        </c:ser>
        <c:dLbls>
          <c:showLegendKey val="0"/>
          <c:showVal val="0"/>
          <c:showCatName val="0"/>
          <c:showSerName val="0"/>
          <c:showPercent val="0"/>
          <c:showBubbleSize val="0"/>
        </c:dLbls>
        <c:gapWidth val="216"/>
        <c:axId val="498288920"/>
        <c:axId val="498285640"/>
      </c:barChart>
      <c:barChart>
        <c:barDir val="col"/>
        <c:grouping val="clustered"/>
        <c:varyColors val="0"/>
        <c:ser>
          <c:idx val="2"/>
          <c:order val="2"/>
          <c:spPr>
            <a:solidFill>
              <a:schemeClr val="accent3"/>
            </a:solidFill>
            <a:ln>
              <a:noFill/>
            </a:ln>
            <a:effectLst/>
          </c:spPr>
          <c:invertIfNegative val="0"/>
          <c:cat>
            <c:strRef>
              <c:f>'Communication to latex'!$AJ$770:$AJ$778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latex'!$AM$770:$AM$778</c:f>
              <c:numCache>
                <c:formatCode>General</c:formatCode>
                <c:ptCount val="9"/>
              </c:numCache>
            </c:numRef>
          </c:val>
          <c:extLst>
            <c:ext xmlns:c16="http://schemas.microsoft.com/office/drawing/2014/chart" uri="{C3380CC4-5D6E-409C-BE32-E72D297353CC}">
              <c16:uniqueId val="{00000002-2F4A-4DF9-AD0B-931288980EC5}"/>
            </c:ext>
          </c:extLst>
        </c:ser>
        <c:ser>
          <c:idx val="3"/>
          <c:order val="3"/>
          <c:spPr>
            <a:solidFill>
              <a:schemeClr val="accent4"/>
            </a:solidFill>
            <a:ln>
              <a:noFill/>
            </a:ln>
            <a:effectLst/>
          </c:spPr>
          <c:invertIfNegative val="0"/>
          <c:cat>
            <c:strRef>
              <c:f>'Communication to latex'!$AJ$770:$AJ$778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latex'!$AN$770:$AN$778</c:f>
              <c:numCache>
                <c:formatCode>General</c:formatCode>
                <c:ptCount val="9"/>
              </c:numCache>
            </c:numRef>
          </c:val>
          <c:extLst>
            <c:ext xmlns:c16="http://schemas.microsoft.com/office/drawing/2014/chart" uri="{C3380CC4-5D6E-409C-BE32-E72D297353CC}">
              <c16:uniqueId val="{00000003-2F4A-4DF9-AD0B-931288980EC5}"/>
            </c:ext>
          </c:extLst>
        </c:ser>
        <c:ser>
          <c:idx val="4"/>
          <c:order val="4"/>
          <c:tx>
            <c:v>CED</c:v>
          </c:tx>
          <c:spPr>
            <a:solidFill>
              <a:srgbClr val="CC3300"/>
            </a:solidFill>
            <a:ln>
              <a:noFill/>
            </a:ln>
            <a:effectLst/>
          </c:spPr>
          <c:invertIfNegative val="0"/>
          <c:cat>
            <c:strRef>
              <c:f>'Communication to latex'!$AJ$770:$AJ$778</c:f>
              <c:strCache>
                <c:ptCount val="9"/>
                <c:pt idx="0">
                  <c:v>Drum</c:v>
                </c:pt>
                <c:pt idx="1">
                  <c:v>Hydraulic pistons</c:v>
                </c:pt>
                <c:pt idx="2">
                  <c:v>Hydaulic accumulator</c:v>
                </c:pt>
                <c:pt idx="3">
                  <c:v>Hydraulic extras</c:v>
                </c:pt>
                <c:pt idx="4">
                  <c:v>Hydraulic motors</c:v>
                </c:pt>
                <c:pt idx="5">
                  <c:v>Generator</c:v>
                </c:pt>
                <c:pt idx="6">
                  <c:v>Converter</c:v>
                </c:pt>
                <c:pt idx="7">
                  <c:v>Transformer</c:v>
                </c:pt>
                <c:pt idx="8">
                  <c:v>Electronics</c:v>
                </c:pt>
              </c:strCache>
            </c:strRef>
          </c:cat>
          <c:val>
            <c:numRef>
              <c:f>'Communication to latex'!$AO$770:$AO$778</c:f>
              <c:numCache>
                <c:formatCode>General</c:formatCode>
                <c:ptCount val="9"/>
                <c:pt idx="0">
                  <c:v>6.2687381207591208</c:v>
                </c:pt>
                <c:pt idx="1">
                  <c:v>6.5455929154559289</c:v>
                </c:pt>
                <c:pt idx="2">
                  <c:v>20.156081479751855</c:v>
                </c:pt>
                <c:pt idx="3">
                  <c:v>1.6107371085282043</c:v>
                </c:pt>
                <c:pt idx="4">
                  <c:v>0.55375716064757152</c:v>
                </c:pt>
                <c:pt idx="5">
                  <c:v>2.2718178971580474</c:v>
                </c:pt>
                <c:pt idx="6">
                  <c:v>0.90184347250597918</c:v>
                </c:pt>
                <c:pt idx="7">
                  <c:v>3.3354743929016188</c:v>
                </c:pt>
                <c:pt idx="8">
                  <c:v>0.61617891241178913</c:v>
                </c:pt>
              </c:numCache>
            </c:numRef>
          </c:val>
          <c:extLst>
            <c:ext xmlns:c16="http://schemas.microsoft.com/office/drawing/2014/chart" uri="{C3380CC4-5D6E-409C-BE32-E72D297353CC}">
              <c16:uniqueId val="{00000005-2F4A-4DF9-AD0B-931288980EC5}"/>
            </c:ext>
          </c:extLst>
        </c:ser>
        <c:dLbls>
          <c:showLegendKey val="0"/>
          <c:showVal val="0"/>
          <c:showCatName val="0"/>
          <c:showSerName val="0"/>
          <c:showPercent val="0"/>
          <c:showBubbleSize val="0"/>
        </c:dLbls>
        <c:gapWidth val="150"/>
        <c:axId val="1034926256"/>
        <c:axId val="1034925600"/>
      </c:barChart>
      <c:catAx>
        <c:axId val="49828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8285640"/>
        <c:crosses val="autoZero"/>
        <c:auto val="1"/>
        <c:lblAlgn val="ctr"/>
        <c:lblOffset val="100"/>
        <c:noMultiLvlLbl val="0"/>
      </c:catAx>
      <c:valAx>
        <c:axId val="498285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GB"/>
                  <a:t>GWP [kgCO2eq/MWh]</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8288920"/>
        <c:crosses val="autoZero"/>
        <c:crossBetween val="between"/>
      </c:valAx>
      <c:valAx>
        <c:axId val="1034925600"/>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CED [MJ/MWh]</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34926256"/>
        <c:crosses val="max"/>
        <c:crossBetween val="between"/>
      </c:valAx>
      <c:catAx>
        <c:axId val="1034926256"/>
        <c:scaling>
          <c:orientation val="minMax"/>
        </c:scaling>
        <c:delete val="1"/>
        <c:axPos val="b"/>
        <c:numFmt formatCode="General" sourceLinked="1"/>
        <c:majorTickMark val="out"/>
        <c:minorTickMark val="none"/>
        <c:tickLblPos val="nextTo"/>
        <c:crossAx val="1034925600"/>
        <c:crosses val="autoZero"/>
        <c:auto val="1"/>
        <c:lblAlgn val="ctr"/>
        <c:lblOffset val="100"/>
        <c:noMultiLvlLbl val="0"/>
      </c:catAx>
      <c:spPr>
        <a:noFill/>
        <a:ln>
          <a:noFill/>
        </a:ln>
        <a:effectLst/>
      </c:spPr>
    </c:plotArea>
    <c:legend>
      <c:legendPos val="b"/>
      <c:legendEntry>
        <c:idx val="1"/>
        <c:delete val="1"/>
      </c:legendEntry>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Cumulative GWP</a:t>
            </a:r>
            <a:r>
              <a:rPr lang="en-GB" baseline="0"/>
              <a:t> per life cycle stage, AWE vs HAWT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Graphics1'!$B$28:$B$31</c:f>
              <c:strCache>
                <c:ptCount val="4"/>
                <c:pt idx="0">
                  <c:v>Materials and Manufacturing</c:v>
                </c:pt>
                <c:pt idx="1">
                  <c:v>Installation</c:v>
                </c:pt>
                <c:pt idx="2">
                  <c:v>Operation and Maintenance</c:v>
                </c:pt>
                <c:pt idx="3">
                  <c:v>End Of Life</c:v>
                </c:pt>
              </c:strCache>
            </c:strRef>
          </c:cat>
          <c:val>
            <c:numRef>
              <c:f>'For Graphics1'!$C$28:$C$31</c:f>
              <c:numCache>
                <c:formatCode>General</c:formatCode>
                <c:ptCount val="4"/>
                <c:pt idx="0">
                  <c:v>2923915.7427901062</c:v>
                </c:pt>
                <c:pt idx="1">
                  <c:v>150354.60171699038</c:v>
                </c:pt>
                <c:pt idx="2">
                  <c:v>407209.35577614867</c:v>
                </c:pt>
                <c:pt idx="3">
                  <c:v>125448.92531492772</c:v>
                </c:pt>
              </c:numCache>
            </c:numRef>
          </c:val>
          <c:extLst>
            <c:ext xmlns:c16="http://schemas.microsoft.com/office/drawing/2014/chart" uri="{C3380CC4-5D6E-409C-BE32-E72D297353CC}">
              <c16:uniqueId val="{00000000-36AC-46CD-9DC4-D8FDD75BC741}"/>
            </c:ext>
          </c:extLst>
        </c:ser>
        <c:ser>
          <c:idx val="1"/>
          <c:order val="1"/>
          <c:tx>
            <c:v>HAWT</c:v>
          </c:tx>
          <c:spPr>
            <a:solidFill>
              <a:schemeClr val="accent2"/>
            </a:solidFill>
            <a:ln>
              <a:noFill/>
            </a:ln>
            <a:effectLst/>
          </c:spPr>
          <c:invertIfNegative val="0"/>
          <c:cat>
            <c:strRef>
              <c:f>'For Graphics1'!$B$28:$B$31</c:f>
              <c:strCache>
                <c:ptCount val="4"/>
                <c:pt idx="0">
                  <c:v>Materials and Manufacturing</c:v>
                </c:pt>
                <c:pt idx="1">
                  <c:v>Installation</c:v>
                </c:pt>
                <c:pt idx="2">
                  <c:v>Operation and Maintenance</c:v>
                </c:pt>
                <c:pt idx="3">
                  <c:v>End Of Life</c:v>
                </c:pt>
              </c:strCache>
            </c:strRef>
          </c:cat>
          <c:val>
            <c:numRef>
              <c:f>'For Graphics1'!$D$28:$D$31</c:f>
              <c:numCache>
                <c:formatCode>General</c:formatCode>
                <c:ptCount val="4"/>
                <c:pt idx="0">
                  <c:v>4579436.7456972189</c:v>
                </c:pt>
                <c:pt idx="1">
                  <c:v>289473.08595141373</c:v>
                </c:pt>
                <c:pt idx="2">
                  <c:v>302089.49575280002</c:v>
                </c:pt>
                <c:pt idx="3">
                  <c:v>161522.52249832026</c:v>
                </c:pt>
              </c:numCache>
            </c:numRef>
          </c:val>
          <c:extLst>
            <c:ext xmlns:c16="http://schemas.microsoft.com/office/drawing/2014/chart" uri="{C3380CC4-5D6E-409C-BE32-E72D297353CC}">
              <c16:uniqueId val="{00000001-36AC-46CD-9DC4-D8FDD75BC741}"/>
            </c:ext>
          </c:extLst>
        </c:ser>
        <c:dLbls>
          <c:showLegendKey val="0"/>
          <c:showVal val="0"/>
          <c:showCatName val="0"/>
          <c:showSerName val="0"/>
          <c:showPercent val="0"/>
          <c:showBubbleSize val="0"/>
        </c:dLbls>
        <c:gapWidth val="219"/>
        <c:overlap val="-27"/>
        <c:axId val="711025048"/>
        <c:axId val="711023080"/>
      </c:barChart>
      <c:catAx>
        <c:axId val="711025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11023080"/>
        <c:crosses val="autoZero"/>
        <c:auto val="1"/>
        <c:lblAlgn val="ctr"/>
        <c:lblOffset val="100"/>
        <c:noMultiLvlLbl val="0"/>
      </c:catAx>
      <c:valAx>
        <c:axId val="711023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11025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GB" sz="1600"/>
              <a:t>Cumulative CED per Life cycle stage, AWE vs HAWT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Graphics1'!$B$33:$B$36</c:f>
              <c:strCache>
                <c:ptCount val="4"/>
                <c:pt idx="0">
                  <c:v>Materials and Manufacturing</c:v>
                </c:pt>
                <c:pt idx="1">
                  <c:v>Installation</c:v>
                </c:pt>
                <c:pt idx="2">
                  <c:v>Operation and Maintenance</c:v>
                </c:pt>
                <c:pt idx="3">
                  <c:v>End Of Life</c:v>
                </c:pt>
              </c:strCache>
            </c:strRef>
          </c:cat>
          <c:val>
            <c:numRef>
              <c:f>'For Graphics1'!$C$33:$C$36</c:f>
              <c:numCache>
                <c:formatCode>General</c:formatCode>
                <c:ptCount val="4"/>
                <c:pt idx="0">
                  <c:v>46299294.710681409</c:v>
                </c:pt>
                <c:pt idx="1">
                  <c:v>2155517.7829645397</c:v>
                </c:pt>
                <c:pt idx="2">
                  <c:v>9999003.3832079805</c:v>
                </c:pt>
                <c:pt idx="3">
                  <c:v>504442.7570923508</c:v>
                </c:pt>
              </c:numCache>
            </c:numRef>
          </c:val>
          <c:extLst>
            <c:ext xmlns:c16="http://schemas.microsoft.com/office/drawing/2014/chart" uri="{C3380CC4-5D6E-409C-BE32-E72D297353CC}">
              <c16:uniqueId val="{00000000-A16B-4210-9F1C-668BF70D503C}"/>
            </c:ext>
          </c:extLst>
        </c:ser>
        <c:ser>
          <c:idx val="1"/>
          <c:order val="1"/>
          <c:tx>
            <c:v>HAWT</c:v>
          </c:tx>
          <c:spPr>
            <a:solidFill>
              <a:schemeClr val="accent2"/>
            </a:solidFill>
            <a:ln>
              <a:noFill/>
            </a:ln>
            <a:effectLst/>
          </c:spPr>
          <c:invertIfNegative val="0"/>
          <c:cat>
            <c:strRef>
              <c:f>'For Graphics1'!$B$33:$B$36</c:f>
              <c:strCache>
                <c:ptCount val="4"/>
                <c:pt idx="0">
                  <c:v>Materials and Manufacturing</c:v>
                </c:pt>
                <c:pt idx="1">
                  <c:v>Installation</c:v>
                </c:pt>
                <c:pt idx="2">
                  <c:v>Operation and Maintenance</c:v>
                </c:pt>
                <c:pt idx="3">
                  <c:v>End Of Life</c:v>
                </c:pt>
              </c:strCache>
            </c:strRef>
          </c:cat>
          <c:val>
            <c:numRef>
              <c:f>'For Graphics1'!$D$33:$D$36</c:f>
              <c:numCache>
                <c:formatCode>General</c:formatCode>
                <c:ptCount val="4"/>
                <c:pt idx="0">
                  <c:v>70374651.985281482</c:v>
                </c:pt>
                <c:pt idx="1">
                  <c:v>4160734.1282874565</c:v>
                </c:pt>
                <c:pt idx="2">
                  <c:v>4128140.8</c:v>
                </c:pt>
                <c:pt idx="3">
                  <c:v>1465104.5359953204</c:v>
                </c:pt>
              </c:numCache>
            </c:numRef>
          </c:val>
          <c:extLst>
            <c:ext xmlns:c16="http://schemas.microsoft.com/office/drawing/2014/chart" uri="{C3380CC4-5D6E-409C-BE32-E72D297353CC}">
              <c16:uniqueId val="{00000001-A16B-4210-9F1C-668BF70D503C}"/>
            </c:ext>
          </c:extLst>
        </c:ser>
        <c:dLbls>
          <c:showLegendKey val="0"/>
          <c:showVal val="0"/>
          <c:showCatName val="0"/>
          <c:showSerName val="0"/>
          <c:showPercent val="0"/>
          <c:showBubbleSize val="0"/>
        </c:dLbls>
        <c:gapWidth val="219"/>
        <c:overlap val="-27"/>
        <c:axId val="704216784"/>
        <c:axId val="704217768"/>
      </c:barChart>
      <c:catAx>
        <c:axId val="70421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04217768"/>
        <c:crosses val="autoZero"/>
        <c:auto val="1"/>
        <c:lblAlgn val="ctr"/>
        <c:lblOffset val="100"/>
        <c:noMultiLvlLbl val="0"/>
      </c:catAx>
      <c:valAx>
        <c:axId val="704217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04216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a:t>Preliminary impact</a:t>
            </a:r>
            <a:r>
              <a:rPr lang="en-GB" sz="2000" baseline="0"/>
              <a:t> distribution, AWE.... Not the version used in the report</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chemeClr val="accent1"/>
            </a:solidFill>
            <a:ln>
              <a:noFill/>
            </a:ln>
            <a:effectLst/>
          </c:spPr>
          <c:invertIfNegative val="0"/>
          <c:cat>
            <c:strRef>
              <c:f>'For Graphics1'!$B$141:$B$161</c:f>
              <c:strCache>
                <c:ptCount val="21"/>
                <c:pt idx="0">
                  <c:v>Tether</c:v>
                </c:pt>
                <c:pt idx="1">
                  <c:v>Aircraft</c:v>
                </c:pt>
                <c:pt idx="2">
                  <c:v>Full deck</c:v>
                </c:pt>
                <c:pt idx="3">
                  <c:v>Catapult</c:v>
                </c:pt>
                <c:pt idx="4">
                  <c:v>shifter</c:v>
                </c:pt>
                <c:pt idx="5">
                  <c:v>Yaw</c:v>
                </c:pt>
                <c:pt idx="6">
                  <c:v>Generator </c:v>
                </c:pt>
                <c:pt idx="8">
                  <c:v>Transformer</c:v>
                </c:pt>
                <c:pt idx="9">
                  <c:v>Drum</c:v>
                </c:pt>
                <c:pt idx="10">
                  <c:v>Converter</c:v>
                </c:pt>
                <c:pt idx="11">
                  <c:v>electronics</c:v>
                </c:pt>
                <c:pt idx="12">
                  <c:v>hydro extras</c:v>
                </c:pt>
                <c:pt idx="13">
                  <c:v>hydro accumul</c:v>
                </c:pt>
                <c:pt idx="14">
                  <c:v>hydro motor (drum</c:v>
                </c:pt>
                <c:pt idx="15">
                  <c:v>hydro motor grid</c:v>
                </c:pt>
                <c:pt idx="16">
                  <c:v>Foundations</c:v>
                </c:pt>
                <c:pt idx="17">
                  <c:v>Cables</c:v>
                </c:pt>
                <c:pt idx="18">
                  <c:v>Construction*</c:v>
                </c:pt>
                <c:pt idx="19">
                  <c:v>Servicing*</c:v>
                </c:pt>
                <c:pt idx="20">
                  <c:v>disassembl</c:v>
                </c:pt>
              </c:strCache>
            </c:strRef>
          </c:cat>
          <c:val>
            <c:numRef>
              <c:f>'For Graphics1'!$C$141:$C$161</c:f>
              <c:numCache>
                <c:formatCode>0.00%</c:formatCode>
                <c:ptCount val="21"/>
                <c:pt idx="0">
                  <c:v>9.3754694219522441E-2</c:v>
                </c:pt>
                <c:pt idx="1">
                  <c:v>0.14575762241926624</c:v>
                </c:pt>
                <c:pt idx="2">
                  <c:v>0.14043677572640414</c:v>
                </c:pt>
                <c:pt idx="3">
                  <c:v>3.9292089872040789E-2</c:v>
                </c:pt>
                <c:pt idx="4">
                  <c:v>5.8519476785892442E-2</c:v>
                </c:pt>
                <c:pt idx="5">
                  <c:v>2.2391061759356623E-2</c:v>
                </c:pt>
                <c:pt idx="6">
                  <c:v>2.0839975545254859E-2</c:v>
                </c:pt>
                <c:pt idx="8">
                  <c:v>2.6060686802835856E-2</c:v>
                </c:pt>
                <c:pt idx="9">
                  <c:v>5.3087004066545464E-2</c:v>
                </c:pt>
                <c:pt idx="10">
                  <c:v>8.9776232207424249E-3</c:v>
                </c:pt>
                <c:pt idx="11">
                  <c:v>5.155492059484853E-3</c:v>
                </c:pt>
                <c:pt idx="12">
                  <c:v>7.5857984537806853E-3</c:v>
                </c:pt>
                <c:pt idx="13">
                  <c:v>0.17642437423129079</c:v>
                </c:pt>
                <c:pt idx="14">
                  <c:v>5.8350444080965513E-2</c:v>
                </c:pt>
                <c:pt idx="15">
                  <c:v>4.9364475692496822E-3</c:v>
                </c:pt>
                <c:pt idx="16">
                  <c:v>2.4608203971736655E-2</c:v>
                </c:pt>
                <c:pt idx="17">
                  <c:v>9.7762464339059482E-2</c:v>
                </c:pt>
                <c:pt idx="18">
                  <c:v>1.0019693692720766E-3</c:v>
                </c:pt>
                <c:pt idx="19">
                  <c:v>1.3636336234716346E-2</c:v>
                </c:pt>
                <c:pt idx="20">
                  <c:v>1.4214592725825621E-3</c:v>
                </c:pt>
              </c:numCache>
            </c:numRef>
          </c:val>
          <c:extLst>
            <c:ext xmlns:c16="http://schemas.microsoft.com/office/drawing/2014/chart" uri="{C3380CC4-5D6E-409C-BE32-E72D297353CC}">
              <c16:uniqueId val="{00000000-2879-49A1-BCAA-62AF6F10137E}"/>
            </c:ext>
          </c:extLst>
        </c:ser>
        <c:ser>
          <c:idx val="1"/>
          <c:order val="1"/>
          <c:tx>
            <c:v>CED</c:v>
          </c:tx>
          <c:spPr>
            <a:solidFill>
              <a:schemeClr val="accent2"/>
            </a:solidFill>
            <a:ln>
              <a:noFill/>
            </a:ln>
            <a:effectLst/>
          </c:spPr>
          <c:invertIfNegative val="0"/>
          <c:cat>
            <c:strRef>
              <c:f>'For Graphics1'!$B$141:$B$161</c:f>
              <c:strCache>
                <c:ptCount val="21"/>
                <c:pt idx="0">
                  <c:v>Tether</c:v>
                </c:pt>
                <c:pt idx="1">
                  <c:v>Aircraft</c:v>
                </c:pt>
                <c:pt idx="2">
                  <c:v>Full deck</c:v>
                </c:pt>
                <c:pt idx="3">
                  <c:v>Catapult</c:v>
                </c:pt>
                <c:pt idx="4">
                  <c:v>shifter</c:v>
                </c:pt>
                <c:pt idx="5">
                  <c:v>Yaw</c:v>
                </c:pt>
                <c:pt idx="6">
                  <c:v>Generator </c:v>
                </c:pt>
                <c:pt idx="8">
                  <c:v>Transformer</c:v>
                </c:pt>
                <c:pt idx="9">
                  <c:v>Drum</c:v>
                </c:pt>
                <c:pt idx="10">
                  <c:v>Converter</c:v>
                </c:pt>
                <c:pt idx="11">
                  <c:v>electronics</c:v>
                </c:pt>
                <c:pt idx="12">
                  <c:v>hydro extras</c:v>
                </c:pt>
                <c:pt idx="13">
                  <c:v>hydro accumul</c:v>
                </c:pt>
                <c:pt idx="14">
                  <c:v>hydro motor (drum</c:v>
                </c:pt>
                <c:pt idx="15">
                  <c:v>hydro motor grid</c:v>
                </c:pt>
                <c:pt idx="16">
                  <c:v>Foundations</c:v>
                </c:pt>
                <c:pt idx="17">
                  <c:v>Cables</c:v>
                </c:pt>
                <c:pt idx="18">
                  <c:v>Construction*</c:v>
                </c:pt>
                <c:pt idx="19">
                  <c:v>Servicing*</c:v>
                </c:pt>
                <c:pt idx="20">
                  <c:v>disassembl</c:v>
                </c:pt>
              </c:strCache>
            </c:strRef>
          </c:cat>
          <c:val>
            <c:numRef>
              <c:f>'For Graphics1'!$D$141:$D$161</c:f>
              <c:numCache>
                <c:formatCode>0.00%</c:formatCode>
                <c:ptCount val="21"/>
                <c:pt idx="0">
                  <c:v>0.15876690863973994</c:v>
                </c:pt>
                <c:pt idx="1">
                  <c:v>0.15272867372041657</c:v>
                </c:pt>
                <c:pt idx="2">
                  <c:v>0.12441716730972761</c:v>
                </c:pt>
                <c:pt idx="3">
                  <c:v>3.5398351312781198E-2</c:v>
                </c:pt>
                <c:pt idx="4">
                  <c:v>5.1282730053464023E-2</c:v>
                </c:pt>
                <c:pt idx="5">
                  <c:v>1.9927535935215488E-2</c:v>
                </c:pt>
                <c:pt idx="6">
                  <c:v>1.9078902709563653E-2</c:v>
                </c:pt>
                <c:pt idx="8">
                  <c:v>2.7386709994980933E-2</c:v>
                </c:pt>
                <c:pt idx="9">
                  <c:v>5.1419938941399033E-2</c:v>
                </c:pt>
                <c:pt idx="10">
                  <c:v>7.6004731895352624E-3</c:v>
                </c:pt>
                <c:pt idx="11">
                  <c:v>4.8697461195624219E-3</c:v>
                </c:pt>
                <c:pt idx="12">
                  <c:v>1.4045563175112068E-2</c:v>
                </c:pt>
                <c:pt idx="13">
                  <c:v>0.1648162954682261</c:v>
                </c:pt>
                <c:pt idx="14">
                  <c:v>5.4120302180803707E-2</c:v>
                </c:pt>
                <c:pt idx="15">
                  <c:v>4.5785775644959946E-3</c:v>
                </c:pt>
                <c:pt idx="16">
                  <c:v>1.6257216823932059E-2</c:v>
                </c:pt>
                <c:pt idx="17">
                  <c:v>8.6787661124045221E-2</c:v>
                </c:pt>
                <c:pt idx="18">
                  <c:v>9.122614914357617E-4</c:v>
                </c:pt>
                <c:pt idx="19">
                  <c:v>4.3098084466604656E-3</c:v>
                </c:pt>
                <c:pt idx="20">
                  <c:v>1.2951757989025368E-3</c:v>
                </c:pt>
              </c:numCache>
            </c:numRef>
          </c:val>
          <c:extLst>
            <c:ext xmlns:c16="http://schemas.microsoft.com/office/drawing/2014/chart" uri="{C3380CC4-5D6E-409C-BE32-E72D297353CC}">
              <c16:uniqueId val="{00000002-2879-49A1-BCAA-62AF6F10137E}"/>
            </c:ext>
          </c:extLst>
        </c:ser>
        <c:dLbls>
          <c:showLegendKey val="0"/>
          <c:showVal val="0"/>
          <c:showCatName val="0"/>
          <c:showSerName val="0"/>
          <c:showPercent val="0"/>
          <c:showBubbleSize val="0"/>
        </c:dLbls>
        <c:gapWidth val="219"/>
        <c:overlap val="-27"/>
        <c:axId val="737460960"/>
        <c:axId val="737466864"/>
      </c:barChart>
      <c:catAx>
        <c:axId val="73746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737466864"/>
        <c:crosses val="autoZero"/>
        <c:auto val="1"/>
        <c:lblAlgn val="ctr"/>
        <c:lblOffset val="100"/>
        <c:noMultiLvlLbl val="0"/>
      </c:catAx>
      <c:valAx>
        <c:axId val="7374668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3746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r>
              <a:rPr lang="en-GB" sz="2000" b="0" i="0" baseline="0">
                <a:effectLst/>
              </a:rPr>
              <a:t>GWP per Life Cycle Stage, AWE vs HAWT</a:t>
            </a:r>
            <a:endParaRPr lang="en-GB" sz="2000">
              <a:effectLst/>
            </a:endParaRPr>
          </a:p>
        </c:rich>
      </c:tx>
      <c:layout>
        <c:manualLayout>
          <c:xMode val="edge"/>
          <c:yMode val="edge"/>
          <c:x val="0.1505169263976622"/>
          <c:y val="4.186874040442889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Graphics1'!$B$28:$B$31</c:f>
              <c:strCache>
                <c:ptCount val="4"/>
                <c:pt idx="0">
                  <c:v>Materials and Manufacturing</c:v>
                </c:pt>
                <c:pt idx="1">
                  <c:v>Installation</c:v>
                </c:pt>
                <c:pt idx="2">
                  <c:v>Operation and Maintenance</c:v>
                </c:pt>
                <c:pt idx="3">
                  <c:v>End Of Life</c:v>
                </c:pt>
              </c:strCache>
            </c:strRef>
          </c:cat>
          <c:val>
            <c:numRef>
              <c:f>'For Graphics1'!$E$28:$E$31</c:f>
              <c:numCache>
                <c:formatCode>General</c:formatCode>
                <c:ptCount val="4"/>
                <c:pt idx="0">
                  <c:v>6.3215972714951443</c:v>
                </c:pt>
                <c:pt idx="1">
                  <c:v>0.32507135074415039</c:v>
                </c:pt>
                <c:pt idx="2">
                  <c:v>0.880399361284395</c:v>
                </c:pt>
                <c:pt idx="3">
                  <c:v>0.27122449952203481</c:v>
                </c:pt>
              </c:numCache>
            </c:numRef>
          </c:val>
          <c:extLst>
            <c:ext xmlns:c16="http://schemas.microsoft.com/office/drawing/2014/chart" uri="{C3380CC4-5D6E-409C-BE32-E72D297353CC}">
              <c16:uniqueId val="{00000000-3CDC-45D4-9A42-30FF8B901F5B}"/>
            </c:ext>
          </c:extLst>
        </c:ser>
        <c:ser>
          <c:idx val="1"/>
          <c:order val="1"/>
          <c:tx>
            <c:v>HAWT</c:v>
          </c:tx>
          <c:spPr>
            <a:solidFill>
              <a:schemeClr val="accent2"/>
            </a:solidFill>
            <a:ln>
              <a:noFill/>
            </a:ln>
            <a:effectLst/>
          </c:spPr>
          <c:invertIfNegative val="0"/>
          <c:cat>
            <c:strRef>
              <c:f>'For Graphics1'!$B$28:$B$31</c:f>
              <c:strCache>
                <c:ptCount val="4"/>
                <c:pt idx="0">
                  <c:v>Materials and Manufacturing</c:v>
                </c:pt>
                <c:pt idx="1">
                  <c:v>Installation</c:v>
                </c:pt>
                <c:pt idx="2">
                  <c:v>Operation and Maintenance</c:v>
                </c:pt>
                <c:pt idx="3">
                  <c:v>End Of Life</c:v>
                </c:pt>
              </c:strCache>
            </c:strRef>
          </c:cat>
          <c:val>
            <c:numRef>
              <c:f>'For Graphics1'!$F$28:$F$31</c:f>
              <c:numCache>
                <c:formatCode>General</c:formatCode>
                <c:ptCount val="4"/>
                <c:pt idx="0">
                  <c:v>11.145283831422619</c:v>
                </c:pt>
                <c:pt idx="1">
                  <c:v>0.70451015783057913</c:v>
                </c:pt>
                <c:pt idx="2">
                  <c:v>0.73521556462588233</c:v>
                </c:pt>
                <c:pt idx="3">
                  <c:v>0.39310824854226534</c:v>
                </c:pt>
              </c:numCache>
            </c:numRef>
          </c:val>
          <c:extLst>
            <c:ext xmlns:c16="http://schemas.microsoft.com/office/drawing/2014/chart" uri="{C3380CC4-5D6E-409C-BE32-E72D297353CC}">
              <c16:uniqueId val="{00000001-3CDC-45D4-9A42-30FF8B901F5B}"/>
            </c:ext>
          </c:extLst>
        </c:ser>
        <c:dLbls>
          <c:showLegendKey val="0"/>
          <c:showVal val="0"/>
          <c:showCatName val="0"/>
          <c:showSerName val="0"/>
          <c:showPercent val="0"/>
          <c:showBubbleSize val="0"/>
        </c:dLbls>
        <c:gapWidth val="219"/>
        <c:overlap val="-27"/>
        <c:axId val="705845192"/>
        <c:axId val="705843224"/>
      </c:barChart>
      <c:catAx>
        <c:axId val="705845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05843224"/>
        <c:crosses val="autoZero"/>
        <c:auto val="1"/>
        <c:lblAlgn val="ctr"/>
        <c:lblOffset val="100"/>
        <c:noMultiLvlLbl val="0"/>
      </c:catAx>
      <c:valAx>
        <c:axId val="70584322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GWP [kg CO2 eq/ MWh]</a:t>
                </a:r>
              </a:p>
            </c:rich>
          </c:tx>
          <c:layout>
            <c:manualLayout>
              <c:xMode val="edge"/>
              <c:yMode val="edge"/>
              <c:x val="1.9444444444444445E-2"/>
              <c:y val="0.27923957421988915"/>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05845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b="0" i="0" baseline="0">
                <a:effectLst/>
              </a:rPr>
              <a:t>CED per Life Cycle Stage, AWE vs HAWT</a:t>
            </a:r>
            <a:endParaRPr lang="en-GB" sz="2000">
              <a:effectLst/>
            </a:endParaRPr>
          </a:p>
        </c:rich>
      </c:tx>
      <c:layout>
        <c:manualLayout>
          <c:xMode val="edge"/>
          <c:yMode val="edge"/>
          <c:x val="0.13109914947274345"/>
          <c:y val="3.2738092936485781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Graphics1'!$B$33:$B$36</c:f>
              <c:strCache>
                <c:ptCount val="4"/>
                <c:pt idx="0">
                  <c:v>Materials and Manufacturing</c:v>
                </c:pt>
                <c:pt idx="1">
                  <c:v>Installation</c:v>
                </c:pt>
                <c:pt idx="2">
                  <c:v>Operation and Maintenance</c:v>
                </c:pt>
                <c:pt idx="3">
                  <c:v>End Of Life</c:v>
                </c:pt>
              </c:strCache>
            </c:strRef>
          </c:cat>
          <c:val>
            <c:numRef>
              <c:f>'For Graphics1'!$E$33:$E$36</c:f>
              <c:numCache>
                <c:formatCode>General</c:formatCode>
                <c:ptCount val="4"/>
                <c:pt idx="0">
                  <c:v>100.10052301845815</c:v>
                </c:pt>
                <c:pt idx="1">
                  <c:v>4.6602968533030209</c:v>
                </c:pt>
                <c:pt idx="2">
                  <c:v>21.618157999532958</c:v>
                </c:pt>
                <c:pt idx="3">
                  <c:v>1.0906210155760316</c:v>
                </c:pt>
              </c:numCache>
            </c:numRef>
          </c:val>
          <c:extLst>
            <c:ext xmlns:c16="http://schemas.microsoft.com/office/drawing/2014/chart" uri="{C3380CC4-5D6E-409C-BE32-E72D297353CC}">
              <c16:uniqueId val="{00000000-6946-450F-9125-054AEADCF282}"/>
            </c:ext>
          </c:extLst>
        </c:ser>
        <c:ser>
          <c:idx val="1"/>
          <c:order val="1"/>
          <c:tx>
            <c:v>HAWT</c:v>
          </c:tx>
          <c:spPr>
            <a:solidFill>
              <a:schemeClr val="accent2"/>
            </a:solidFill>
            <a:ln>
              <a:noFill/>
            </a:ln>
            <a:effectLst/>
          </c:spPr>
          <c:invertIfNegative val="0"/>
          <c:cat>
            <c:strRef>
              <c:f>'For Graphics1'!$B$33:$B$36</c:f>
              <c:strCache>
                <c:ptCount val="4"/>
                <c:pt idx="0">
                  <c:v>Materials and Manufacturing</c:v>
                </c:pt>
                <c:pt idx="1">
                  <c:v>Installation</c:v>
                </c:pt>
                <c:pt idx="2">
                  <c:v>Operation and Maintenance</c:v>
                </c:pt>
                <c:pt idx="3">
                  <c:v>End Of Life</c:v>
                </c:pt>
              </c:strCache>
            </c:strRef>
          </c:cat>
          <c:val>
            <c:numRef>
              <c:f>'For Graphics1'!$F$33:$F$36</c:f>
              <c:numCache>
                <c:formatCode>General</c:formatCode>
                <c:ptCount val="4"/>
                <c:pt idx="0">
                  <c:v>171.27553331760996</c:v>
                </c:pt>
                <c:pt idx="1">
                  <c:v>10.126259053675444</c:v>
                </c:pt>
                <c:pt idx="2">
                  <c:v>10.046934474049847</c:v>
                </c:pt>
                <c:pt idx="3">
                  <c:v>3.5657236475020886</c:v>
                </c:pt>
              </c:numCache>
            </c:numRef>
          </c:val>
          <c:extLst>
            <c:ext xmlns:c16="http://schemas.microsoft.com/office/drawing/2014/chart" uri="{C3380CC4-5D6E-409C-BE32-E72D297353CC}">
              <c16:uniqueId val="{00000001-6946-450F-9125-054AEADCF282}"/>
            </c:ext>
          </c:extLst>
        </c:ser>
        <c:dLbls>
          <c:showLegendKey val="0"/>
          <c:showVal val="0"/>
          <c:showCatName val="0"/>
          <c:showSerName val="0"/>
          <c:showPercent val="0"/>
          <c:showBubbleSize val="0"/>
        </c:dLbls>
        <c:gapWidth val="219"/>
        <c:overlap val="-27"/>
        <c:axId val="740733664"/>
        <c:axId val="740735632"/>
      </c:barChart>
      <c:catAx>
        <c:axId val="74073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40735632"/>
        <c:crosses val="autoZero"/>
        <c:auto val="1"/>
        <c:lblAlgn val="ctr"/>
        <c:lblOffset val="100"/>
        <c:noMultiLvlLbl val="0"/>
      </c:catAx>
      <c:valAx>
        <c:axId val="74073563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CED [MJ / MWh]</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40733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Masses,</a:t>
            </a:r>
            <a:r>
              <a:rPr lang="en-GB" baseline="0"/>
              <a:t> replacements included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 Graphics1'!$Q$231</c:f>
              <c:strCache>
                <c:ptCount val="1"/>
                <c:pt idx="0">
                  <c:v>AWE</c:v>
                </c:pt>
              </c:strCache>
            </c:strRef>
          </c:tx>
          <c:spPr>
            <a:solidFill>
              <a:schemeClr val="accent1"/>
            </a:solidFill>
            <a:ln>
              <a:noFill/>
            </a:ln>
            <a:effectLst/>
          </c:spPr>
          <c:invertIfNegative val="0"/>
          <c:cat>
            <c:strRef>
              <c:f>'For Graphics1'!$N$232:$P$237</c:f>
              <c:strCache>
                <c:ptCount val="6"/>
                <c:pt idx="0">
                  <c:v>Tower/tether</c:v>
                </c:pt>
                <c:pt idx="1">
                  <c:v>Aircraft/rotor</c:v>
                </c:pt>
                <c:pt idx="2">
                  <c:v>PGA/Nacelle</c:v>
                </c:pt>
                <c:pt idx="3">
                  <c:v>LLA</c:v>
                </c:pt>
                <c:pt idx="4">
                  <c:v>Foundations</c:v>
                </c:pt>
                <c:pt idx="5">
                  <c:v>BOS</c:v>
                </c:pt>
              </c:strCache>
            </c:strRef>
          </c:cat>
          <c:val>
            <c:numRef>
              <c:f>'For Graphics1'!$Q$232:$Q$237</c:f>
              <c:numCache>
                <c:formatCode>General</c:formatCode>
                <c:ptCount val="6"/>
                <c:pt idx="0">
                  <c:v>30644.766448687267</c:v>
                </c:pt>
                <c:pt idx="1">
                  <c:v>31775.800000000003</c:v>
                </c:pt>
                <c:pt idx="2">
                  <c:v>238735.52666666667</c:v>
                </c:pt>
                <c:pt idx="3">
                  <c:v>228066.69859521228</c:v>
                </c:pt>
                <c:pt idx="4">
                  <c:v>338165.22844337416</c:v>
                </c:pt>
                <c:pt idx="5">
                  <c:v>45579.48</c:v>
                </c:pt>
              </c:numCache>
            </c:numRef>
          </c:val>
          <c:extLst>
            <c:ext xmlns:c16="http://schemas.microsoft.com/office/drawing/2014/chart" uri="{C3380CC4-5D6E-409C-BE32-E72D297353CC}">
              <c16:uniqueId val="{00000000-E2D3-404E-A089-E4500987086C}"/>
            </c:ext>
          </c:extLst>
        </c:ser>
        <c:ser>
          <c:idx val="1"/>
          <c:order val="1"/>
          <c:tx>
            <c:strRef>
              <c:f>'For Graphics1'!$R$231</c:f>
              <c:strCache>
                <c:ptCount val="1"/>
                <c:pt idx="0">
                  <c:v>HAWT</c:v>
                </c:pt>
              </c:strCache>
            </c:strRef>
          </c:tx>
          <c:spPr>
            <a:solidFill>
              <a:schemeClr val="accent2"/>
            </a:solidFill>
            <a:ln>
              <a:noFill/>
            </a:ln>
            <a:effectLst/>
          </c:spPr>
          <c:invertIfNegative val="0"/>
          <c:cat>
            <c:strRef>
              <c:f>'For Graphics1'!$N$232:$P$237</c:f>
              <c:strCache>
                <c:ptCount val="6"/>
                <c:pt idx="0">
                  <c:v>Tower/tether</c:v>
                </c:pt>
                <c:pt idx="1">
                  <c:v>Aircraft/rotor</c:v>
                </c:pt>
                <c:pt idx="2">
                  <c:v>PGA/Nacelle</c:v>
                </c:pt>
                <c:pt idx="3">
                  <c:v>LLA</c:v>
                </c:pt>
                <c:pt idx="4">
                  <c:v>Foundations</c:v>
                </c:pt>
                <c:pt idx="5">
                  <c:v>BOS</c:v>
                </c:pt>
              </c:strCache>
            </c:strRef>
          </c:cat>
          <c:val>
            <c:numRef>
              <c:f>'For Graphics1'!$R$232:$R$237</c:f>
              <c:numCache>
                <c:formatCode>General</c:formatCode>
                <c:ptCount val="6"/>
                <c:pt idx="0">
                  <c:v>600000</c:v>
                </c:pt>
                <c:pt idx="1">
                  <c:v>98900</c:v>
                </c:pt>
                <c:pt idx="2">
                  <c:v>249688.125</c:v>
                </c:pt>
                <c:pt idx="4">
                  <c:v>1715825</c:v>
                </c:pt>
                <c:pt idx="5">
                  <c:v>43685.265299999999</c:v>
                </c:pt>
              </c:numCache>
            </c:numRef>
          </c:val>
          <c:extLst>
            <c:ext xmlns:c16="http://schemas.microsoft.com/office/drawing/2014/chart" uri="{C3380CC4-5D6E-409C-BE32-E72D297353CC}">
              <c16:uniqueId val="{00000001-E2D3-404E-A089-E4500987086C}"/>
            </c:ext>
          </c:extLst>
        </c:ser>
        <c:dLbls>
          <c:showLegendKey val="0"/>
          <c:showVal val="0"/>
          <c:showCatName val="0"/>
          <c:showSerName val="0"/>
          <c:showPercent val="0"/>
          <c:showBubbleSize val="0"/>
        </c:dLbls>
        <c:gapWidth val="219"/>
        <c:overlap val="-27"/>
        <c:axId val="707630776"/>
        <c:axId val="707636352"/>
      </c:barChart>
      <c:catAx>
        <c:axId val="707630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636352"/>
        <c:crosses val="autoZero"/>
        <c:auto val="1"/>
        <c:lblAlgn val="ctr"/>
        <c:lblOffset val="100"/>
        <c:noMultiLvlLbl val="0"/>
      </c:catAx>
      <c:valAx>
        <c:axId val="70763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630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GWP per MWh </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Graphics1'!$D$50:$D$57</c:f>
              <c:strCache>
                <c:ptCount val="8"/>
                <c:pt idx="0">
                  <c:v>Total</c:v>
                </c:pt>
                <c:pt idx="1">
                  <c:v>Tether/Tower</c:v>
                </c:pt>
                <c:pt idx="2">
                  <c:v>Aircraft/Rotor</c:v>
                </c:pt>
                <c:pt idx="3">
                  <c:v>PGA/Nacelle</c:v>
                </c:pt>
                <c:pt idx="4">
                  <c:v>LLA</c:v>
                </c:pt>
                <c:pt idx="5">
                  <c:v>Foundation</c:v>
                </c:pt>
                <c:pt idx="6">
                  <c:v>BOS</c:v>
                </c:pt>
                <c:pt idx="7">
                  <c:v>Other</c:v>
                </c:pt>
              </c:strCache>
            </c:strRef>
          </c:cat>
          <c:val>
            <c:numRef>
              <c:f>'For Graphics1'!$E$50:$E$57</c:f>
              <c:numCache>
                <c:formatCode>General</c:formatCode>
                <c:ptCount val="8"/>
                <c:pt idx="0">
                  <c:v>7.7982924830457252</c:v>
                </c:pt>
                <c:pt idx="1">
                  <c:v>0.73112652718235238</c:v>
                </c:pt>
                <c:pt idx="2">
                  <c:v>1.1366605712587809</c:v>
                </c:pt>
                <c:pt idx="3">
                  <c:v>2.8184420719354972</c:v>
                </c:pt>
                <c:pt idx="4">
                  <c:v>2.0325423061192858</c:v>
                </c:pt>
                <c:pt idx="5">
                  <c:v>0.19190197205404994</c:v>
                </c:pt>
                <c:pt idx="6">
                  <c:v>0.76238029077931335</c:v>
                </c:pt>
                <c:pt idx="7">
                  <c:v>0.12523874371644528</c:v>
                </c:pt>
              </c:numCache>
            </c:numRef>
          </c:val>
          <c:extLst>
            <c:ext xmlns:c16="http://schemas.microsoft.com/office/drawing/2014/chart" uri="{C3380CC4-5D6E-409C-BE32-E72D297353CC}">
              <c16:uniqueId val="{00000000-5C9A-459E-9AB7-FDD7D0E23CFF}"/>
            </c:ext>
          </c:extLst>
        </c:ser>
        <c:ser>
          <c:idx val="1"/>
          <c:order val="1"/>
          <c:tx>
            <c:v>HAWT</c:v>
          </c:tx>
          <c:spPr>
            <a:solidFill>
              <a:schemeClr val="accent2"/>
            </a:solidFill>
            <a:ln>
              <a:noFill/>
            </a:ln>
            <a:effectLst/>
          </c:spPr>
          <c:invertIfNegative val="0"/>
          <c:cat>
            <c:strRef>
              <c:f>'For Graphics1'!$D$50:$D$57</c:f>
              <c:strCache>
                <c:ptCount val="8"/>
                <c:pt idx="0">
                  <c:v>Total</c:v>
                </c:pt>
                <c:pt idx="1">
                  <c:v>Tether/Tower</c:v>
                </c:pt>
                <c:pt idx="2">
                  <c:v>Aircraft/Rotor</c:v>
                </c:pt>
                <c:pt idx="3">
                  <c:v>PGA/Nacelle</c:v>
                </c:pt>
                <c:pt idx="4">
                  <c:v>LLA</c:v>
                </c:pt>
                <c:pt idx="5">
                  <c:v>Foundation</c:v>
                </c:pt>
                <c:pt idx="6">
                  <c:v>BOS</c:v>
                </c:pt>
                <c:pt idx="7">
                  <c:v>Other</c:v>
                </c:pt>
              </c:strCache>
            </c:strRef>
          </c:cat>
          <c:val>
            <c:numRef>
              <c:f>'For Graphics1'!$F$50:$F$57</c:f>
              <c:numCache>
                <c:formatCode>General</c:formatCode>
                <c:ptCount val="8"/>
                <c:pt idx="0">
                  <c:v>12.978117802421345</c:v>
                </c:pt>
                <c:pt idx="1">
                  <c:v>4.847465330730123</c:v>
                </c:pt>
                <c:pt idx="2">
                  <c:v>2.8532606882744838</c:v>
                </c:pt>
                <c:pt idx="3">
                  <c:v>3.0555202807037829</c:v>
                </c:pt>
                <c:pt idx="4">
                  <c:v>0</c:v>
                </c:pt>
                <c:pt idx="5">
                  <c:v>1.2294623422186801</c:v>
                </c:pt>
                <c:pt idx="6">
                  <c:v>0.82546642980335472</c:v>
                </c:pt>
                <c:pt idx="7">
                  <c:v>0.16694273069091942</c:v>
                </c:pt>
              </c:numCache>
            </c:numRef>
          </c:val>
          <c:extLst>
            <c:ext xmlns:c16="http://schemas.microsoft.com/office/drawing/2014/chart" uri="{C3380CC4-5D6E-409C-BE32-E72D297353CC}">
              <c16:uniqueId val="{00000001-5C9A-459E-9AB7-FDD7D0E23CFF}"/>
            </c:ext>
          </c:extLst>
        </c:ser>
        <c:dLbls>
          <c:showLegendKey val="0"/>
          <c:showVal val="0"/>
          <c:showCatName val="0"/>
          <c:showSerName val="0"/>
          <c:showPercent val="0"/>
          <c:showBubbleSize val="0"/>
        </c:dLbls>
        <c:gapWidth val="219"/>
        <c:overlap val="-27"/>
        <c:axId val="730139272"/>
        <c:axId val="730139928"/>
      </c:barChart>
      <c:catAx>
        <c:axId val="730139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30139928"/>
        <c:crosses val="autoZero"/>
        <c:auto val="1"/>
        <c:lblAlgn val="ctr"/>
        <c:lblOffset val="100"/>
        <c:noMultiLvlLbl val="0"/>
      </c:catAx>
      <c:valAx>
        <c:axId val="730139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kg CO2 eq/MWh</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30139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CED per MWh </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Graphics1'!$D$50:$D$57</c:f>
              <c:strCache>
                <c:ptCount val="8"/>
                <c:pt idx="0">
                  <c:v>Total</c:v>
                </c:pt>
                <c:pt idx="1">
                  <c:v>Tether/Tower</c:v>
                </c:pt>
                <c:pt idx="2">
                  <c:v>Aircraft/Rotor</c:v>
                </c:pt>
                <c:pt idx="3">
                  <c:v>PGA/Nacelle</c:v>
                </c:pt>
                <c:pt idx="4">
                  <c:v>LLA</c:v>
                </c:pt>
                <c:pt idx="5">
                  <c:v>Foundation</c:v>
                </c:pt>
                <c:pt idx="6">
                  <c:v>BOS</c:v>
                </c:pt>
                <c:pt idx="7">
                  <c:v>Other</c:v>
                </c:pt>
              </c:strCache>
            </c:strRef>
          </c:cat>
          <c:val>
            <c:numRef>
              <c:f>'For Graphics1'!$G$50:$G$57</c:f>
              <c:numCache>
                <c:formatCode>General</c:formatCode>
                <c:ptCount val="8"/>
                <c:pt idx="0">
                  <c:v>127.46959835462862</c:v>
                </c:pt>
                <c:pt idx="1">
                  <c:v>20.23795407631367</c:v>
                </c:pt>
                <c:pt idx="2">
                  <c:v>19.468262696376627</c:v>
                </c:pt>
                <c:pt idx="3">
                  <c:v>44.348777706983178</c:v>
                </c:pt>
                <c:pt idx="4">
                  <c:v>29.448763973951117</c:v>
                </c:pt>
                <c:pt idx="5">
                  <c:v>2.072300898910731</c:v>
                </c:pt>
                <c:pt idx="6">
                  <c:v>11.062788305619662</c:v>
                </c:pt>
                <c:pt idx="7">
                  <c:v>0.83075069647364808</c:v>
                </c:pt>
              </c:numCache>
            </c:numRef>
          </c:val>
          <c:extLst>
            <c:ext xmlns:c16="http://schemas.microsoft.com/office/drawing/2014/chart" uri="{C3380CC4-5D6E-409C-BE32-E72D297353CC}">
              <c16:uniqueId val="{00000000-8451-4799-81D0-47592CFD7489}"/>
            </c:ext>
          </c:extLst>
        </c:ser>
        <c:ser>
          <c:idx val="1"/>
          <c:order val="1"/>
          <c:tx>
            <c:v>HAWT</c:v>
          </c:tx>
          <c:spPr>
            <a:solidFill>
              <a:schemeClr val="accent2"/>
            </a:solidFill>
            <a:ln>
              <a:noFill/>
            </a:ln>
            <a:effectLst/>
          </c:spPr>
          <c:invertIfNegative val="0"/>
          <c:cat>
            <c:strRef>
              <c:f>'For Graphics1'!$D$50:$D$57</c:f>
              <c:strCache>
                <c:ptCount val="8"/>
                <c:pt idx="0">
                  <c:v>Total</c:v>
                </c:pt>
                <c:pt idx="1">
                  <c:v>Tether/Tower</c:v>
                </c:pt>
                <c:pt idx="2">
                  <c:v>Aircraft/Rotor</c:v>
                </c:pt>
                <c:pt idx="3">
                  <c:v>PGA/Nacelle</c:v>
                </c:pt>
                <c:pt idx="4">
                  <c:v>LLA</c:v>
                </c:pt>
                <c:pt idx="5">
                  <c:v>Foundation</c:v>
                </c:pt>
                <c:pt idx="6">
                  <c:v>BOS</c:v>
                </c:pt>
                <c:pt idx="7">
                  <c:v>Other</c:v>
                </c:pt>
              </c:strCache>
            </c:strRef>
          </c:cat>
          <c:val>
            <c:numRef>
              <c:f>'For Graphics1'!$H$50:$H$57</c:f>
              <c:numCache>
                <c:formatCode>General</c:formatCode>
                <c:ptCount val="8"/>
                <c:pt idx="0">
                  <c:v>195.34738987224273</c:v>
                </c:pt>
                <c:pt idx="1">
                  <c:v>69.135538453738917</c:v>
                </c:pt>
                <c:pt idx="2">
                  <c:v>52.673805429617836</c:v>
                </c:pt>
                <c:pt idx="3">
                  <c:v>46.550043597825656</c:v>
                </c:pt>
                <c:pt idx="4">
                  <c:v>0</c:v>
                </c:pt>
                <c:pt idx="5">
                  <c:v>13.353062051360093</c:v>
                </c:pt>
                <c:pt idx="6">
                  <c:v>11.959254675590689</c:v>
                </c:pt>
                <c:pt idx="7">
                  <c:v>1.6756856641095366</c:v>
                </c:pt>
              </c:numCache>
            </c:numRef>
          </c:val>
          <c:extLst>
            <c:ext xmlns:c16="http://schemas.microsoft.com/office/drawing/2014/chart" uri="{C3380CC4-5D6E-409C-BE32-E72D297353CC}">
              <c16:uniqueId val="{00000001-8451-4799-81D0-47592CFD7489}"/>
            </c:ext>
          </c:extLst>
        </c:ser>
        <c:dLbls>
          <c:showLegendKey val="0"/>
          <c:showVal val="0"/>
          <c:showCatName val="0"/>
          <c:showSerName val="0"/>
          <c:showPercent val="0"/>
          <c:showBubbleSize val="0"/>
        </c:dLbls>
        <c:gapWidth val="219"/>
        <c:overlap val="-27"/>
        <c:axId val="827662768"/>
        <c:axId val="827666048"/>
      </c:barChart>
      <c:catAx>
        <c:axId val="82766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827666048"/>
        <c:crosses val="autoZero"/>
        <c:auto val="1"/>
        <c:lblAlgn val="ctr"/>
        <c:lblOffset val="100"/>
        <c:noMultiLvlLbl val="0"/>
      </c:catAx>
      <c:valAx>
        <c:axId val="82766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MJ/MWh</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827662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Mass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Graphics1'!$D$50:$D$56</c:f>
              <c:strCache>
                <c:ptCount val="7"/>
                <c:pt idx="0">
                  <c:v>Total</c:v>
                </c:pt>
                <c:pt idx="1">
                  <c:v>Tether/Tower</c:v>
                </c:pt>
                <c:pt idx="2">
                  <c:v>Aircraft/Rotor</c:v>
                </c:pt>
                <c:pt idx="3">
                  <c:v>PGA/Nacelle</c:v>
                </c:pt>
                <c:pt idx="4">
                  <c:v>LLA</c:v>
                </c:pt>
                <c:pt idx="5">
                  <c:v>Foundation</c:v>
                </c:pt>
                <c:pt idx="6">
                  <c:v>BOS</c:v>
                </c:pt>
              </c:strCache>
            </c:strRef>
          </c:cat>
          <c:val>
            <c:numRef>
              <c:f>'For Graphics1'!$I$50:$I$56</c:f>
              <c:numCache>
                <c:formatCode>General</c:formatCode>
                <c:ptCount val="7"/>
                <c:pt idx="0">
                  <c:v>912967.5001539404</c:v>
                </c:pt>
                <c:pt idx="1">
                  <c:v>30644.766448687267</c:v>
                </c:pt>
                <c:pt idx="2">
                  <c:v>31775.800000000003</c:v>
                </c:pt>
                <c:pt idx="3">
                  <c:v>238735.52666666667</c:v>
                </c:pt>
                <c:pt idx="4">
                  <c:v>228066.69859521228</c:v>
                </c:pt>
                <c:pt idx="5">
                  <c:v>338165.22844337416</c:v>
                </c:pt>
                <c:pt idx="6">
                  <c:v>45579.48</c:v>
                </c:pt>
              </c:numCache>
            </c:numRef>
          </c:val>
          <c:extLst>
            <c:ext xmlns:c16="http://schemas.microsoft.com/office/drawing/2014/chart" uri="{C3380CC4-5D6E-409C-BE32-E72D297353CC}">
              <c16:uniqueId val="{00000000-897A-48AE-A7C0-83855F837165}"/>
            </c:ext>
          </c:extLst>
        </c:ser>
        <c:ser>
          <c:idx val="1"/>
          <c:order val="1"/>
          <c:tx>
            <c:v>HAWT</c:v>
          </c:tx>
          <c:spPr>
            <a:solidFill>
              <a:schemeClr val="accent2"/>
            </a:solidFill>
            <a:ln>
              <a:noFill/>
            </a:ln>
            <a:effectLst/>
          </c:spPr>
          <c:invertIfNegative val="0"/>
          <c:cat>
            <c:strRef>
              <c:f>'For Graphics1'!$D$50:$D$56</c:f>
              <c:strCache>
                <c:ptCount val="7"/>
                <c:pt idx="0">
                  <c:v>Total</c:v>
                </c:pt>
                <c:pt idx="1">
                  <c:v>Tether/Tower</c:v>
                </c:pt>
                <c:pt idx="2">
                  <c:v>Aircraft/Rotor</c:v>
                </c:pt>
                <c:pt idx="3">
                  <c:v>PGA/Nacelle</c:v>
                </c:pt>
                <c:pt idx="4">
                  <c:v>LLA</c:v>
                </c:pt>
                <c:pt idx="5">
                  <c:v>Foundation</c:v>
                </c:pt>
                <c:pt idx="6">
                  <c:v>BOS</c:v>
                </c:pt>
              </c:strCache>
            </c:strRef>
          </c:cat>
          <c:val>
            <c:numRef>
              <c:f>'For Graphics1'!$J$50:$J$56</c:f>
              <c:numCache>
                <c:formatCode>General</c:formatCode>
                <c:ptCount val="7"/>
                <c:pt idx="0">
                  <c:v>2708098.3903000001</c:v>
                </c:pt>
                <c:pt idx="1">
                  <c:v>600000</c:v>
                </c:pt>
                <c:pt idx="2">
                  <c:v>98900</c:v>
                </c:pt>
                <c:pt idx="3">
                  <c:v>249688.125</c:v>
                </c:pt>
                <c:pt idx="4">
                  <c:v>0</c:v>
                </c:pt>
                <c:pt idx="5">
                  <c:v>1715825</c:v>
                </c:pt>
                <c:pt idx="6">
                  <c:v>43685.265299999999</c:v>
                </c:pt>
              </c:numCache>
            </c:numRef>
          </c:val>
          <c:extLst>
            <c:ext xmlns:c16="http://schemas.microsoft.com/office/drawing/2014/chart" uri="{C3380CC4-5D6E-409C-BE32-E72D297353CC}">
              <c16:uniqueId val="{00000001-897A-48AE-A7C0-83855F837165}"/>
            </c:ext>
          </c:extLst>
        </c:ser>
        <c:dLbls>
          <c:showLegendKey val="0"/>
          <c:showVal val="0"/>
          <c:showCatName val="0"/>
          <c:showSerName val="0"/>
          <c:showPercent val="0"/>
          <c:showBubbleSize val="0"/>
        </c:dLbls>
        <c:gapWidth val="219"/>
        <c:overlap val="-27"/>
        <c:axId val="761334296"/>
        <c:axId val="761332000"/>
      </c:barChart>
      <c:catAx>
        <c:axId val="761334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61332000"/>
        <c:crosses val="autoZero"/>
        <c:auto val="1"/>
        <c:lblAlgn val="ctr"/>
        <c:lblOffset val="100"/>
        <c:noMultiLvlLbl val="0"/>
      </c:catAx>
      <c:valAx>
        <c:axId val="76133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334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Mass [KG/MWh]</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AWE</c:v>
          </c:tx>
          <c:spPr>
            <a:solidFill>
              <a:schemeClr val="accent1"/>
            </a:solidFill>
            <a:ln>
              <a:noFill/>
            </a:ln>
            <a:effectLst/>
          </c:spPr>
          <c:invertIfNegative val="0"/>
          <c:cat>
            <c:strRef>
              <c:f>'For Graphics1'!$D$50:$D$56</c:f>
              <c:strCache>
                <c:ptCount val="7"/>
                <c:pt idx="0">
                  <c:v>Total</c:v>
                </c:pt>
                <c:pt idx="1">
                  <c:v>Tether/Tower</c:v>
                </c:pt>
                <c:pt idx="2">
                  <c:v>Aircraft/Rotor</c:v>
                </c:pt>
                <c:pt idx="3">
                  <c:v>PGA/Nacelle</c:v>
                </c:pt>
                <c:pt idx="4">
                  <c:v>LLA</c:v>
                </c:pt>
                <c:pt idx="5">
                  <c:v>Foundation</c:v>
                </c:pt>
                <c:pt idx="6">
                  <c:v>BOS</c:v>
                </c:pt>
              </c:strCache>
            </c:strRef>
          </c:cat>
          <c:val>
            <c:numRef>
              <c:f>'For Graphics1'!$K$50:$K$56</c:f>
              <c:numCache>
                <c:formatCode>General</c:formatCode>
                <c:ptCount val="7"/>
                <c:pt idx="0">
                  <c:v>1.9738642853058419</c:v>
                </c:pt>
                <c:pt idx="1">
                  <c:v>6.625494337356283E-2</c:v>
                </c:pt>
                <c:pt idx="2">
                  <c:v>6.8700273280752733E-2</c:v>
                </c:pt>
                <c:pt idx="3">
                  <c:v>0.51615367430007841</c:v>
                </c:pt>
                <c:pt idx="4">
                  <c:v>0.49308733437805341</c:v>
                </c:pt>
                <c:pt idx="5">
                  <c:v>0.73112379886920176</c:v>
                </c:pt>
                <c:pt idx="6">
                  <c:v>9.8544261104192621E-2</c:v>
                </c:pt>
              </c:numCache>
            </c:numRef>
          </c:val>
          <c:extLst>
            <c:ext xmlns:c16="http://schemas.microsoft.com/office/drawing/2014/chart" uri="{C3380CC4-5D6E-409C-BE32-E72D297353CC}">
              <c16:uniqueId val="{00000000-2A6D-440B-B752-F3DF92BC2D7F}"/>
            </c:ext>
          </c:extLst>
        </c:ser>
        <c:ser>
          <c:idx val="1"/>
          <c:order val="1"/>
          <c:tx>
            <c:v>HAWT</c:v>
          </c:tx>
          <c:spPr>
            <a:solidFill>
              <a:schemeClr val="accent2"/>
            </a:solidFill>
            <a:ln>
              <a:noFill/>
            </a:ln>
            <a:effectLst/>
          </c:spPr>
          <c:invertIfNegative val="0"/>
          <c:cat>
            <c:strRef>
              <c:f>'For Graphics1'!$D$50:$D$56</c:f>
              <c:strCache>
                <c:ptCount val="7"/>
                <c:pt idx="0">
                  <c:v>Total</c:v>
                </c:pt>
                <c:pt idx="1">
                  <c:v>Tether/Tower</c:v>
                </c:pt>
                <c:pt idx="2">
                  <c:v>Aircraft/Rotor</c:v>
                </c:pt>
                <c:pt idx="3">
                  <c:v>PGA/Nacelle</c:v>
                </c:pt>
                <c:pt idx="4">
                  <c:v>LLA</c:v>
                </c:pt>
                <c:pt idx="5">
                  <c:v>Foundation</c:v>
                </c:pt>
                <c:pt idx="6">
                  <c:v>BOS</c:v>
                </c:pt>
              </c:strCache>
            </c:strRef>
          </c:cat>
          <c:val>
            <c:numRef>
              <c:f>'For Graphics1'!$L$50:$L$56</c:f>
              <c:numCache>
                <c:formatCode>General</c:formatCode>
                <c:ptCount val="7"/>
                <c:pt idx="0">
                  <c:v>6.5908815601987145</c:v>
                </c:pt>
                <c:pt idx="1">
                  <c:v>1.4602604359884983</c:v>
                </c:pt>
                <c:pt idx="2">
                  <c:v>0.24069959519877082</c:v>
                </c:pt>
                <c:pt idx="3">
                  <c:v>0.60768281712275118</c:v>
                </c:pt>
                <c:pt idx="4">
                  <c:v>0</c:v>
                </c:pt>
                <c:pt idx="5">
                  <c:v>4.1759189376332753</c:v>
                </c:pt>
                <c:pt idx="6">
                  <c:v>0.10631977425541869</c:v>
                </c:pt>
              </c:numCache>
            </c:numRef>
          </c:val>
          <c:extLst>
            <c:ext xmlns:c16="http://schemas.microsoft.com/office/drawing/2014/chart" uri="{C3380CC4-5D6E-409C-BE32-E72D297353CC}">
              <c16:uniqueId val="{00000001-2A6D-440B-B752-F3DF92BC2D7F}"/>
            </c:ext>
          </c:extLst>
        </c:ser>
        <c:dLbls>
          <c:showLegendKey val="0"/>
          <c:showVal val="0"/>
          <c:showCatName val="0"/>
          <c:showSerName val="0"/>
          <c:showPercent val="0"/>
          <c:showBubbleSize val="0"/>
        </c:dLbls>
        <c:gapWidth val="219"/>
        <c:overlap val="-27"/>
        <c:axId val="711360008"/>
        <c:axId val="711352136"/>
      </c:barChart>
      <c:catAx>
        <c:axId val="711360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11352136"/>
        <c:crosses val="autoZero"/>
        <c:auto val="1"/>
        <c:lblAlgn val="ctr"/>
        <c:lblOffset val="100"/>
        <c:noMultiLvlLbl val="0"/>
      </c:catAx>
      <c:valAx>
        <c:axId val="711352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Kg / MWh</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11360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Mass per mwh, excluding foundations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('For Graphics1'!$D$51:$D$54,'For Graphics1'!$D$56)</c:f>
              <c:strCache>
                <c:ptCount val="5"/>
                <c:pt idx="0">
                  <c:v>Tether/Tower</c:v>
                </c:pt>
                <c:pt idx="1">
                  <c:v>Aircraft/Rotor</c:v>
                </c:pt>
                <c:pt idx="2">
                  <c:v>PGA/Nacelle</c:v>
                </c:pt>
                <c:pt idx="3">
                  <c:v>LLA</c:v>
                </c:pt>
                <c:pt idx="4">
                  <c:v>BOS</c:v>
                </c:pt>
              </c:strCache>
            </c:strRef>
          </c:cat>
          <c:val>
            <c:numRef>
              <c:f>('For Graphics1'!$K$51:$K$54,'For Graphics1'!$K$56)</c:f>
              <c:numCache>
                <c:formatCode>General</c:formatCode>
                <c:ptCount val="5"/>
                <c:pt idx="0">
                  <c:v>6.625494337356283E-2</c:v>
                </c:pt>
                <c:pt idx="1">
                  <c:v>6.8700273280752733E-2</c:v>
                </c:pt>
                <c:pt idx="2">
                  <c:v>0.51615367430007841</c:v>
                </c:pt>
                <c:pt idx="3">
                  <c:v>0.49308733437805341</c:v>
                </c:pt>
                <c:pt idx="4">
                  <c:v>9.8544261104192621E-2</c:v>
                </c:pt>
              </c:numCache>
            </c:numRef>
          </c:val>
          <c:extLst>
            <c:ext xmlns:c16="http://schemas.microsoft.com/office/drawing/2014/chart" uri="{C3380CC4-5D6E-409C-BE32-E72D297353CC}">
              <c16:uniqueId val="{00000000-F363-44FF-A8CF-6D6D3FBE028C}"/>
            </c:ext>
          </c:extLst>
        </c:ser>
        <c:ser>
          <c:idx val="1"/>
          <c:order val="1"/>
          <c:spPr>
            <a:solidFill>
              <a:schemeClr val="accent2"/>
            </a:solidFill>
            <a:ln>
              <a:noFill/>
            </a:ln>
            <a:effectLst/>
          </c:spPr>
          <c:invertIfNegative val="0"/>
          <c:cat>
            <c:strRef>
              <c:f>('For Graphics1'!$D$51:$D$54,'For Graphics1'!$D$56)</c:f>
              <c:strCache>
                <c:ptCount val="5"/>
                <c:pt idx="0">
                  <c:v>Tether/Tower</c:v>
                </c:pt>
                <c:pt idx="1">
                  <c:v>Aircraft/Rotor</c:v>
                </c:pt>
                <c:pt idx="2">
                  <c:v>PGA/Nacelle</c:v>
                </c:pt>
                <c:pt idx="3">
                  <c:v>LLA</c:v>
                </c:pt>
                <c:pt idx="4">
                  <c:v>BOS</c:v>
                </c:pt>
              </c:strCache>
            </c:strRef>
          </c:cat>
          <c:val>
            <c:numRef>
              <c:f>('For Graphics1'!$L$51:$L$54,'For Graphics1'!$L$56)</c:f>
              <c:numCache>
                <c:formatCode>General</c:formatCode>
                <c:ptCount val="5"/>
                <c:pt idx="0">
                  <c:v>1.4602604359884983</c:v>
                </c:pt>
                <c:pt idx="1">
                  <c:v>0.24069959519877082</c:v>
                </c:pt>
                <c:pt idx="2">
                  <c:v>0.60768281712275118</c:v>
                </c:pt>
                <c:pt idx="3">
                  <c:v>0</c:v>
                </c:pt>
                <c:pt idx="4">
                  <c:v>0.10631977425541869</c:v>
                </c:pt>
              </c:numCache>
            </c:numRef>
          </c:val>
          <c:extLst>
            <c:ext xmlns:c16="http://schemas.microsoft.com/office/drawing/2014/chart" uri="{C3380CC4-5D6E-409C-BE32-E72D297353CC}">
              <c16:uniqueId val="{00000001-F363-44FF-A8CF-6D6D3FBE028C}"/>
            </c:ext>
          </c:extLst>
        </c:ser>
        <c:dLbls>
          <c:showLegendKey val="0"/>
          <c:showVal val="0"/>
          <c:showCatName val="0"/>
          <c:showSerName val="0"/>
          <c:showPercent val="0"/>
          <c:showBubbleSize val="0"/>
        </c:dLbls>
        <c:gapWidth val="219"/>
        <c:overlap val="-27"/>
        <c:axId val="761787928"/>
        <c:axId val="761779400"/>
      </c:barChart>
      <c:catAx>
        <c:axId val="761787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61779400"/>
        <c:crosses val="autoZero"/>
        <c:auto val="1"/>
        <c:lblAlgn val="ctr"/>
        <c:lblOffset val="100"/>
        <c:noMultiLvlLbl val="0"/>
      </c:catAx>
      <c:valAx>
        <c:axId val="761779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61787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Mass per MWh</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'For Graphics1'!$D$51</c:f>
              <c:strCache>
                <c:ptCount val="1"/>
                <c:pt idx="0">
                  <c:v>Tether/Tower</c:v>
                </c:pt>
              </c:strCache>
            </c:strRef>
          </c:tx>
          <c:spPr>
            <a:solidFill>
              <a:schemeClr val="accent1"/>
            </a:solidFill>
            <a:ln>
              <a:noFill/>
            </a:ln>
            <a:effectLst/>
          </c:spPr>
          <c:invertIfNegative val="0"/>
          <c:cat>
            <c:strRef>
              <c:f>'For Graphics1'!$Q$231:$R$231</c:f>
              <c:strCache>
                <c:ptCount val="2"/>
                <c:pt idx="0">
                  <c:v>AWE</c:v>
                </c:pt>
                <c:pt idx="1">
                  <c:v>HAWT</c:v>
                </c:pt>
              </c:strCache>
            </c:strRef>
          </c:cat>
          <c:val>
            <c:numRef>
              <c:f>'For Graphics1'!$K$51:$L$51</c:f>
              <c:numCache>
                <c:formatCode>General</c:formatCode>
                <c:ptCount val="2"/>
                <c:pt idx="0">
                  <c:v>6.625494337356283E-2</c:v>
                </c:pt>
                <c:pt idx="1">
                  <c:v>1.4602604359884983</c:v>
                </c:pt>
              </c:numCache>
            </c:numRef>
          </c:val>
          <c:extLst>
            <c:ext xmlns:c16="http://schemas.microsoft.com/office/drawing/2014/chart" uri="{C3380CC4-5D6E-409C-BE32-E72D297353CC}">
              <c16:uniqueId val="{00000000-6277-4C55-858B-EC9A6F94172A}"/>
            </c:ext>
          </c:extLst>
        </c:ser>
        <c:ser>
          <c:idx val="1"/>
          <c:order val="1"/>
          <c:tx>
            <c:strRef>
              <c:f>'For Graphics1'!$D$52</c:f>
              <c:strCache>
                <c:ptCount val="1"/>
                <c:pt idx="0">
                  <c:v>Aircraft/Rotor</c:v>
                </c:pt>
              </c:strCache>
            </c:strRef>
          </c:tx>
          <c:spPr>
            <a:solidFill>
              <a:schemeClr val="accent2"/>
            </a:solidFill>
            <a:ln>
              <a:noFill/>
            </a:ln>
            <a:effectLst/>
          </c:spPr>
          <c:invertIfNegative val="0"/>
          <c:cat>
            <c:strRef>
              <c:f>'For Graphics1'!$Q$231:$R$231</c:f>
              <c:strCache>
                <c:ptCount val="2"/>
                <c:pt idx="0">
                  <c:v>AWE</c:v>
                </c:pt>
                <c:pt idx="1">
                  <c:v>HAWT</c:v>
                </c:pt>
              </c:strCache>
            </c:strRef>
          </c:cat>
          <c:val>
            <c:numRef>
              <c:f>'For Graphics1'!$K$52:$L$52</c:f>
              <c:numCache>
                <c:formatCode>General</c:formatCode>
                <c:ptCount val="2"/>
                <c:pt idx="0">
                  <c:v>6.8700273280752733E-2</c:v>
                </c:pt>
                <c:pt idx="1">
                  <c:v>0.24069959519877082</c:v>
                </c:pt>
              </c:numCache>
            </c:numRef>
          </c:val>
          <c:extLst>
            <c:ext xmlns:c16="http://schemas.microsoft.com/office/drawing/2014/chart" uri="{C3380CC4-5D6E-409C-BE32-E72D297353CC}">
              <c16:uniqueId val="{00000001-6277-4C55-858B-EC9A6F94172A}"/>
            </c:ext>
          </c:extLst>
        </c:ser>
        <c:ser>
          <c:idx val="2"/>
          <c:order val="2"/>
          <c:tx>
            <c:strRef>
              <c:f>'For Graphics1'!$D$53</c:f>
              <c:strCache>
                <c:ptCount val="1"/>
                <c:pt idx="0">
                  <c:v>PGA/Nacelle</c:v>
                </c:pt>
              </c:strCache>
            </c:strRef>
          </c:tx>
          <c:spPr>
            <a:solidFill>
              <a:schemeClr val="accent3"/>
            </a:solidFill>
            <a:ln>
              <a:noFill/>
            </a:ln>
            <a:effectLst/>
          </c:spPr>
          <c:invertIfNegative val="0"/>
          <c:cat>
            <c:strRef>
              <c:f>'For Graphics1'!$Q$231:$R$231</c:f>
              <c:strCache>
                <c:ptCount val="2"/>
                <c:pt idx="0">
                  <c:v>AWE</c:v>
                </c:pt>
                <c:pt idx="1">
                  <c:v>HAWT</c:v>
                </c:pt>
              </c:strCache>
            </c:strRef>
          </c:cat>
          <c:val>
            <c:numRef>
              <c:f>'For Graphics1'!$K$53:$L$53</c:f>
              <c:numCache>
                <c:formatCode>General</c:formatCode>
                <c:ptCount val="2"/>
                <c:pt idx="0">
                  <c:v>0.51615367430007841</c:v>
                </c:pt>
                <c:pt idx="1">
                  <c:v>0.60768281712275118</c:v>
                </c:pt>
              </c:numCache>
            </c:numRef>
          </c:val>
          <c:extLst>
            <c:ext xmlns:c16="http://schemas.microsoft.com/office/drawing/2014/chart" uri="{C3380CC4-5D6E-409C-BE32-E72D297353CC}">
              <c16:uniqueId val="{00000003-6277-4C55-858B-EC9A6F94172A}"/>
            </c:ext>
          </c:extLst>
        </c:ser>
        <c:ser>
          <c:idx val="3"/>
          <c:order val="3"/>
          <c:tx>
            <c:strRef>
              <c:f>'For Graphics1'!$D$54</c:f>
              <c:strCache>
                <c:ptCount val="1"/>
                <c:pt idx="0">
                  <c:v>LLA</c:v>
                </c:pt>
              </c:strCache>
            </c:strRef>
          </c:tx>
          <c:spPr>
            <a:solidFill>
              <a:schemeClr val="accent4"/>
            </a:solidFill>
            <a:ln>
              <a:noFill/>
            </a:ln>
            <a:effectLst/>
          </c:spPr>
          <c:invertIfNegative val="0"/>
          <c:cat>
            <c:strRef>
              <c:f>'For Graphics1'!$Q$231:$R$231</c:f>
              <c:strCache>
                <c:ptCount val="2"/>
                <c:pt idx="0">
                  <c:v>AWE</c:v>
                </c:pt>
                <c:pt idx="1">
                  <c:v>HAWT</c:v>
                </c:pt>
              </c:strCache>
            </c:strRef>
          </c:cat>
          <c:val>
            <c:numRef>
              <c:f>'For Graphics1'!$K$54:$L$54</c:f>
              <c:numCache>
                <c:formatCode>General</c:formatCode>
                <c:ptCount val="2"/>
                <c:pt idx="0">
                  <c:v>0.49308733437805341</c:v>
                </c:pt>
                <c:pt idx="1">
                  <c:v>0</c:v>
                </c:pt>
              </c:numCache>
            </c:numRef>
          </c:val>
          <c:extLst>
            <c:ext xmlns:c16="http://schemas.microsoft.com/office/drawing/2014/chart" uri="{C3380CC4-5D6E-409C-BE32-E72D297353CC}">
              <c16:uniqueId val="{00000004-6277-4C55-858B-EC9A6F94172A}"/>
            </c:ext>
          </c:extLst>
        </c:ser>
        <c:ser>
          <c:idx val="4"/>
          <c:order val="4"/>
          <c:tx>
            <c:strRef>
              <c:f>'For Graphics1'!$D$55</c:f>
              <c:strCache>
                <c:ptCount val="1"/>
                <c:pt idx="0">
                  <c:v>Foundation</c:v>
                </c:pt>
              </c:strCache>
            </c:strRef>
          </c:tx>
          <c:spPr>
            <a:solidFill>
              <a:schemeClr val="accent5"/>
            </a:solidFill>
            <a:ln>
              <a:noFill/>
            </a:ln>
            <a:effectLst/>
          </c:spPr>
          <c:invertIfNegative val="0"/>
          <c:cat>
            <c:strRef>
              <c:f>'For Graphics1'!$Q$231:$R$231</c:f>
              <c:strCache>
                <c:ptCount val="2"/>
                <c:pt idx="0">
                  <c:v>AWE</c:v>
                </c:pt>
                <c:pt idx="1">
                  <c:v>HAWT</c:v>
                </c:pt>
              </c:strCache>
            </c:strRef>
          </c:cat>
          <c:val>
            <c:numRef>
              <c:f>'For Graphics1'!$K$55:$L$55</c:f>
              <c:numCache>
                <c:formatCode>General</c:formatCode>
                <c:ptCount val="2"/>
                <c:pt idx="0">
                  <c:v>0.73112379886920176</c:v>
                </c:pt>
                <c:pt idx="1">
                  <c:v>4.1759189376332753</c:v>
                </c:pt>
              </c:numCache>
            </c:numRef>
          </c:val>
          <c:extLst>
            <c:ext xmlns:c16="http://schemas.microsoft.com/office/drawing/2014/chart" uri="{C3380CC4-5D6E-409C-BE32-E72D297353CC}">
              <c16:uniqueId val="{00000005-6277-4C55-858B-EC9A6F94172A}"/>
            </c:ext>
          </c:extLst>
        </c:ser>
        <c:ser>
          <c:idx val="5"/>
          <c:order val="5"/>
          <c:tx>
            <c:strRef>
              <c:f>'For Graphics1'!$D$56</c:f>
              <c:strCache>
                <c:ptCount val="1"/>
                <c:pt idx="0">
                  <c:v>BOS</c:v>
                </c:pt>
              </c:strCache>
            </c:strRef>
          </c:tx>
          <c:spPr>
            <a:solidFill>
              <a:schemeClr val="accent6"/>
            </a:solidFill>
            <a:ln>
              <a:noFill/>
            </a:ln>
            <a:effectLst/>
          </c:spPr>
          <c:invertIfNegative val="0"/>
          <c:cat>
            <c:strRef>
              <c:f>'For Graphics1'!$Q$231:$R$231</c:f>
              <c:strCache>
                <c:ptCount val="2"/>
                <c:pt idx="0">
                  <c:v>AWE</c:v>
                </c:pt>
                <c:pt idx="1">
                  <c:v>HAWT</c:v>
                </c:pt>
              </c:strCache>
            </c:strRef>
          </c:cat>
          <c:val>
            <c:numRef>
              <c:f>'For Graphics1'!$K$56:$L$56</c:f>
              <c:numCache>
                <c:formatCode>General</c:formatCode>
                <c:ptCount val="2"/>
                <c:pt idx="0">
                  <c:v>9.8544261104192621E-2</c:v>
                </c:pt>
                <c:pt idx="1">
                  <c:v>0.10631977425541869</c:v>
                </c:pt>
              </c:numCache>
            </c:numRef>
          </c:val>
          <c:extLst>
            <c:ext xmlns:c16="http://schemas.microsoft.com/office/drawing/2014/chart" uri="{C3380CC4-5D6E-409C-BE32-E72D297353CC}">
              <c16:uniqueId val="{00000006-6277-4C55-858B-EC9A6F94172A}"/>
            </c:ext>
          </c:extLst>
        </c:ser>
        <c:dLbls>
          <c:showLegendKey val="0"/>
          <c:showVal val="0"/>
          <c:showCatName val="0"/>
          <c:showSerName val="0"/>
          <c:showPercent val="0"/>
          <c:showBubbleSize val="0"/>
        </c:dLbls>
        <c:gapWidth val="150"/>
        <c:overlap val="100"/>
        <c:axId val="591205640"/>
        <c:axId val="591207280"/>
      </c:barChart>
      <c:catAx>
        <c:axId val="591205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91207280"/>
        <c:crosses val="autoZero"/>
        <c:auto val="1"/>
        <c:lblAlgn val="ctr"/>
        <c:lblOffset val="100"/>
        <c:noMultiLvlLbl val="0"/>
      </c:catAx>
      <c:valAx>
        <c:axId val="5912072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91205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Masses</a:t>
            </a:r>
            <a:r>
              <a:rPr lang="en-GB" baseline="0"/>
              <a:t> of AWE</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1718842487047854"/>
          <c:y val="0.10098981127886239"/>
          <c:w val="0.49433385605928315"/>
          <c:h val="0.87254474781295432"/>
        </c:manualLayout>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857-492A-BA17-550B7B2AE08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C857-492A-BA17-550B7B2AE08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ADE-41B6-826A-F60A933C627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ADE-41B6-826A-F60A933C627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ADE-41B6-826A-F60A933C627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857-492A-BA17-550B7B2AE084}"/>
              </c:ext>
            </c:extLst>
          </c:dPt>
          <c:dLbls>
            <c:dLbl>
              <c:idx val="0"/>
              <c:layout>
                <c:manualLayout>
                  <c:x val="-1.0242366174411349E-2"/>
                  <c:y val="8.139572332114949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857-492A-BA17-550B7B2AE084}"/>
                </c:ext>
              </c:extLst>
            </c:dLbl>
            <c:dLbl>
              <c:idx val="1"/>
              <c:layout>
                <c:manualLayout>
                  <c:x val="-2.312651796149115E-2"/>
                  <c:y val="8.032554955099681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857-492A-BA17-550B7B2AE084}"/>
                </c:ext>
              </c:extLst>
            </c:dLbl>
            <c:dLbl>
              <c:idx val="2"/>
              <c:layout>
                <c:manualLayout>
                  <c:x val="-7.4265043414946344E-2"/>
                  <c:y val="9.568308307041549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ADE-41B6-826A-F60A933C6273}"/>
                </c:ext>
              </c:extLst>
            </c:dLbl>
            <c:dLbl>
              <c:idx val="3"/>
              <c:layout>
                <c:manualLayout>
                  <c:x val="4.3411082512815301E-2"/>
                  <c:y val="-9.984272291308554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ADE-41B6-826A-F60A933C6273}"/>
                </c:ext>
              </c:extLst>
            </c:dLbl>
            <c:dLbl>
              <c:idx val="4"/>
              <c:layout>
                <c:manualLayout>
                  <c:x val="5.7512662357281162E-2"/>
                  <c:y val="-8.7587916603361401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3ADE-41B6-826A-F60A933C6273}"/>
                </c:ext>
              </c:extLst>
            </c:dLbl>
            <c:dLbl>
              <c:idx val="5"/>
              <c:layout>
                <c:manualLayout>
                  <c:x val="6.0449923544487645E-2"/>
                  <c:y val="8.115058172819901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857-492A-BA17-550B7B2AE084}"/>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'For Graphics1'!$W$237:$W$242</c:f>
              <c:strCache>
                <c:ptCount val="6"/>
                <c:pt idx="0">
                  <c:v>Tether</c:v>
                </c:pt>
                <c:pt idx="1">
                  <c:v>Aircraft</c:v>
                </c:pt>
                <c:pt idx="2">
                  <c:v>PGA</c:v>
                </c:pt>
                <c:pt idx="3">
                  <c:v>Foundations</c:v>
                </c:pt>
                <c:pt idx="4">
                  <c:v>BOS</c:v>
                </c:pt>
                <c:pt idx="5">
                  <c:v>LLA</c:v>
                </c:pt>
              </c:strCache>
            </c:strRef>
          </c:cat>
          <c:val>
            <c:numRef>
              <c:f>'For Graphics1'!$Y$237:$Y$242</c:f>
              <c:numCache>
                <c:formatCode>General</c:formatCode>
                <c:ptCount val="6"/>
                <c:pt idx="0">
                  <c:v>30644.766448687267</c:v>
                </c:pt>
                <c:pt idx="1">
                  <c:v>31775.800000000003</c:v>
                </c:pt>
                <c:pt idx="2">
                  <c:v>238735.52666666667</c:v>
                </c:pt>
                <c:pt idx="3">
                  <c:v>338165.22844337416</c:v>
                </c:pt>
                <c:pt idx="4">
                  <c:v>45579.48</c:v>
                </c:pt>
                <c:pt idx="5">
                  <c:v>228066.69859521228</c:v>
                </c:pt>
              </c:numCache>
            </c:numRef>
          </c:val>
          <c:extLst>
            <c:ext xmlns:c16="http://schemas.microsoft.com/office/drawing/2014/chart" uri="{C3380CC4-5D6E-409C-BE32-E72D297353CC}">
              <c16:uniqueId val="{00000000-C857-492A-BA17-550B7B2AE08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HAWT,</a:t>
            </a:r>
            <a:r>
              <a:rPr lang="en-GB" baseline="0"/>
              <a:t> </a:t>
            </a:r>
          </a:p>
          <a:p>
            <a:pPr>
              <a:defRPr/>
            </a:pPr>
            <a:r>
              <a:rPr lang="en-GB"/>
              <a:t>Replacements</a:t>
            </a:r>
            <a:r>
              <a:rPr lang="en-GB" baseline="0"/>
              <a:t>, transport and EOL included in the components</a:t>
            </a:r>
            <a:r>
              <a:rPr lang="en-GB"/>
              <a:t>l....</a:t>
            </a:r>
            <a:r>
              <a:rPr lang="en-GB" baseline="0"/>
              <a:t> not the version in the report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'For Graphics1'!$B$182:$B$203</c15:sqref>
                  </c15:fullRef>
                </c:ext>
              </c:extLst>
              <c:f>('For Graphics1'!$B$182:$B$194,'For Graphics1'!$B$196:$B$203)</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OenM*</c:v>
                </c:pt>
                <c:pt idx="20">
                  <c:v>disassembly</c:v>
                </c:pt>
              </c:strCache>
            </c:strRef>
          </c:cat>
          <c:val>
            <c:numRef>
              <c:extLst>
                <c:ext xmlns:c15="http://schemas.microsoft.com/office/drawing/2012/chart" uri="{02D57815-91ED-43cb-92C2-25804820EDAC}">
                  <c15:fullRef>
                    <c15:sqref>'For Graphics1'!$D$182:$D$203</c15:sqref>
                  </c15:fullRef>
                </c:ext>
              </c:extLst>
              <c:f>('For Graphics1'!$D$182:$D$194,'For Graphics1'!$D$196:$D$203)</c:f>
              <c:numCache>
                <c:formatCode>0.00%</c:formatCode>
                <c:ptCount val="21"/>
                <c:pt idx="0">
                  <c:v>0.37351065882802548</c:v>
                </c:pt>
                <c:pt idx="1">
                  <c:v>0.17526289701715281</c:v>
                </c:pt>
                <c:pt idx="2">
                  <c:v>2.3216577498169539E-2</c:v>
                </c:pt>
                <c:pt idx="3">
                  <c:v>2.4135423438321531E-3</c:v>
                </c:pt>
                <c:pt idx="4">
                  <c:v>1.8958638959699819E-2</c:v>
                </c:pt>
                <c:pt idx="5">
                  <c:v>1.2962916896956146E-2</c:v>
                </c:pt>
                <c:pt idx="6">
                  <c:v>9.590811251801519E-2</c:v>
                </c:pt>
                <c:pt idx="7">
                  <c:v>1.700834961430692E-2</c:v>
                </c:pt>
                <c:pt idx="8">
                  <c:v>4.2639248074368046E-3</c:v>
                </c:pt>
                <c:pt idx="9">
                  <c:v>7.9381685590203394E-3</c:v>
                </c:pt>
                <c:pt idx="10">
                  <c:v>2.180850280999903E-2</c:v>
                </c:pt>
                <c:pt idx="11">
                  <c:v>5.1640650688824993E-2</c:v>
                </c:pt>
                <c:pt idx="12">
                  <c:v>3.402441243176282E-3</c:v>
                </c:pt>
                <c:pt idx="13">
                  <c:v>3.4871853152837209E-3</c:v>
                </c:pt>
                <c:pt idx="14">
                  <c:v>1.3420617113845557E-2</c:v>
                </c:pt>
                <c:pt idx="15">
                  <c:v>3.595449260023041E-3</c:v>
                </c:pt>
                <c:pt idx="16">
                  <c:v>9.4733486082958632E-2</c:v>
                </c:pt>
                <c:pt idx="17">
                  <c:v>6.3604479661091257E-2</c:v>
                </c:pt>
                <c:pt idx="18">
                  <c:v>1.0404177043893165E-3</c:v>
                </c:pt>
                <c:pt idx="19">
                  <c:v>9.2898052841792443E-3</c:v>
                </c:pt>
                <c:pt idx="20">
                  <c:v>2.5331777936136355E-3</c:v>
                </c:pt>
              </c:numCache>
            </c:numRef>
          </c:val>
          <c:extLst>
            <c:ext xmlns:c16="http://schemas.microsoft.com/office/drawing/2014/chart" uri="{C3380CC4-5D6E-409C-BE32-E72D297353CC}">
              <c16:uniqueId val="{00000000-5808-4A81-912E-900F4C271FCB}"/>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'For Graphics1'!$B$182:$B$203</c15:sqref>
                  </c15:fullRef>
                </c:ext>
              </c:extLst>
              <c:f>('For Graphics1'!$B$182:$B$194,'For Graphics1'!$B$196:$B$203)</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OenM*</c:v>
                </c:pt>
                <c:pt idx="20">
                  <c:v>disassembly</c:v>
                </c:pt>
              </c:strCache>
            </c:strRef>
          </c:cat>
          <c:val>
            <c:numRef>
              <c:extLst>
                <c:ext xmlns:c15="http://schemas.microsoft.com/office/drawing/2012/chart" uri="{02D57815-91ED-43cb-92C2-25804820EDAC}">
                  <c15:fullRef>
                    <c15:sqref>'For Graphics1'!$E$182:$E$203</c15:sqref>
                  </c15:fullRef>
                </c:ext>
              </c:extLst>
              <c:f>('For Graphics1'!$E$182:$E$194,'For Graphics1'!$E$196:$E$203)</c:f>
              <c:numCache>
                <c:formatCode>0.00%</c:formatCode>
                <c:ptCount val="21"/>
                <c:pt idx="0">
                  <c:v>0.35391073563334324</c:v>
                </c:pt>
                <c:pt idx="1">
                  <c:v>0.22461780746541379</c:v>
                </c:pt>
                <c:pt idx="2">
                  <c:v>2.2894446573238674E-2</c:v>
                </c:pt>
                <c:pt idx="3">
                  <c:v>2.8804325227918272E-3</c:v>
                </c:pt>
                <c:pt idx="4">
                  <c:v>1.9249029481275999E-2</c:v>
                </c:pt>
                <c:pt idx="5">
                  <c:v>1.2887542839773964E-2</c:v>
                </c:pt>
                <c:pt idx="6">
                  <c:v>9.6417228361013893E-2</c:v>
                </c:pt>
                <c:pt idx="7">
                  <c:v>1.9410082314329953E-2</c:v>
                </c:pt>
                <c:pt idx="8">
                  <c:v>5.0887641235988941E-3</c:v>
                </c:pt>
                <c:pt idx="9">
                  <c:v>7.9316421949346683E-3</c:v>
                </c:pt>
                <c:pt idx="10">
                  <c:v>2.2208103984591204E-2</c:v>
                </c:pt>
                <c:pt idx="11">
                  <c:v>5.0279528317690357E-2</c:v>
                </c:pt>
                <c:pt idx="12">
                  <c:v>3.4565691161123906E-3</c:v>
                </c:pt>
                <c:pt idx="13">
                  <c:v>3.5770286761669019E-3</c:v>
                </c:pt>
                <c:pt idx="14">
                  <c:v>1.3666525528979203E-2</c:v>
                </c:pt>
                <c:pt idx="15">
                  <c:v>3.3706399034940213E-3</c:v>
                </c:pt>
                <c:pt idx="16">
                  <c:v>6.8355466945798471E-2</c:v>
                </c:pt>
                <c:pt idx="17">
                  <c:v>6.1220447754188313E-2</c:v>
                </c:pt>
                <c:pt idx="18">
                  <c:v>1.0294095914923907E-3</c:v>
                </c:pt>
                <c:pt idx="19">
                  <c:v>5.0394331186485002E-3</c:v>
                </c:pt>
                <c:pt idx="20">
                  <c:v>2.5091355531235236E-3</c:v>
                </c:pt>
              </c:numCache>
            </c:numRef>
          </c:val>
          <c:extLst>
            <c:ext xmlns:c16="http://schemas.microsoft.com/office/drawing/2014/chart" uri="{C3380CC4-5D6E-409C-BE32-E72D297353CC}">
              <c16:uniqueId val="{00000001-5808-4A81-912E-900F4C271FCB}"/>
            </c:ext>
          </c:extLst>
        </c:ser>
        <c:dLbls>
          <c:showLegendKey val="0"/>
          <c:showVal val="0"/>
          <c:showCatName val="0"/>
          <c:showSerName val="0"/>
          <c:showPercent val="0"/>
          <c:showBubbleSize val="0"/>
        </c:dLbls>
        <c:gapWidth val="219"/>
        <c:overlap val="-27"/>
        <c:axId val="716191560"/>
        <c:axId val="716194184"/>
      </c:barChart>
      <c:catAx>
        <c:axId val="716191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716194184"/>
        <c:crosses val="autoZero"/>
        <c:auto val="1"/>
        <c:lblAlgn val="ctr"/>
        <c:lblOffset val="100"/>
        <c:noMultiLvlLbl val="0"/>
      </c:catAx>
      <c:valAx>
        <c:axId val="7161941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16191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Masses</a:t>
            </a:r>
            <a:r>
              <a:rPr lang="en-GB" baseline="0"/>
              <a:t> of HAWT</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127764368264528"/>
          <c:y val="0.1058017096258048"/>
          <c:w val="0.49433385605928315"/>
          <c:h val="0.87254474781295432"/>
        </c:manualLayout>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DFA-4E03-87CE-D3F72860B7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DFA-4E03-87CE-D3F72860B7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DFA-4E03-87CE-D3F72860B7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DFA-4E03-87CE-D3F72860B7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DFA-4E03-87CE-D3F72860B746}"/>
              </c:ext>
            </c:extLst>
          </c:dPt>
          <c:dLbls>
            <c:dLbl>
              <c:idx val="0"/>
              <c:layout>
                <c:manualLayout>
                  <c:x val="-7.4892593609033969E-2"/>
                  <c:y val="8.960986113316038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DFA-4E03-87CE-D3F72860B746}"/>
                </c:ext>
              </c:extLst>
            </c:dLbl>
            <c:dLbl>
              <c:idx val="1"/>
              <c:layout>
                <c:manualLayout>
                  <c:x val="-5.0749459359121743E-2"/>
                  <c:y val="-1.758843568215857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DFA-4E03-87CE-D3F72860B746}"/>
                </c:ext>
              </c:extLst>
            </c:dLbl>
            <c:dLbl>
              <c:idx val="2"/>
              <c:layout>
                <c:manualLayout>
                  <c:x val="-5.4151989930862149E-2"/>
                  <c:y val="-6.073581882407046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DFA-4E03-87CE-D3F72860B746}"/>
                </c:ext>
              </c:extLst>
            </c:dLbl>
            <c:dLbl>
              <c:idx val="3"/>
              <c:layout>
                <c:manualLayout>
                  <c:x val="8.2954901712244969E-2"/>
                  <c:y val="-2.869444862275521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DFA-4E03-87CE-D3F72860B746}"/>
                </c:ext>
              </c:extLst>
            </c:dLbl>
            <c:dLbl>
              <c:idx val="4"/>
              <c:layout>
                <c:manualLayout>
                  <c:x val="1.2061156252914592E-2"/>
                  <c:y val="8.491541857263937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DFA-4E03-87CE-D3F72860B7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'For Graphics1'!$W$247:$W$251</c:f>
              <c:strCache>
                <c:ptCount val="5"/>
                <c:pt idx="0">
                  <c:v>Tower</c:v>
                </c:pt>
                <c:pt idx="1">
                  <c:v>Rotor</c:v>
                </c:pt>
                <c:pt idx="2">
                  <c:v>Nacelle</c:v>
                </c:pt>
                <c:pt idx="3">
                  <c:v>Foundations</c:v>
                </c:pt>
                <c:pt idx="4">
                  <c:v>BOS</c:v>
                </c:pt>
              </c:strCache>
            </c:strRef>
          </c:cat>
          <c:val>
            <c:numRef>
              <c:f>'For Graphics1'!$Z$247:$Z$251</c:f>
              <c:numCache>
                <c:formatCode>General</c:formatCode>
                <c:ptCount val="5"/>
                <c:pt idx="0">
                  <c:v>600000</c:v>
                </c:pt>
                <c:pt idx="1">
                  <c:v>98900</c:v>
                </c:pt>
                <c:pt idx="2">
                  <c:v>249688.125</c:v>
                </c:pt>
                <c:pt idx="3">
                  <c:v>1715825</c:v>
                </c:pt>
                <c:pt idx="4">
                  <c:v>43685.265299999999</c:v>
                </c:pt>
              </c:numCache>
            </c:numRef>
          </c:val>
          <c:extLst>
            <c:ext xmlns:c16="http://schemas.microsoft.com/office/drawing/2014/chart" uri="{C3380CC4-5D6E-409C-BE32-E72D297353CC}">
              <c16:uniqueId val="{0000000C-BDFA-4E03-87CE-D3F72860B74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GB" sz="2800"/>
              <a:t>Masses</a:t>
            </a:r>
            <a:r>
              <a:rPr lang="en-GB" sz="2800" baseline="0"/>
              <a:t> of the AWE system</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1590492006711E-2"/>
          <c:y val="6.981338401681339E-2"/>
          <c:w val="0.87004149793986041"/>
          <c:h val="0.86975169371612793"/>
        </c:manualLayout>
      </c:layout>
      <c:barChart>
        <c:barDir val="col"/>
        <c:grouping val="stacked"/>
        <c:varyColors val="0"/>
        <c:ser>
          <c:idx val="0"/>
          <c:order val="0"/>
          <c:tx>
            <c:strRef>
              <c:f>'For Graphics1'!$D$271</c:f>
              <c:strCache>
                <c:ptCount val="1"/>
                <c:pt idx="0">
                  <c:v>Platform</c:v>
                </c:pt>
              </c:strCache>
            </c:strRef>
          </c:tx>
          <c:spPr>
            <a:solidFill>
              <a:schemeClr val="accent1"/>
            </a:solidFill>
            <a:ln>
              <a:noFill/>
            </a:ln>
            <a:effectLst/>
          </c:spPr>
          <c:invertIfNegative val="0"/>
          <c:dLbls>
            <c:dLbl>
              <c:idx val="3"/>
              <c:layout>
                <c:manualLayout>
                  <c:x val="6.6490398059802003E-2"/>
                  <c:y val="-1.0115396637630053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0-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Graphics1'!$D$272:$D$277</c:f>
              <c:numCache>
                <c:formatCode>General</c:formatCode>
                <c:ptCount val="6"/>
                <c:pt idx="3">
                  <c:v>128106.69859521228</c:v>
                </c:pt>
              </c:numCache>
            </c:numRef>
          </c:val>
          <c:extLst>
            <c:ext xmlns:c16="http://schemas.microsoft.com/office/drawing/2014/chart" uri="{C3380CC4-5D6E-409C-BE32-E72D297353CC}">
              <c16:uniqueId val="{00000000-530F-45B0-88CA-F1181BE11B04}"/>
            </c:ext>
          </c:extLst>
        </c:ser>
        <c:ser>
          <c:idx val="1"/>
          <c:order val="1"/>
          <c:tx>
            <c:strRef>
              <c:f>'For Graphics1'!$E$271</c:f>
              <c:strCache>
                <c:ptCount val="1"/>
                <c:pt idx="0">
                  <c:v>Catapult</c:v>
                </c:pt>
              </c:strCache>
            </c:strRef>
          </c:tx>
          <c:spPr>
            <a:solidFill>
              <a:schemeClr val="accent2"/>
            </a:solidFill>
            <a:ln>
              <a:noFill/>
            </a:ln>
            <a:effectLst/>
          </c:spPr>
          <c:invertIfNegative val="0"/>
          <c:dLbls>
            <c:dLbl>
              <c:idx val="3"/>
              <c:layout>
                <c:manualLayout>
                  <c:x val="7.0732208612764705E-2"/>
                  <c:y val="0"/>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F-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Graphics1'!$E$272:$E$277</c:f>
              <c:numCache>
                <c:formatCode>General</c:formatCode>
                <c:ptCount val="6"/>
                <c:pt idx="3">
                  <c:v>32800</c:v>
                </c:pt>
              </c:numCache>
            </c:numRef>
          </c:val>
          <c:extLst>
            <c:ext xmlns:c16="http://schemas.microsoft.com/office/drawing/2014/chart" uri="{C3380CC4-5D6E-409C-BE32-E72D297353CC}">
              <c16:uniqueId val="{00000001-530F-45B0-88CA-F1181BE11B04}"/>
            </c:ext>
          </c:extLst>
        </c:ser>
        <c:ser>
          <c:idx val="2"/>
          <c:order val="2"/>
          <c:tx>
            <c:strRef>
              <c:f>'For Graphics1'!$F$271</c:f>
              <c:strCache>
                <c:ptCount val="1"/>
                <c:pt idx="0">
                  <c:v>Shifter</c:v>
                </c:pt>
              </c:strCache>
            </c:strRef>
          </c:tx>
          <c:spPr>
            <a:solidFill>
              <a:schemeClr val="accent3"/>
            </a:solidFill>
            <a:ln>
              <a:noFill/>
            </a:ln>
            <a:effectLst/>
          </c:spPr>
          <c:invertIfNegative val="0"/>
          <c:dLbls>
            <c:dLbl>
              <c:idx val="3"/>
              <c:layout>
                <c:manualLayout>
                  <c:x val="6.8450532997512109E-2"/>
                  <c:y val="-8.629713476058851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Graphics1'!$F$272:$F$277</c:f>
              <c:numCache>
                <c:formatCode>General</c:formatCode>
                <c:ptCount val="6"/>
                <c:pt idx="3">
                  <c:v>44460</c:v>
                </c:pt>
              </c:numCache>
            </c:numRef>
          </c:val>
          <c:extLst>
            <c:ext xmlns:c16="http://schemas.microsoft.com/office/drawing/2014/chart" uri="{C3380CC4-5D6E-409C-BE32-E72D297353CC}">
              <c16:uniqueId val="{00000002-530F-45B0-88CA-F1181BE11B04}"/>
            </c:ext>
          </c:extLst>
        </c:ser>
        <c:ser>
          <c:idx val="3"/>
          <c:order val="3"/>
          <c:tx>
            <c:strRef>
              <c:f>'For Graphics1'!$G$271</c:f>
              <c:strCache>
                <c:ptCount val="1"/>
                <c:pt idx="0">
                  <c:v>Yaw</c:v>
                </c:pt>
              </c:strCache>
            </c:strRef>
          </c:tx>
          <c:spPr>
            <a:solidFill>
              <a:schemeClr val="accent4"/>
            </a:solidFill>
            <a:ln>
              <a:noFill/>
            </a:ln>
            <a:effectLst/>
          </c:spPr>
          <c:invertIfNegative val="0"/>
          <c:dLbls>
            <c:dLbl>
              <c:idx val="3"/>
              <c:layout>
                <c:manualLayout>
                  <c:x val="6.5027998240767618E-2"/>
                  <c:y val="-4.7413783448184777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Graphics1'!$G$272:$G$277</c:f>
              <c:numCache>
                <c:formatCode>General</c:formatCode>
                <c:ptCount val="6"/>
                <c:pt idx="3">
                  <c:v>22700</c:v>
                </c:pt>
              </c:numCache>
            </c:numRef>
          </c:val>
          <c:extLst>
            <c:ext xmlns:c16="http://schemas.microsoft.com/office/drawing/2014/chart" uri="{C3380CC4-5D6E-409C-BE32-E72D297353CC}">
              <c16:uniqueId val="{00000004-530F-45B0-88CA-F1181BE11B04}"/>
            </c:ext>
          </c:extLst>
        </c:ser>
        <c:ser>
          <c:idx val="4"/>
          <c:order val="4"/>
          <c:tx>
            <c:strRef>
              <c:f>'For Graphics1'!$H$271</c:f>
              <c:strCache>
                <c:ptCount val="1"/>
                <c:pt idx="0">
                  <c:v>Concrete</c:v>
                </c:pt>
              </c:strCache>
            </c:strRef>
          </c:tx>
          <c:spPr>
            <a:solidFill>
              <a:schemeClr val="accent5"/>
            </a:solidFill>
            <a:ln>
              <a:noFill/>
            </a:ln>
            <a:effectLst/>
          </c:spPr>
          <c:invertIfNegative val="0"/>
          <c:dLbls>
            <c:dLbl>
              <c:idx val="4"/>
              <c:layout>
                <c:manualLayout>
                  <c:x val="6.8579123410092285E-2"/>
                  <c:y val="-7.2389034675612116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2-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Graphics1'!$H$272:$H$277</c:f>
              <c:numCache>
                <c:formatCode>General</c:formatCode>
                <c:ptCount val="6"/>
                <c:pt idx="4">
                  <c:v>321256.96702120546</c:v>
                </c:pt>
              </c:numCache>
            </c:numRef>
          </c:val>
          <c:extLst>
            <c:ext xmlns:c16="http://schemas.microsoft.com/office/drawing/2014/chart" uri="{C3380CC4-5D6E-409C-BE32-E72D297353CC}">
              <c16:uniqueId val="{00000005-530F-45B0-88CA-F1181BE11B04}"/>
            </c:ext>
          </c:extLst>
        </c:ser>
        <c:ser>
          <c:idx val="5"/>
          <c:order val="5"/>
          <c:tx>
            <c:strRef>
              <c:f>'For Graphics1'!$I$271</c:f>
              <c:strCache>
                <c:ptCount val="1"/>
                <c:pt idx="0">
                  <c:v>Rebar</c:v>
                </c:pt>
              </c:strCache>
            </c:strRef>
          </c:tx>
          <c:spPr>
            <a:solidFill>
              <a:schemeClr val="accent6"/>
            </a:solidFill>
            <a:ln>
              <a:noFill/>
            </a:ln>
            <a:effectLst/>
          </c:spPr>
          <c:invertIfNegative val="0"/>
          <c:dLbls>
            <c:dLbl>
              <c:idx val="4"/>
              <c:layout>
                <c:manualLayout>
                  <c:x val="5.9323787868770461E-2"/>
                  <c:y val="6.3218377930912267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Graphics1'!$I$272:$I$277</c:f>
              <c:numCache>
                <c:formatCode>General</c:formatCode>
                <c:ptCount val="6"/>
                <c:pt idx="4">
                  <c:v>16908.261422168707</c:v>
                </c:pt>
              </c:numCache>
            </c:numRef>
          </c:val>
          <c:extLst>
            <c:ext xmlns:c16="http://schemas.microsoft.com/office/drawing/2014/chart" uri="{C3380CC4-5D6E-409C-BE32-E72D297353CC}">
              <c16:uniqueId val="{00000006-530F-45B0-88CA-F1181BE11B04}"/>
            </c:ext>
          </c:extLst>
        </c:ser>
        <c:ser>
          <c:idx val="6"/>
          <c:order val="6"/>
          <c:tx>
            <c:strRef>
              <c:f>'For Graphics1'!$J$271</c:f>
              <c:strCache>
                <c:ptCount val="1"/>
                <c:pt idx="0">
                  <c:v>Inter array</c:v>
                </c:pt>
              </c:strCache>
            </c:strRef>
          </c:tx>
          <c:spPr>
            <a:solidFill>
              <a:schemeClr val="accent1">
                <a:lumMod val="60000"/>
              </a:schemeClr>
            </a:solidFill>
            <a:ln>
              <a:noFill/>
            </a:ln>
            <a:effectLst/>
          </c:spPr>
          <c:invertIfNegative val="0"/>
          <c:dLbls>
            <c:dLbl>
              <c:idx val="5"/>
              <c:layout>
                <c:manualLayout>
                  <c:x val="7.3522098181873968E-2"/>
                  <c:y val="-1.1885465292569728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081F-40AD-AC0E-C0830C6B24F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Graphics1'!$J$272:$J$277</c:f>
              <c:numCache>
                <c:formatCode>General</c:formatCode>
                <c:ptCount val="6"/>
                <c:pt idx="5">
                  <c:v>7147.9800000000005</c:v>
                </c:pt>
              </c:numCache>
            </c:numRef>
          </c:val>
          <c:extLst>
            <c:ext xmlns:c16="http://schemas.microsoft.com/office/drawing/2014/chart" uri="{C3380CC4-5D6E-409C-BE32-E72D297353CC}">
              <c16:uniqueId val="{00000007-530F-45B0-88CA-F1181BE11B04}"/>
            </c:ext>
          </c:extLst>
        </c:ser>
        <c:ser>
          <c:idx val="7"/>
          <c:order val="7"/>
          <c:tx>
            <c:strRef>
              <c:f>'For Graphics1'!$K$271</c:f>
              <c:strCache>
                <c:ptCount val="1"/>
                <c:pt idx="0">
                  <c:v>Export</c:v>
                </c:pt>
              </c:strCache>
            </c:strRef>
          </c:tx>
          <c:spPr>
            <a:solidFill>
              <a:schemeClr val="accent2">
                <a:lumMod val="60000"/>
              </a:schemeClr>
            </a:solidFill>
            <a:ln>
              <a:noFill/>
            </a:ln>
            <a:effectLst/>
          </c:spPr>
          <c:invertIfNegative val="0"/>
          <c:dLbls>
            <c:dLbl>
              <c:idx val="5"/>
              <c:layout>
                <c:manualLayout>
                  <c:x val="7.2348678879732536E-2"/>
                  <c:y val="-1.7174263381911972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081F-40AD-AC0E-C0830C6B24FB}"/>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Graphics1'!$K$272:$K$277</c:f>
              <c:numCache>
                <c:formatCode>General</c:formatCode>
                <c:ptCount val="6"/>
                <c:pt idx="5">
                  <c:v>38431.5</c:v>
                </c:pt>
              </c:numCache>
            </c:numRef>
          </c:val>
          <c:extLst>
            <c:ext xmlns:c16="http://schemas.microsoft.com/office/drawing/2014/chart" uri="{C3380CC4-5D6E-409C-BE32-E72D297353CC}">
              <c16:uniqueId val="{00000008-530F-45B0-88CA-F1181BE11B04}"/>
            </c:ext>
          </c:extLst>
        </c:ser>
        <c:ser>
          <c:idx val="8"/>
          <c:order val="8"/>
          <c:tx>
            <c:strRef>
              <c:f>'For Graphics1'!$L$271</c:f>
              <c:strCache>
                <c:ptCount val="1"/>
                <c:pt idx="0">
                  <c:v>Bottom</c:v>
                </c:pt>
              </c:strCache>
            </c:strRef>
          </c:tx>
          <c:spPr>
            <a:solidFill>
              <a:schemeClr val="accent3">
                <a:lumMod val="60000"/>
              </a:schemeClr>
            </a:solidFill>
            <a:ln>
              <a:noFill/>
            </a:ln>
            <a:effectLst/>
          </c:spPr>
          <c:invertIfNegative val="0"/>
          <c:dLbls>
            <c:dLbl>
              <c:idx val="0"/>
              <c:layout>
                <c:manualLayout>
                  <c:x val="7.115635670217553E-2"/>
                  <c:y val="-7.7005180939831467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5-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Graphics1'!$L$272:$L$277</c:f>
              <c:numCache>
                <c:formatCode>General</c:formatCode>
                <c:ptCount val="6"/>
                <c:pt idx="0">
                  <c:v>1240.0568181818182</c:v>
                </c:pt>
              </c:numCache>
            </c:numRef>
          </c:val>
          <c:extLst>
            <c:ext xmlns:c16="http://schemas.microsoft.com/office/drawing/2014/chart" uri="{C3380CC4-5D6E-409C-BE32-E72D297353CC}">
              <c16:uniqueId val="{0000000B-530F-45B0-88CA-F1181BE11B04}"/>
            </c:ext>
          </c:extLst>
        </c:ser>
        <c:ser>
          <c:idx val="9"/>
          <c:order val="9"/>
          <c:tx>
            <c:strRef>
              <c:f>'For Graphics1'!$M$271</c:f>
              <c:strCache>
                <c:ptCount val="1"/>
                <c:pt idx="0">
                  <c:v>Top</c:v>
                </c:pt>
              </c:strCache>
            </c:strRef>
          </c:tx>
          <c:spPr>
            <a:solidFill>
              <a:schemeClr val="accent4">
                <a:lumMod val="60000"/>
              </a:schemeClr>
            </a:solidFill>
            <a:ln>
              <a:noFill/>
            </a:ln>
            <a:effectLst/>
          </c:spPr>
          <c:invertIfNegative val="0"/>
          <c:dLbls>
            <c:dLbl>
              <c:idx val="0"/>
              <c:layout>
                <c:manualLayout>
                  <c:x val="6.81611409945133E-2"/>
                  <c:y val="-2.8324490983891809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4-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Graphics1'!$M$272:$M$277</c:f>
              <c:numCache>
                <c:formatCode>General</c:formatCode>
                <c:ptCount val="6"/>
                <c:pt idx="0">
                  <c:v>1947.8766950169672</c:v>
                </c:pt>
              </c:numCache>
            </c:numRef>
          </c:val>
          <c:extLst>
            <c:ext xmlns:c16="http://schemas.microsoft.com/office/drawing/2014/chart" uri="{C3380CC4-5D6E-409C-BE32-E72D297353CC}">
              <c16:uniqueId val="{0000000C-530F-45B0-88CA-F1181BE11B04}"/>
            </c:ext>
          </c:extLst>
        </c:ser>
        <c:ser>
          <c:idx val="10"/>
          <c:order val="10"/>
          <c:tx>
            <c:strRef>
              <c:f>'For Graphics1'!$N$271</c:f>
              <c:strCache>
                <c:ptCount val="1"/>
                <c:pt idx="0">
                  <c:v>Replacements</c:v>
                </c:pt>
              </c:strCache>
            </c:strRef>
          </c:tx>
          <c:spPr>
            <a:solidFill>
              <a:schemeClr val="accent5">
                <a:lumMod val="60000"/>
              </a:schemeClr>
            </a:solidFill>
            <a:ln>
              <a:noFill/>
            </a:ln>
            <a:effectLst/>
          </c:spPr>
          <c:invertIfNegative val="0"/>
          <c:dLbls>
            <c:dLbl>
              <c:idx val="0"/>
              <c:layout>
                <c:manualLayout>
                  <c:x val="8.1350092526608297E-2"/>
                  <c:y val="-2.8254301228227138E-2"/>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6-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Graphics1'!$N$272:$N$277</c:f>
              <c:numCache>
                <c:formatCode>General</c:formatCode>
                <c:ptCount val="6"/>
                <c:pt idx="0">
                  <c:v>27456.832935488481</c:v>
                </c:pt>
              </c:numCache>
            </c:numRef>
          </c:val>
          <c:extLst>
            <c:ext xmlns:c16="http://schemas.microsoft.com/office/drawing/2014/chart" uri="{C3380CC4-5D6E-409C-BE32-E72D297353CC}">
              <c16:uniqueId val="{0000000D-530F-45B0-88CA-F1181BE11B04}"/>
            </c:ext>
          </c:extLst>
        </c:ser>
        <c:ser>
          <c:idx val="11"/>
          <c:order val="11"/>
          <c:tx>
            <c:strRef>
              <c:f>'For Graphics1'!$O$271</c:f>
              <c:strCache>
                <c:ptCount val="1"/>
                <c:pt idx="0">
                  <c:v>Aircraft</c:v>
                </c:pt>
              </c:strCache>
            </c:strRef>
          </c:tx>
          <c:spPr>
            <a:solidFill>
              <a:schemeClr val="accent6">
                <a:lumMod val="60000"/>
              </a:schemeClr>
            </a:solidFill>
            <a:ln>
              <a:noFill/>
            </a:ln>
            <a:effectLst/>
          </c:spPr>
          <c:invertIfNegative val="0"/>
          <c:dLbls>
            <c:dLbl>
              <c:idx val="1"/>
              <c:layout>
                <c:manualLayout>
                  <c:x val="7.5214541278497207E-2"/>
                  <c:y val="-6.3218377930912267E-3"/>
                </c:manualLayout>
              </c:layout>
              <c:dLblPos val="ct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Graphics1'!$O$272:$O$277</c:f>
              <c:numCache>
                <c:formatCode>General</c:formatCode>
                <c:ptCount val="6"/>
                <c:pt idx="1">
                  <c:v>20000</c:v>
                </c:pt>
              </c:numCache>
            </c:numRef>
          </c:val>
          <c:extLst>
            <c:ext xmlns:c16="http://schemas.microsoft.com/office/drawing/2014/chart" uri="{C3380CC4-5D6E-409C-BE32-E72D297353CC}">
              <c16:uniqueId val="{0000000E-530F-45B0-88CA-F1181BE11B04}"/>
            </c:ext>
          </c:extLst>
        </c:ser>
        <c:ser>
          <c:idx val="12"/>
          <c:order val="12"/>
          <c:tx>
            <c:strRef>
              <c:f>'For Graphics1'!$P$271</c:f>
              <c:strCache>
                <c:ptCount val="1"/>
                <c:pt idx="0">
                  <c:v>Drum</c:v>
                </c:pt>
              </c:strCache>
            </c:strRef>
          </c:tx>
          <c:spPr>
            <a:solidFill>
              <a:schemeClr val="accent1">
                <a:lumMod val="80000"/>
                <a:lumOff val="20000"/>
              </a:schemeClr>
            </a:solidFill>
            <a:ln>
              <a:noFill/>
            </a:ln>
            <a:effectLst/>
          </c:spPr>
          <c:invertIfNegative val="0"/>
          <c:dLbls>
            <c:dLbl>
              <c:idx val="2"/>
              <c:layout>
                <c:manualLayout>
                  <c:x val="7.1937392998493624E-2"/>
                  <c:y val="-2.87661015299495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8-530F-45B0-88CA-F1181BE11B04}"/>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Graphics1'!$P$272:$P$277</c:f>
              <c:numCache>
                <c:formatCode>General</c:formatCode>
                <c:ptCount val="6"/>
                <c:pt idx="2">
                  <c:v>34850</c:v>
                </c:pt>
              </c:numCache>
            </c:numRef>
          </c:val>
          <c:extLst>
            <c:ext xmlns:c16="http://schemas.microsoft.com/office/drawing/2014/chart" uri="{C3380CC4-5D6E-409C-BE32-E72D297353CC}">
              <c16:uniqueId val="{0000000F-530F-45B0-88CA-F1181BE11B04}"/>
            </c:ext>
          </c:extLst>
        </c:ser>
        <c:ser>
          <c:idx val="13"/>
          <c:order val="13"/>
          <c:tx>
            <c:strRef>
              <c:f>'For Graphics1'!$Q$271</c:f>
              <c:strCache>
                <c:ptCount val="1"/>
                <c:pt idx="0">
                  <c:v>Hydro piston</c:v>
                </c:pt>
              </c:strCache>
            </c:strRef>
          </c:tx>
          <c:spPr>
            <a:solidFill>
              <a:schemeClr val="accent2">
                <a:lumMod val="80000"/>
                <a:lumOff val="20000"/>
              </a:schemeClr>
            </a:solidFill>
            <a:ln>
              <a:noFill/>
            </a:ln>
            <a:effectLst/>
          </c:spPr>
          <c:invertIfNegative val="0"/>
          <c:dLbls>
            <c:dLbl>
              <c:idx val="2"/>
              <c:layout>
                <c:manualLayout>
                  <c:x val="7.6050590875912621E-2"/>
                  <c:y val="-2.37068917240921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9-530F-45B0-88CA-F1181BE11B0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Graphics1'!$Q$272:$Q$277</c:f>
              <c:numCache>
                <c:formatCode>General</c:formatCode>
                <c:ptCount val="6"/>
                <c:pt idx="2">
                  <c:v>40000</c:v>
                </c:pt>
              </c:numCache>
            </c:numRef>
          </c:val>
          <c:extLst>
            <c:ext xmlns:c16="http://schemas.microsoft.com/office/drawing/2014/chart" uri="{C3380CC4-5D6E-409C-BE32-E72D297353CC}">
              <c16:uniqueId val="{00000010-530F-45B0-88CA-F1181BE11B04}"/>
            </c:ext>
          </c:extLst>
        </c:ser>
        <c:ser>
          <c:idx val="14"/>
          <c:order val="14"/>
          <c:tx>
            <c:strRef>
              <c:f>'For Graphics1'!$R$271</c:f>
              <c:strCache>
                <c:ptCount val="1"/>
                <c:pt idx="0">
                  <c:v>Accumulator</c:v>
                </c:pt>
              </c:strCache>
            </c:strRef>
          </c:tx>
          <c:spPr>
            <a:solidFill>
              <a:schemeClr val="accent3">
                <a:lumMod val="80000"/>
                <a:lumOff val="20000"/>
              </a:schemeClr>
            </a:solidFill>
            <a:ln>
              <a:noFill/>
            </a:ln>
            <a:effectLst/>
          </c:spPr>
          <c:invertIfNegative val="0"/>
          <c:dLbls>
            <c:dLbl>
              <c:idx val="2"/>
              <c:layout>
                <c:manualLayout>
                  <c:x val="7.8589509819619943E-2"/>
                  <c:y val="-1.42241350344552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A-530F-45B0-88CA-F1181BE11B04}"/>
                </c:ext>
              </c:extLst>
            </c:dLbl>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Graphics1'!$R$272:$R$277</c:f>
              <c:numCache>
                <c:formatCode>General</c:formatCode>
                <c:ptCount val="6"/>
                <c:pt idx="2">
                  <c:v>96789.333333333343</c:v>
                </c:pt>
              </c:numCache>
            </c:numRef>
          </c:val>
          <c:extLst>
            <c:ext xmlns:c16="http://schemas.microsoft.com/office/drawing/2014/chart" uri="{C3380CC4-5D6E-409C-BE32-E72D297353CC}">
              <c16:uniqueId val="{00000011-530F-45B0-88CA-F1181BE11B04}"/>
            </c:ext>
          </c:extLst>
        </c:ser>
        <c:ser>
          <c:idx val="15"/>
          <c:order val="15"/>
          <c:tx>
            <c:strRef>
              <c:f>'For Graphics1'!$S$271</c:f>
              <c:strCache>
                <c:ptCount val="1"/>
                <c:pt idx="0">
                  <c:v>Hydro motor</c:v>
                </c:pt>
              </c:strCache>
            </c:strRef>
          </c:tx>
          <c:spPr>
            <a:solidFill>
              <a:schemeClr val="accent4">
                <a:lumMod val="80000"/>
                <a:lumOff val="20000"/>
              </a:schemeClr>
            </a:solidFill>
            <a:ln>
              <a:noFill/>
            </a:ln>
            <a:effectLst/>
          </c:spPr>
          <c:invertIfNegative val="0"/>
          <c:dLbls>
            <c:dLbl>
              <c:idx val="2"/>
              <c:layout>
                <c:manualLayout>
                  <c:x val="7.402611834878374E-2"/>
                  <c:y val="2.4334788288979648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B-530F-45B0-88CA-F1181BE11B0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Graphics1'!$S$272:$S$277</c:f>
              <c:numCache>
                <c:formatCode>General</c:formatCode>
                <c:ptCount val="6"/>
                <c:pt idx="2">
                  <c:v>3384</c:v>
                </c:pt>
              </c:numCache>
            </c:numRef>
          </c:val>
          <c:extLst>
            <c:ext xmlns:c16="http://schemas.microsoft.com/office/drawing/2014/chart" uri="{C3380CC4-5D6E-409C-BE32-E72D297353CC}">
              <c16:uniqueId val="{00000012-530F-45B0-88CA-F1181BE11B04}"/>
            </c:ext>
          </c:extLst>
        </c:ser>
        <c:ser>
          <c:idx val="16"/>
          <c:order val="16"/>
          <c:tx>
            <c:strRef>
              <c:f>'For Graphics1'!$T$271</c:f>
              <c:strCache>
                <c:ptCount val="1"/>
                <c:pt idx="0">
                  <c:v>Hydro extra</c:v>
                </c:pt>
              </c:strCache>
            </c:strRef>
          </c:tx>
          <c:spPr>
            <a:solidFill>
              <a:schemeClr val="accent5">
                <a:lumMod val="80000"/>
                <a:lumOff val="20000"/>
              </a:schemeClr>
            </a:solidFill>
            <a:ln>
              <a:noFill/>
            </a:ln>
            <a:effectLst/>
          </c:spPr>
          <c:invertIfNegative val="0"/>
          <c:dLbls>
            <c:dLbl>
              <c:idx val="2"/>
              <c:layout>
                <c:manualLayout>
                  <c:x val="7.5166987408057218E-2"/>
                  <c:y val="-7.6179281481509207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C-530F-45B0-88CA-F1181BE11B04}"/>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Graphics1'!$T$272:$T$277</c:f>
              <c:numCache>
                <c:formatCode>General</c:formatCode>
                <c:ptCount val="6"/>
                <c:pt idx="2">
                  <c:v>19560.693333333333</c:v>
                </c:pt>
              </c:numCache>
            </c:numRef>
          </c:val>
          <c:extLst>
            <c:ext xmlns:c16="http://schemas.microsoft.com/office/drawing/2014/chart" uri="{C3380CC4-5D6E-409C-BE32-E72D297353CC}">
              <c16:uniqueId val="{00000013-530F-45B0-88CA-F1181BE11B04}"/>
            </c:ext>
          </c:extLst>
        </c:ser>
        <c:ser>
          <c:idx val="17"/>
          <c:order val="17"/>
          <c:tx>
            <c:strRef>
              <c:f>'For Graphics1'!$U$271</c:f>
              <c:strCache>
                <c:ptCount val="1"/>
                <c:pt idx="0">
                  <c:v>Generator</c:v>
                </c:pt>
              </c:strCache>
            </c:strRef>
          </c:tx>
          <c:spPr>
            <a:solidFill>
              <a:schemeClr val="accent6">
                <a:lumMod val="80000"/>
                <a:lumOff val="20000"/>
              </a:schemeClr>
            </a:solidFill>
            <a:ln>
              <a:noFill/>
            </a:ln>
            <a:effectLst/>
          </c:spPr>
          <c:invertIfNegative val="0"/>
          <c:dLbls>
            <c:dLbl>
              <c:idx val="2"/>
              <c:layout>
                <c:manualLayout>
                  <c:x val="7.1051077010399213E-2"/>
                  <c:y val="-1.4856831615712568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530F-45B0-88CA-F1181BE11B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Graphics1'!$U$272:$U$277</c:f>
              <c:numCache>
                <c:formatCode>General</c:formatCode>
                <c:ptCount val="6"/>
                <c:pt idx="2">
                  <c:v>18160</c:v>
                </c:pt>
              </c:numCache>
            </c:numRef>
          </c:val>
          <c:extLst>
            <c:ext xmlns:c16="http://schemas.microsoft.com/office/drawing/2014/chart" uri="{C3380CC4-5D6E-409C-BE32-E72D297353CC}">
              <c16:uniqueId val="{00000023-530F-45B0-88CA-F1181BE11B04}"/>
            </c:ext>
          </c:extLst>
        </c:ser>
        <c:ser>
          <c:idx val="18"/>
          <c:order val="18"/>
          <c:tx>
            <c:strRef>
              <c:f>'For Graphics1'!$V$271</c:f>
              <c:strCache>
                <c:ptCount val="1"/>
                <c:pt idx="0">
                  <c:v>Converter</c:v>
                </c:pt>
              </c:strCache>
            </c:strRef>
          </c:tx>
          <c:spPr>
            <a:solidFill>
              <a:schemeClr val="accent1">
                <a:lumMod val="80000"/>
              </a:schemeClr>
            </a:solidFill>
            <a:ln>
              <a:noFill/>
            </a:ln>
            <a:effectLst/>
          </c:spPr>
          <c:invertIfNegative val="0"/>
          <c:dLbls>
            <c:dLbl>
              <c:idx val="2"/>
              <c:layout>
                <c:manualLayout>
                  <c:x val="6.8898014070690142E-2"/>
                  <c:y val="-5.9427326462848642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7-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Graphics1'!$V$272:$V$277</c:f>
              <c:numCache>
                <c:formatCode>General</c:formatCode>
                <c:ptCount val="6"/>
                <c:pt idx="2">
                  <c:v>8000</c:v>
                </c:pt>
              </c:numCache>
            </c:numRef>
          </c:val>
          <c:extLst>
            <c:ext xmlns:c16="http://schemas.microsoft.com/office/drawing/2014/chart" uri="{C3380CC4-5D6E-409C-BE32-E72D297353CC}">
              <c16:uniqueId val="{00000024-530F-45B0-88CA-F1181BE11B04}"/>
            </c:ext>
          </c:extLst>
        </c:ser>
        <c:ser>
          <c:idx val="19"/>
          <c:order val="19"/>
          <c:tx>
            <c:strRef>
              <c:f>'For Graphics1'!$W$271</c:f>
              <c:strCache>
                <c:ptCount val="1"/>
                <c:pt idx="0">
                  <c:v>Transformer</c:v>
                </c:pt>
              </c:strCache>
            </c:strRef>
          </c:tx>
          <c:spPr>
            <a:solidFill>
              <a:schemeClr val="accent2">
                <a:lumMod val="80000"/>
              </a:schemeClr>
            </a:solidFill>
            <a:ln>
              <a:noFill/>
            </a:ln>
            <a:effectLst/>
          </c:spPr>
          <c:invertIfNegative val="0"/>
          <c:dLbls>
            <c:dLbl>
              <c:idx val="2"/>
              <c:layout>
                <c:manualLayout>
                  <c:x val="7.7510265829526331E-2"/>
                  <c:y val="-4.4570494847136072E-3"/>
                </c:manualLayout>
              </c:layout>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8-530F-45B0-88CA-F1181BE11B04}"/>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Graphics1'!$W$272:$W$277</c:f>
              <c:numCache>
                <c:formatCode>General</c:formatCode>
                <c:ptCount val="6"/>
                <c:pt idx="2">
                  <c:v>17491.5</c:v>
                </c:pt>
              </c:numCache>
            </c:numRef>
          </c:val>
          <c:extLst>
            <c:ext xmlns:c16="http://schemas.microsoft.com/office/drawing/2014/chart" uri="{C3380CC4-5D6E-409C-BE32-E72D297353CC}">
              <c16:uniqueId val="{00000025-530F-45B0-88CA-F1181BE11B04}"/>
            </c:ext>
          </c:extLst>
        </c:ser>
        <c:ser>
          <c:idx val="20"/>
          <c:order val="20"/>
          <c:tx>
            <c:strRef>
              <c:f>'For Graphics1'!$X$271</c:f>
              <c:strCache>
                <c:ptCount val="1"/>
                <c:pt idx="0">
                  <c:v>Replacements</c:v>
                </c:pt>
              </c:strCache>
            </c:strRef>
          </c:tx>
          <c:spPr>
            <a:solidFill>
              <a:schemeClr val="accent3">
                <a:lumMod val="80000"/>
              </a:schemeClr>
            </a:solidFill>
            <a:ln>
              <a:noFill/>
            </a:ln>
            <a:effectLst/>
          </c:spPr>
          <c:invertIfNegative val="0"/>
          <c:dLbls>
            <c:dLbl>
              <c:idx val="1"/>
              <c:layout>
                <c:manualLayout>
                  <c:x val="7.7510265829526415E-2"/>
                  <c:y val="-8.9140989694273236E-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A-530F-45B0-88CA-F1181BE11B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'For Graphics1'!$C$272:$C$277</c:f>
              <c:strCache>
                <c:ptCount val="6"/>
                <c:pt idx="0">
                  <c:v>Tether</c:v>
                </c:pt>
                <c:pt idx="1">
                  <c:v>Aircraft</c:v>
                </c:pt>
                <c:pt idx="2">
                  <c:v>Groundstation</c:v>
                </c:pt>
                <c:pt idx="3">
                  <c:v>LLA</c:v>
                </c:pt>
                <c:pt idx="4">
                  <c:v>Foundation</c:v>
                </c:pt>
                <c:pt idx="5">
                  <c:v>BOS</c:v>
                </c:pt>
              </c:strCache>
            </c:strRef>
          </c:cat>
          <c:val>
            <c:numRef>
              <c:f>'For Graphics1'!$X$272:$X$277</c:f>
              <c:numCache>
                <c:formatCode>General</c:formatCode>
                <c:ptCount val="6"/>
                <c:pt idx="1">
                  <c:v>11775.8</c:v>
                </c:pt>
              </c:numCache>
            </c:numRef>
          </c:val>
          <c:extLst>
            <c:ext xmlns:c16="http://schemas.microsoft.com/office/drawing/2014/chart" uri="{C3380CC4-5D6E-409C-BE32-E72D297353CC}">
              <c16:uniqueId val="{00000029-530F-45B0-88CA-F1181BE11B04}"/>
            </c:ext>
          </c:extLst>
        </c:ser>
        <c:dLbls>
          <c:dLblPos val="ctr"/>
          <c:showLegendKey val="0"/>
          <c:showVal val="1"/>
          <c:showCatName val="0"/>
          <c:showSerName val="0"/>
          <c:showPercent val="0"/>
          <c:showBubbleSize val="0"/>
        </c:dLbls>
        <c:gapWidth val="150"/>
        <c:overlap val="100"/>
        <c:axId val="749377064"/>
        <c:axId val="749374440"/>
      </c:barChart>
      <c:catAx>
        <c:axId val="749377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749374440"/>
        <c:crosses val="autoZero"/>
        <c:auto val="1"/>
        <c:lblAlgn val="ctr"/>
        <c:lblOffset val="100"/>
        <c:noMultiLvlLbl val="0"/>
      </c:catAx>
      <c:valAx>
        <c:axId val="74937444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Mass in kg</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49377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mass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'For Graphics1'!$N$232</c:f>
              <c:strCache>
                <c:ptCount val="1"/>
                <c:pt idx="0">
                  <c:v>Tower/tether</c:v>
                </c:pt>
              </c:strCache>
            </c:strRef>
          </c:tx>
          <c:spPr>
            <a:solidFill>
              <a:schemeClr val="accent1"/>
            </a:solidFill>
            <a:ln>
              <a:noFill/>
            </a:ln>
            <a:effectLst/>
          </c:spPr>
          <c:invertIfNegative val="0"/>
          <c:cat>
            <c:strRef>
              <c:f>'For Graphics1'!$AU$235:$AU$236</c:f>
              <c:strCache>
                <c:ptCount val="2"/>
                <c:pt idx="0">
                  <c:v>AWE</c:v>
                </c:pt>
                <c:pt idx="1">
                  <c:v>HAWT</c:v>
                </c:pt>
              </c:strCache>
            </c:strRef>
          </c:cat>
          <c:val>
            <c:numRef>
              <c:f>'For Graphics1'!$Q$232:$R$232</c:f>
              <c:numCache>
                <c:formatCode>General</c:formatCode>
                <c:ptCount val="2"/>
                <c:pt idx="0">
                  <c:v>30644.766448687267</c:v>
                </c:pt>
                <c:pt idx="1">
                  <c:v>600000</c:v>
                </c:pt>
              </c:numCache>
            </c:numRef>
          </c:val>
          <c:extLst>
            <c:ext xmlns:c16="http://schemas.microsoft.com/office/drawing/2014/chart" uri="{C3380CC4-5D6E-409C-BE32-E72D297353CC}">
              <c16:uniqueId val="{00000000-57B4-44B8-8FD7-EF9BE2B7F8D0}"/>
            </c:ext>
          </c:extLst>
        </c:ser>
        <c:ser>
          <c:idx val="1"/>
          <c:order val="1"/>
          <c:tx>
            <c:strRef>
              <c:f>'For Graphics1'!$N$233</c:f>
              <c:strCache>
                <c:ptCount val="1"/>
                <c:pt idx="0">
                  <c:v>Aircraft/rotor</c:v>
                </c:pt>
              </c:strCache>
            </c:strRef>
          </c:tx>
          <c:spPr>
            <a:solidFill>
              <a:schemeClr val="accent2"/>
            </a:solidFill>
            <a:ln>
              <a:noFill/>
            </a:ln>
            <a:effectLst/>
          </c:spPr>
          <c:invertIfNegative val="0"/>
          <c:cat>
            <c:strRef>
              <c:f>'For Graphics1'!$AU$235:$AU$236</c:f>
              <c:strCache>
                <c:ptCount val="2"/>
                <c:pt idx="0">
                  <c:v>AWE</c:v>
                </c:pt>
                <c:pt idx="1">
                  <c:v>HAWT</c:v>
                </c:pt>
              </c:strCache>
            </c:strRef>
          </c:cat>
          <c:val>
            <c:numRef>
              <c:f>'For Graphics1'!$Q$233:$R$233</c:f>
              <c:numCache>
                <c:formatCode>General</c:formatCode>
                <c:ptCount val="2"/>
                <c:pt idx="0">
                  <c:v>31775.800000000003</c:v>
                </c:pt>
                <c:pt idx="1">
                  <c:v>98900</c:v>
                </c:pt>
              </c:numCache>
            </c:numRef>
          </c:val>
          <c:extLst>
            <c:ext xmlns:c16="http://schemas.microsoft.com/office/drawing/2014/chart" uri="{C3380CC4-5D6E-409C-BE32-E72D297353CC}">
              <c16:uniqueId val="{00000001-57B4-44B8-8FD7-EF9BE2B7F8D0}"/>
            </c:ext>
          </c:extLst>
        </c:ser>
        <c:ser>
          <c:idx val="2"/>
          <c:order val="2"/>
          <c:tx>
            <c:strRef>
              <c:f>'For Graphics1'!$N$234</c:f>
              <c:strCache>
                <c:ptCount val="1"/>
                <c:pt idx="0">
                  <c:v>PGA/Nacelle</c:v>
                </c:pt>
              </c:strCache>
            </c:strRef>
          </c:tx>
          <c:spPr>
            <a:solidFill>
              <a:schemeClr val="accent3"/>
            </a:solidFill>
            <a:ln>
              <a:noFill/>
            </a:ln>
            <a:effectLst/>
          </c:spPr>
          <c:invertIfNegative val="0"/>
          <c:cat>
            <c:strRef>
              <c:f>'For Graphics1'!$AU$235:$AU$236</c:f>
              <c:strCache>
                <c:ptCount val="2"/>
                <c:pt idx="0">
                  <c:v>AWE</c:v>
                </c:pt>
                <c:pt idx="1">
                  <c:v>HAWT</c:v>
                </c:pt>
              </c:strCache>
            </c:strRef>
          </c:cat>
          <c:val>
            <c:numRef>
              <c:f>'For Graphics1'!$Q$234:$R$234</c:f>
              <c:numCache>
                <c:formatCode>General</c:formatCode>
                <c:ptCount val="2"/>
                <c:pt idx="0">
                  <c:v>238735.52666666667</c:v>
                </c:pt>
                <c:pt idx="1">
                  <c:v>249688.125</c:v>
                </c:pt>
              </c:numCache>
            </c:numRef>
          </c:val>
          <c:extLst>
            <c:ext xmlns:c16="http://schemas.microsoft.com/office/drawing/2014/chart" uri="{C3380CC4-5D6E-409C-BE32-E72D297353CC}">
              <c16:uniqueId val="{00000003-57B4-44B8-8FD7-EF9BE2B7F8D0}"/>
            </c:ext>
          </c:extLst>
        </c:ser>
        <c:ser>
          <c:idx val="3"/>
          <c:order val="3"/>
          <c:tx>
            <c:strRef>
              <c:f>'For Graphics1'!$N$235</c:f>
              <c:strCache>
                <c:ptCount val="1"/>
                <c:pt idx="0">
                  <c:v>LLA</c:v>
                </c:pt>
              </c:strCache>
            </c:strRef>
          </c:tx>
          <c:spPr>
            <a:solidFill>
              <a:schemeClr val="accent4"/>
            </a:solidFill>
            <a:ln>
              <a:noFill/>
            </a:ln>
            <a:effectLst/>
          </c:spPr>
          <c:invertIfNegative val="0"/>
          <c:cat>
            <c:strRef>
              <c:f>'For Graphics1'!$AU$235:$AU$236</c:f>
              <c:strCache>
                <c:ptCount val="2"/>
                <c:pt idx="0">
                  <c:v>AWE</c:v>
                </c:pt>
                <c:pt idx="1">
                  <c:v>HAWT</c:v>
                </c:pt>
              </c:strCache>
            </c:strRef>
          </c:cat>
          <c:val>
            <c:numRef>
              <c:f>'For Graphics1'!$Q$235:$R$235</c:f>
              <c:numCache>
                <c:formatCode>General</c:formatCode>
                <c:ptCount val="2"/>
                <c:pt idx="0">
                  <c:v>228066.69859521228</c:v>
                </c:pt>
              </c:numCache>
            </c:numRef>
          </c:val>
          <c:extLst>
            <c:ext xmlns:c16="http://schemas.microsoft.com/office/drawing/2014/chart" uri="{C3380CC4-5D6E-409C-BE32-E72D297353CC}">
              <c16:uniqueId val="{00000004-57B4-44B8-8FD7-EF9BE2B7F8D0}"/>
            </c:ext>
          </c:extLst>
        </c:ser>
        <c:ser>
          <c:idx val="4"/>
          <c:order val="4"/>
          <c:tx>
            <c:strRef>
              <c:f>'For Graphics1'!$N$236</c:f>
              <c:strCache>
                <c:ptCount val="1"/>
                <c:pt idx="0">
                  <c:v>Foundations</c:v>
                </c:pt>
              </c:strCache>
            </c:strRef>
          </c:tx>
          <c:spPr>
            <a:solidFill>
              <a:schemeClr val="accent5"/>
            </a:solidFill>
            <a:ln>
              <a:noFill/>
            </a:ln>
            <a:effectLst/>
          </c:spPr>
          <c:invertIfNegative val="0"/>
          <c:cat>
            <c:strRef>
              <c:f>'For Graphics1'!$AU$235:$AU$236</c:f>
              <c:strCache>
                <c:ptCount val="2"/>
                <c:pt idx="0">
                  <c:v>AWE</c:v>
                </c:pt>
                <c:pt idx="1">
                  <c:v>HAWT</c:v>
                </c:pt>
              </c:strCache>
            </c:strRef>
          </c:cat>
          <c:val>
            <c:numRef>
              <c:f>'For Graphics1'!$Q$236:$R$236</c:f>
              <c:numCache>
                <c:formatCode>General</c:formatCode>
                <c:ptCount val="2"/>
                <c:pt idx="0">
                  <c:v>338165.22844337416</c:v>
                </c:pt>
                <c:pt idx="1">
                  <c:v>1715825</c:v>
                </c:pt>
              </c:numCache>
            </c:numRef>
          </c:val>
          <c:extLst>
            <c:ext xmlns:c16="http://schemas.microsoft.com/office/drawing/2014/chart" uri="{C3380CC4-5D6E-409C-BE32-E72D297353CC}">
              <c16:uniqueId val="{00000005-57B4-44B8-8FD7-EF9BE2B7F8D0}"/>
            </c:ext>
          </c:extLst>
        </c:ser>
        <c:ser>
          <c:idx val="5"/>
          <c:order val="5"/>
          <c:tx>
            <c:strRef>
              <c:f>'For Graphics1'!$N$237</c:f>
              <c:strCache>
                <c:ptCount val="1"/>
                <c:pt idx="0">
                  <c:v>BOS</c:v>
                </c:pt>
              </c:strCache>
            </c:strRef>
          </c:tx>
          <c:spPr>
            <a:solidFill>
              <a:schemeClr val="accent6"/>
            </a:solidFill>
            <a:ln>
              <a:noFill/>
            </a:ln>
            <a:effectLst/>
          </c:spPr>
          <c:invertIfNegative val="0"/>
          <c:cat>
            <c:strRef>
              <c:f>'For Graphics1'!$AU$235:$AU$236</c:f>
              <c:strCache>
                <c:ptCount val="2"/>
                <c:pt idx="0">
                  <c:v>AWE</c:v>
                </c:pt>
                <c:pt idx="1">
                  <c:v>HAWT</c:v>
                </c:pt>
              </c:strCache>
            </c:strRef>
          </c:cat>
          <c:val>
            <c:numRef>
              <c:f>'For Graphics1'!$Q$237:$R$237</c:f>
              <c:numCache>
                <c:formatCode>General</c:formatCode>
                <c:ptCount val="2"/>
                <c:pt idx="0">
                  <c:v>45579.48</c:v>
                </c:pt>
                <c:pt idx="1">
                  <c:v>43685.265299999999</c:v>
                </c:pt>
              </c:numCache>
            </c:numRef>
          </c:val>
          <c:extLst>
            <c:ext xmlns:c16="http://schemas.microsoft.com/office/drawing/2014/chart" uri="{C3380CC4-5D6E-409C-BE32-E72D297353CC}">
              <c16:uniqueId val="{00000006-57B4-44B8-8FD7-EF9BE2B7F8D0}"/>
            </c:ext>
          </c:extLst>
        </c:ser>
        <c:dLbls>
          <c:showLegendKey val="0"/>
          <c:showVal val="0"/>
          <c:showCatName val="0"/>
          <c:showSerName val="0"/>
          <c:showPercent val="0"/>
          <c:showBubbleSize val="0"/>
        </c:dLbls>
        <c:gapWidth val="150"/>
        <c:overlap val="100"/>
        <c:axId val="329772376"/>
        <c:axId val="329772704"/>
      </c:barChart>
      <c:catAx>
        <c:axId val="329772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329772704"/>
        <c:crosses val="autoZero"/>
        <c:auto val="1"/>
        <c:lblAlgn val="ctr"/>
        <c:lblOffset val="100"/>
        <c:noMultiLvlLbl val="0"/>
      </c:catAx>
      <c:valAx>
        <c:axId val="3297727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772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 Graphics'!$AE$39</c:f>
              <c:strCache>
                <c:ptCount val="1"/>
                <c:pt idx="0">
                  <c:v>Tether</c:v>
                </c:pt>
              </c:strCache>
            </c:strRef>
          </c:tx>
          <c:spPr>
            <a:solidFill>
              <a:schemeClr val="accent1"/>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Graphics'!$AF$39:$AY$39</c:f>
              <c:numCache>
                <c:formatCode>General</c:formatCode>
                <c:ptCount val="20"/>
                <c:pt idx="0">
                  <c:v>960995.54410004476</c:v>
                </c:pt>
              </c:numCache>
            </c:numRef>
          </c:val>
          <c:extLst>
            <c:ext xmlns:c16="http://schemas.microsoft.com/office/drawing/2014/chart" uri="{C3380CC4-5D6E-409C-BE32-E72D297353CC}">
              <c16:uniqueId val="{00000000-5E18-4116-A058-A2596E51F315}"/>
            </c:ext>
          </c:extLst>
        </c:ser>
        <c:ser>
          <c:idx val="1"/>
          <c:order val="1"/>
          <c:tx>
            <c:strRef>
              <c:f>'For Graphics'!$AE$40</c:f>
              <c:strCache>
                <c:ptCount val="1"/>
              </c:strCache>
            </c:strRef>
          </c:tx>
          <c:spPr>
            <a:solidFill>
              <a:schemeClr val="accent2"/>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Graphics'!$AF$40:$AY$40</c:f>
              <c:numCache>
                <c:formatCode>General</c:formatCode>
                <c:ptCount val="20"/>
                <c:pt idx="0">
                  <c:v>4</c:v>
                </c:pt>
              </c:numCache>
            </c:numRef>
          </c:val>
          <c:extLst>
            <c:ext xmlns:c16="http://schemas.microsoft.com/office/drawing/2014/chart" uri="{C3380CC4-5D6E-409C-BE32-E72D297353CC}">
              <c16:uniqueId val="{00000001-5E18-4116-A058-A2596E51F315}"/>
            </c:ext>
          </c:extLst>
        </c:ser>
        <c:ser>
          <c:idx val="2"/>
          <c:order val="2"/>
          <c:tx>
            <c:strRef>
              <c:f>'For Graphics'!$AE$41</c:f>
              <c:strCache>
                <c:ptCount val="1"/>
              </c:strCache>
            </c:strRef>
          </c:tx>
          <c:spPr>
            <a:solidFill>
              <a:schemeClr val="accent3"/>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Graphics'!$AF$41:$AY$41</c:f>
              <c:numCache>
                <c:formatCode>General</c:formatCode>
                <c:ptCount val="20"/>
              </c:numCache>
            </c:numRef>
          </c:val>
          <c:extLst>
            <c:ext xmlns:c16="http://schemas.microsoft.com/office/drawing/2014/chart" uri="{C3380CC4-5D6E-409C-BE32-E72D297353CC}">
              <c16:uniqueId val="{00000002-5E18-4116-A058-A2596E51F315}"/>
            </c:ext>
          </c:extLst>
        </c:ser>
        <c:ser>
          <c:idx val="3"/>
          <c:order val="3"/>
          <c:tx>
            <c:strRef>
              <c:f>'For Graphics'!$AE$42</c:f>
              <c:strCache>
                <c:ptCount val="1"/>
                <c:pt idx="0">
                  <c:v>LLA</c:v>
                </c:pt>
              </c:strCache>
            </c:strRef>
          </c:tx>
          <c:spPr>
            <a:solidFill>
              <a:schemeClr val="accent4"/>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Graphics'!$AF$42:$AY$42</c:f>
              <c:numCache>
                <c:formatCode>General</c:formatCode>
                <c:ptCount val="20"/>
                <c:pt idx="1">
                  <c:v>6813242.5653764559</c:v>
                </c:pt>
                <c:pt idx="2">
                  <c:v>1953272.4</c:v>
                </c:pt>
                <c:pt idx="3">
                  <c:v>2842213.918302373</c:v>
                </c:pt>
                <c:pt idx="4">
                  <c:v>1082285.6000000001</c:v>
                </c:pt>
              </c:numCache>
            </c:numRef>
          </c:val>
          <c:extLst>
            <c:ext xmlns:c16="http://schemas.microsoft.com/office/drawing/2014/chart" uri="{C3380CC4-5D6E-409C-BE32-E72D297353CC}">
              <c16:uniqueId val="{00000003-5E18-4116-A058-A2596E51F315}"/>
            </c:ext>
          </c:extLst>
        </c:ser>
        <c:ser>
          <c:idx val="4"/>
          <c:order val="4"/>
          <c:tx>
            <c:strRef>
              <c:f>'For Graphics'!$AE$43</c:f>
              <c:strCache>
                <c:ptCount val="1"/>
              </c:strCache>
            </c:strRef>
          </c:tx>
          <c:spPr>
            <a:solidFill>
              <a:schemeClr val="accent5"/>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Graphics'!$AF$43:$AY$43</c:f>
              <c:numCache>
                <c:formatCode>General</c:formatCode>
                <c:ptCount val="20"/>
              </c:numCache>
            </c:numRef>
          </c:val>
          <c:extLst>
            <c:ext xmlns:c16="http://schemas.microsoft.com/office/drawing/2014/chart" uri="{C3380CC4-5D6E-409C-BE32-E72D297353CC}">
              <c16:uniqueId val="{00000004-5E18-4116-A058-A2596E51F315}"/>
            </c:ext>
          </c:extLst>
        </c:ser>
        <c:ser>
          <c:idx val="5"/>
          <c:order val="5"/>
          <c:tx>
            <c:strRef>
              <c:f>'For Graphics'!$AE$44</c:f>
              <c:strCache>
                <c:ptCount val="1"/>
              </c:strCache>
            </c:strRef>
          </c:tx>
          <c:spPr>
            <a:solidFill>
              <a:schemeClr val="accent6"/>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Graphics'!$AF$44:$AY$44</c:f>
              <c:numCache>
                <c:formatCode>General</c:formatCode>
                <c:ptCount val="20"/>
              </c:numCache>
            </c:numRef>
          </c:val>
          <c:extLst>
            <c:ext xmlns:c16="http://schemas.microsoft.com/office/drawing/2014/chart" uri="{C3380CC4-5D6E-409C-BE32-E72D297353CC}">
              <c16:uniqueId val="{00000005-5E18-4116-A058-A2596E51F315}"/>
            </c:ext>
          </c:extLst>
        </c:ser>
        <c:ser>
          <c:idx val="6"/>
          <c:order val="6"/>
          <c:tx>
            <c:strRef>
              <c:f>'For Graphics'!$AE$45</c:f>
              <c:strCache>
                <c:ptCount val="1"/>
                <c:pt idx="0">
                  <c:v>Aircraft</c:v>
                </c:pt>
              </c:strCache>
            </c:strRef>
          </c:tx>
          <c:spPr>
            <a:solidFill>
              <a:schemeClr val="accent1">
                <a:lumMod val="6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Graphics'!$AF$45:$AY$45</c:f>
              <c:numCache>
                <c:formatCode>General</c:formatCode>
                <c:ptCount val="20"/>
                <c:pt idx="5">
                  <c:v>7551759.3113427823</c:v>
                </c:pt>
              </c:numCache>
            </c:numRef>
          </c:val>
          <c:extLst>
            <c:ext xmlns:c16="http://schemas.microsoft.com/office/drawing/2014/chart" uri="{C3380CC4-5D6E-409C-BE32-E72D297353CC}">
              <c16:uniqueId val="{00000006-5E18-4116-A058-A2596E51F315}"/>
            </c:ext>
          </c:extLst>
        </c:ser>
        <c:ser>
          <c:idx val="7"/>
          <c:order val="7"/>
          <c:tx>
            <c:strRef>
              <c:f>'For Graphics'!$AE$46</c:f>
              <c:strCache>
                <c:ptCount val="1"/>
              </c:strCache>
            </c:strRef>
          </c:tx>
          <c:spPr>
            <a:solidFill>
              <a:schemeClr val="accent2">
                <a:lumMod val="6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Graphics'!$AF$46:$AY$46</c:f>
              <c:numCache>
                <c:formatCode>General</c:formatCode>
                <c:ptCount val="20"/>
              </c:numCache>
            </c:numRef>
          </c:val>
          <c:extLst>
            <c:ext xmlns:c16="http://schemas.microsoft.com/office/drawing/2014/chart" uri="{C3380CC4-5D6E-409C-BE32-E72D297353CC}">
              <c16:uniqueId val="{00000007-5E18-4116-A058-A2596E51F315}"/>
            </c:ext>
          </c:extLst>
        </c:ser>
        <c:ser>
          <c:idx val="8"/>
          <c:order val="8"/>
          <c:tx>
            <c:strRef>
              <c:f>'For Graphics'!$AE$47</c:f>
              <c:strCache>
                <c:ptCount val="1"/>
              </c:strCache>
            </c:strRef>
          </c:tx>
          <c:spPr>
            <a:solidFill>
              <a:schemeClr val="accent3">
                <a:lumMod val="6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Graphics'!$AF$47:$AY$47</c:f>
              <c:numCache>
                <c:formatCode>General</c:formatCode>
                <c:ptCount val="20"/>
              </c:numCache>
            </c:numRef>
          </c:val>
          <c:extLst>
            <c:ext xmlns:c16="http://schemas.microsoft.com/office/drawing/2014/chart" uri="{C3380CC4-5D6E-409C-BE32-E72D297353CC}">
              <c16:uniqueId val="{00000008-5E18-4116-A058-A2596E51F315}"/>
            </c:ext>
          </c:extLst>
        </c:ser>
        <c:ser>
          <c:idx val="9"/>
          <c:order val="9"/>
          <c:tx>
            <c:strRef>
              <c:f>'For Graphics'!$AE$48</c:f>
              <c:strCache>
                <c:ptCount val="1"/>
                <c:pt idx="0">
                  <c:v>PGA</c:v>
                </c:pt>
              </c:strCache>
            </c:strRef>
          </c:tx>
          <c:spPr>
            <a:solidFill>
              <a:schemeClr val="accent4">
                <a:lumMod val="6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Graphics'!$AF$48:$AY$48</c:f>
              <c:numCache>
                <c:formatCode>General</c:formatCode>
                <c:ptCount val="20"/>
                <c:pt idx="6">
                  <c:v>2899466.9055184745</c:v>
                </c:pt>
                <c:pt idx="7">
                  <c:v>3027520</c:v>
                </c:pt>
                <c:pt idx="8">
                  <c:v>9322752.0546666663</c:v>
                </c:pt>
                <c:pt idx="9">
                  <c:v>745011.01333333331</c:v>
                </c:pt>
                <c:pt idx="10">
                  <c:v>256128.19199999998</c:v>
                </c:pt>
                <c:pt idx="11">
                  <c:v>285000</c:v>
                </c:pt>
                <c:pt idx="12">
                  <c:v>1050779.3883367174</c:v>
                </c:pt>
                <c:pt idx="13">
                  <c:v>417127.85765124555</c:v>
                </c:pt>
                <c:pt idx="14">
                  <c:v>1542750.3</c:v>
                </c:pt>
              </c:numCache>
            </c:numRef>
          </c:val>
          <c:extLst>
            <c:ext xmlns:c16="http://schemas.microsoft.com/office/drawing/2014/chart" uri="{C3380CC4-5D6E-409C-BE32-E72D297353CC}">
              <c16:uniqueId val="{00000009-5E18-4116-A058-A2596E51F315}"/>
            </c:ext>
          </c:extLst>
        </c:ser>
        <c:ser>
          <c:idx val="10"/>
          <c:order val="10"/>
          <c:tx>
            <c:strRef>
              <c:f>'For Graphics'!$AE$49</c:f>
              <c:strCache>
                <c:ptCount val="1"/>
              </c:strCache>
            </c:strRef>
          </c:tx>
          <c:spPr>
            <a:solidFill>
              <a:schemeClr val="accent5">
                <a:lumMod val="6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Graphics'!$AF$49:$AY$49</c:f>
              <c:numCache>
                <c:formatCode>General</c:formatCode>
                <c:ptCount val="20"/>
              </c:numCache>
            </c:numRef>
          </c:val>
          <c:extLst>
            <c:ext xmlns:c16="http://schemas.microsoft.com/office/drawing/2014/chart" uri="{C3380CC4-5D6E-409C-BE32-E72D297353CC}">
              <c16:uniqueId val="{0000000A-5E18-4116-A058-A2596E51F315}"/>
            </c:ext>
          </c:extLst>
        </c:ser>
        <c:ser>
          <c:idx val="11"/>
          <c:order val="11"/>
          <c:tx>
            <c:strRef>
              <c:f>'For Graphics'!$AE$50</c:f>
              <c:strCache>
                <c:ptCount val="1"/>
              </c:strCache>
            </c:strRef>
          </c:tx>
          <c:spPr>
            <a:solidFill>
              <a:schemeClr val="accent6">
                <a:lumMod val="6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Graphics'!$AF$50:$AY$50</c:f>
              <c:numCache>
                <c:formatCode>General</c:formatCode>
                <c:ptCount val="20"/>
              </c:numCache>
            </c:numRef>
          </c:val>
          <c:extLst>
            <c:ext xmlns:c16="http://schemas.microsoft.com/office/drawing/2014/chart" uri="{C3380CC4-5D6E-409C-BE32-E72D297353CC}">
              <c16:uniqueId val="{0000000B-5E18-4116-A058-A2596E51F315}"/>
            </c:ext>
          </c:extLst>
        </c:ser>
        <c:ser>
          <c:idx val="12"/>
          <c:order val="12"/>
          <c:tx>
            <c:strRef>
              <c:f>'For Graphics'!$AE$51</c:f>
              <c:strCache>
                <c:ptCount val="1"/>
                <c:pt idx="0">
                  <c:v>Foundation</c:v>
                </c:pt>
              </c:strCache>
            </c:strRef>
          </c:tx>
          <c:spPr>
            <a:solidFill>
              <a:schemeClr val="accent1">
                <a:lumMod val="80000"/>
                <a:lumOff val="2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Graphics'!$AF$51:$AY$51</c:f>
              <c:numCache>
                <c:formatCode>General</c:formatCode>
                <c:ptCount val="20"/>
                <c:pt idx="15">
                  <c:v>700681.37266706803</c:v>
                </c:pt>
              </c:numCache>
            </c:numRef>
          </c:val>
          <c:extLst>
            <c:ext xmlns:c16="http://schemas.microsoft.com/office/drawing/2014/chart" uri="{C3380CC4-5D6E-409C-BE32-E72D297353CC}">
              <c16:uniqueId val="{0000000C-5E18-4116-A058-A2596E51F315}"/>
            </c:ext>
          </c:extLst>
        </c:ser>
        <c:ser>
          <c:idx val="13"/>
          <c:order val="13"/>
          <c:tx>
            <c:strRef>
              <c:f>'For Graphics'!$AE$52</c:f>
              <c:strCache>
                <c:ptCount val="1"/>
              </c:strCache>
            </c:strRef>
          </c:tx>
          <c:spPr>
            <a:solidFill>
              <a:schemeClr val="accent2">
                <a:lumMod val="80000"/>
                <a:lumOff val="2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Graphics'!$AF$52:$AY$52</c:f>
              <c:numCache>
                <c:formatCode>General</c:formatCode>
                <c:ptCount val="20"/>
              </c:numCache>
            </c:numRef>
          </c:val>
          <c:extLst>
            <c:ext xmlns:c16="http://schemas.microsoft.com/office/drawing/2014/chart" uri="{C3380CC4-5D6E-409C-BE32-E72D297353CC}">
              <c16:uniqueId val="{0000000D-5E18-4116-A058-A2596E51F315}"/>
            </c:ext>
          </c:extLst>
        </c:ser>
        <c:ser>
          <c:idx val="14"/>
          <c:order val="14"/>
          <c:tx>
            <c:strRef>
              <c:f>'For Graphics'!$AE$53</c:f>
              <c:strCache>
                <c:ptCount val="1"/>
              </c:strCache>
            </c:strRef>
          </c:tx>
          <c:spPr>
            <a:solidFill>
              <a:schemeClr val="accent3">
                <a:lumMod val="80000"/>
                <a:lumOff val="2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Graphics'!$AF$53:$AY$53</c:f>
              <c:numCache>
                <c:formatCode>General</c:formatCode>
                <c:ptCount val="20"/>
              </c:numCache>
            </c:numRef>
          </c:val>
          <c:extLst>
            <c:ext xmlns:c16="http://schemas.microsoft.com/office/drawing/2014/chart" uri="{C3380CC4-5D6E-409C-BE32-E72D297353CC}">
              <c16:uniqueId val="{0000000E-5E18-4116-A058-A2596E51F315}"/>
            </c:ext>
          </c:extLst>
        </c:ser>
        <c:ser>
          <c:idx val="15"/>
          <c:order val="15"/>
          <c:tx>
            <c:strRef>
              <c:f>'For Graphics'!$AE$54</c:f>
              <c:strCache>
                <c:ptCount val="1"/>
                <c:pt idx="0">
                  <c:v>BOS</c:v>
                </c:pt>
              </c:strCache>
            </c:strRef>
          </c:tx>
          <c:spPr>
            <a:solidFill>
              <a:schemeClr val="accent4">
                <a:lumMod val="80000"/>
                <a:lumOff val="2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Graphics'!$AF$54:$AY$54</c:f>
              <c:numCache>
                <c:formatCode>General</c:formatCode>
                <c:ptCount val="20"/>
                <c:pt idx="16">
                  <c:v>4848308.287386233</c:v>
                </c:pt>
              </c:numCache>
            </c:numRef>
          </c:val>
          <c:extLst>
            <c:ext xmlns:c16="http://schemas.microsoft.com/office/drawing/2014/chart" uri="{C3380CC4-5D6E-409C-BE32-E72D297353CC}">
              <c16:uniqueId val="{0000000F-5E18-4116-A058-A2596E51F315}"/>
            </c:ext>
          </c:extLst>
        </c:ser>
        <c:ser>
          <c:idx val="16"/>
          <c:order val="16"/>
          <c:tx>
            <c:strRef>
              <c:f>'For Graphics'!$AE$55</c:f>
              <c:strCache>
                <c:ptCount val="1"/>
                <c:pt idx="0">
                  <c:v>Installation</c:v>
                </c:pt>
              </c:strCache>
            </c:strRef>
          </c:tx>
          <c:spPr>
            <a:solidFill>
              <a:schemeClr val="accent5">
                <a:lumMod val="80000"/>
                <a:lumOff val="2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Graphics'!$AF$55:$AY$55</c:f>
              <c:numCache>
                <c:formatCode>General</c:formatCode>
                <c:ptCount val="20"/>
              </c:numCache>
            </c:numRef>
          </c:val>
          <c:extLst>
            <c:ext xmlns:c16="http://schemas.microsoft.com/office/drawing/2014/chart" uri="{C3380CC4-5D6E-409C-BE32-E72D297353CC}">
              <c16:uniqueId val="{00000010-5E18-4116-A058-A2596E51F315}"/>
            </c:ext>
          </c:extLst>
        </c:ser>
        <c:ser>
          <c:idx val="17"/>
          <c:order val="17"/>
          <c:tx>
            <c:strRef>
              <c:f>'For Graphics'!$AE$56</c:f>
              <c:strCache>
                <c:ptCount val="1"/>
                <c:pt idx="0">
                  <c:v>O\&amp;M</c:v>
                </c:pt>
              </c:strCache>
            </c:strRef>
          </c:tx>
          <c:spPr>
            <a:solidFill>
              <a:schemeClr val="accent6">
                <a:lumMod val="80000"/>
                <a:lumOff val="2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Graphics'!$AF$56:$AY$56</c:f>
              <c:numCache>
                <c:formatCode>General</c:formatCode>
                <c:ptCount val="20"/>
              </c:numCache>
            </c:numRef>
          </c:val>
          <c:extLst>
            <c:ext xmlns:c16="http://schemas.microsoft.com/office/drawing/2014/chart" uri="{C3380CC4-5D6E-409C-BE32-E72D297353CC}">
              <c16:uniqueId val="{00000011-5E18-4116-A058-A2596E51F315}"/>
            </c:ext>
          </c:extLst>
        </c:ser>
        <c:ser>
          <c:idx val="18"/>
          <c:order val="18"/>
          <c:tx>
            <c:strRef>
              <c:f>'For Graphics'!$AE$57</c:f>
              <c:strCache>
                <c:ptCount val="1"/>
                <c:pt idx="0">
                  <c:v>EOL</c:v>
                </c:pt>
              </c:strCache>
            </c:strRef>
          </c:tx>
          <c:spPr>
            <a:solidFill>
              <a:schemeClr val="accent1">
                <a:lumMod val="80000"/>
              </a:schemeClr>
            </a:solidFill>
            <a:ln>
              <a:noFill/>
            </a:ln>
            <a:effectLst/>
          </c:spPr>
          <c:invertIfNegative val="0"/>
          <c:cat>
            <c:strRef>
              <c:f>'For Graphics'!$AF$38:$AY$38</c:f>
              <c:strCache>
                <c:ptCount val="20"/>
                <c:pt idx="0">
                  <c:v>Tether</c:v>
                </c:pt>
                <c:pt idx="1">
                  <c:v>Full deck</c:v>
                </c:pt>
                <c:pt idx="2">
                  <c:v>Catapult</c:v>
                </c:pt>
                <c:pt idx="3">
                  <c:v>Shifter</c:v>
                </c:pt>
                <c:pt idx="4">
                  <c:v>Yaw</c:v>
                </c:pt>
                <c:pt idx="5">
                  <c:v>Aircraft</c:v>
                </c:pt>
                <c:pt idx="6">
                  <c:v>Drum</c:v>
                </c:pt>
                <c:pt idx="7">
                  <c:v>Hydro pistons</c:v>
                </c:pt>
                <c:pt idx="8">
                  <c:v>Hydro accumul</c:v>
                </c:pt>
                <c:pt idx="9">
                  <c:v>Hydro extras</c:v>
                </c:pt>
                <c:pt idx="10">
                  <c:v>Hydro motor grid</c:v>
                </c:pt>
                <c:pt idx="11">
                  <c:v>Electronics</c:v>
                </c:pt>
                <c:pt idx="12">
                  <c:v>Generator </c:v>
                </c:pt>
                <c:pt idx="13">
                  <c:v>Converter</c:v>
                </c:pt>
                <c:pt idx="14">
                  <c:v>Transformer</c:v>
                </c:pt>
                <c:pt idx="15">
                  <c:v>Foundations</c:v>
                </c:pt>
                <c:pt idx="16">
                  <c:v>Cables</c:v>
                </c:pt>
                <c:pt idx="17">
                  <c:v>Installation</c:v>
                </c:pt>
                <c:pt idx="18">
                  <c:v>O\&amp;M </c:v>
                </c:pt>
                <c:pt idx="19">
                  <c:v>EOL</c:v>
                </c:pt>
              </c:strCache>
            </c:strRef>
          </c:cat>
          <c:val>
            <c:numRef>
              <c:f>'For Graphics'!$AF$57:$AY$57</c:f>
              <c:numCache>
                <c:formatCode>General</c:formatCode>
                <c:ptCount val="20"/>
              </c:numCache>
            </c:numRef>
          </c:val>
          <c:extLst>
            <c:ext xmlns:c16="http://schemas.microsoft.com/office/drawing/2014/chart" uri="{C3380CC4-5D6E-409C-BE32-E72D297353CC}">
              <c16:uniqueId val="{00000012-5E18-4116-A058-A2596E51F315}"/>
            </c:ext>
          </c:extLst>
        </c:ser>
        <c:dLbls>
          <c:showLegendKey val="0"/>
          <c:showVal val="0"/>
          <c:showCatName val="0"/>
          <c:showSerName val="0"/>
          <c:showPercent val="0"/>
          <c:showBubbleSize val="0"/>
        </c:dLbls>
        <c:gapWidth val="219"/>
        <c:overlap val="-27"/>
        <c:axId val="1306843824"/>
        <c:axId val="1306844152"/>
      </c:barChart>
      <c:catAx>
        <c:axId val="130684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844152"/>
        <c:crosses val="autoZero"/>
        <c:auto val="1"/>
        <c:lblAlgn val="ctr"/>
        <c:lblOffset val="100"/>
        <c:noMultiLvlLbl val="0"/>
      </c:catAx>
      <c:valAx>
        <c:axId val="1306844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843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Graphics'!$L$77:$L$93</c:f>
              <c:numCache>
                <c:formatCode>General</c:formatCode>
                <c:ptCount val="17"/>
                <c:pt idx="0">
                  <c:v>285418.73543352028</c:v>
                </c:pt>
                <c:pt idx="1">
                  <c:v>505627.67282658967</c:v>
                </c:pt>
                <c:pt idx="2">
                  <c:v>470496.6822765742</c:v>
                </c:pt>
                <c:pt idx="3">
                  <c:v>132296.28</c:v>
                </c:pt>
                <c:pt idx="4">
                  <c:v>198322.30600553524</c:v>
                </c:pt>
                <c:pt idx="5">
                  <c:v>74095.72</c:v>
                </c:pt>
                <c:pt idx="6">
                  <c:v>69937.890992530345</c:v>
                </c:pt>
                <c:pt idx="7">
                  <c:v>87457.5</c:v>
                </c:pt>
                <c:pt idx="8">
                  <c:v>180964.12309176949</c:v>
                </c:pt>
                <c:pt idx="9">
                  <c:v>29959.234733096084</c:v>
                </c:pt>
                <c:pt idx="10">
                  <c:v>18300</c:v>
                </c:pt>
                <c:pt idx="11">
                  <c:v>16717.742666666669</c:v>
                </c:pt>
                <c:pt idx="12">
                  <c:v>609112.09960000007</c:v>
                </c:pt>
                <c:pt idx="13">
                  <c:v>198224</c:v>
                </c:pt>
                <c:pt idx="14">
                  <c:v>16769.750400000001</c:v>
                </c:pt>
                <c:pt idx="15">
                  <c:v>75122.49969897652</c:v>
                </c:pt>
                <c:pt idx="16">
                  <c:v>303764.63315007358</c:v>
                </c:pt>
              </c:numCache>
            </c:numRef>
          </c:val>
          <c:extLst>
            <c:ext xmlns:c16="http://schemas.microsoft.com/office/drawing/2014/chart" uri="{C3380CC4-5D6E-409C-BE32-E72D297353CC}">
              <c16:uniqueId val="{00000000-10E2-4178-8143-289656B7F130}"/>
            </c:ext>
          </c:extLst>
        </c:ser>
        <c:dLbls>
          <c:showLegendKey val="0"/>
          <c:showVal val="0"/>
          <c:showCatName val="0"/>
          <c:showSerName val="0"/>
          <c:showPercent val="0"/>
          <c:showBubbleSize val="0"/>
        </c:dLbls>
        <c:gapWidth val="219"/>
        <c:axId val="748159576"/>
        <c:axId val="748157936"/>
      </c:barChart>
      <c:barChart>
        <c:barDir val="col"/>
        <c:grouping val="clustered"/>
        <c:varyColors val="0"/>
        <c:ser>
          <c:idx val="1"/>
          <c:order val="1"/>
          <c:spPr>
            <a:solidFill>
              <a:schemeClr val="accent2"/>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Graphics'!$P$77:$P$93</c:f>
              <c:numCache>
                <c:formatCode>General</c:formatCode>
                <c:ptCount val="17"/>
                <c:pt idx="0">
                  <c:v>9237797.4274705891</c:v>
                </c:pt>
                <c:pt idx="1">
                  <c:v>8872998.9113427829</c:v>
                </c:pt>
                <c:pt idx="2">
                  <c:v>6813242.5653764559</c:v>
                </c:pt>
                <c:pt idx="3">
                  <c:v>1953272.4</c:v>
                </c:pt>
                <c:pt idx="4">
                  <c:v>2842213.918302373</c:v>
                </c:pt>
                <c:pt idx="5">
                  <c:v>1082285.6000000001</c:v>
                </c:pt>
                <c:pt idx="6">
                  <c:v>1050779.3883367174</c:v>
                </c:pt>
                <c:pt idx="7">
                  <c:v>1542750.3</c:v>
                </c:pt>
                <c:pt idx="8">
                  <c:v>2899466.9055184745</c:v>
                </c:pt>
                <c:pt idx="9">
                  <c:v>417127.85765124555</c:v>
                </c:pt>
                <c:pt idx="10">
                  <c:v>285000</c:v>
                </c:pt>
                <c:pt idx="11">
                  <c:v>745011.01333333331</c:v>
                </c:pt>
                <c:pt idx="12">
                  <c:v>9322752.0546666663</c:v>
                </c:pt>
                <c:pt idx="13">
                  <c:v>3027520</c:v>
                </c:pt>
                <c:pt idx="14">
                  <c:v>256128.19199999998</c:v>
                </c:pt>
                <c:pt idx="15">
                  <c:v>700681.37266706803</c:v>
                </c:pt>
                <c:pt idx="16">
                  <c:v>4848308.287386233</c:v>
                </c:pt>
              </c:numCache>
            </c:numRef>
          </c:val>
          <c:extLst>
            <c:ext xmlns:c16="http://schemas.microsoft.com/office/drawing/2014/chart" uri="{C3380CC4-5D6E-409C-BE32-E72D297353CC}">
              <c16:uniqueId val="{00000001-10E2-4178-8143-289656B7F130}"/>
            </c:ext>
          </c:extLst>
        </c:ser>
        <c:dLbls>
          <c:showLegendKey val="0"/>
          <c:showVal val="0"/>
          <c:showCatName val="0"/>
          <c:showSerName val="0"/>
          <c:showPercent val="0"/>
          <c:showBubbleSize val="0"/>
        </c:dLbls>
        <c:gapWidth val="219"/>
        <c:axId val="659387120"/>
        <c:axId val="659383840"/>
      </c:barChart>
      <c:catAx>
        <c:axId val="748159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57936"/>
        <c:crosses val="autoZero"/>
        <c:auto val="1"/>
        <c:lblAlgn val="ctr"/>
        <c:lblOffset val="100"/>
        <c:noMultiLvlLbl val="0"/>
      </c:catAx>
      <c:valAx>
        <c:axId val="74815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59576"/>
        <c:crosses val="autoZero"/>
        <c:crossBetween val="between"/>
      </c:valAx>
      <c:valAx>
        <c:axId val="6593838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387120"/>
        <c:crosses val="max"/>
        <c:crossBetween val="between"/>
      </c:valAx>
      <c:catAx>
        <c:axId val="659387120"/>
        <c:scaling>
          <c:orientation val="minMax"/>
        </c:scaling>
        <c:delete val="1"/>
        <c:axPos val="b"/>
        <c:numFmt formatCode="General" sourceLinked="1"/>
        <c:majorTickMark val="out"/>
        <c:minorTickMark val="none"/>
        <c:tickLblPos val="nextTo"/>
        <c:crossAx val="6593838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Graphics'!$L$77:$L$93</c:f>
              <c:numCache>
                <c:formatCode>General</c:formatCode>
                <c:ptCount val="17"/>
                <c:pt idx="0">
                  <c:v>285418.73543352028</c:v>
                </c:pt>
                <c:pt idx="1">
                  <c:v>505627.67282658967</c:v>
                </c:pt>
                <c:pt idx="2">
                  <c:v>470496.6822765742</c:v>
                </c:pt>
                <c:pt idx="3">
                  <c:v>132296.28</c:v>
                </c:pt>
                <c:pt idx="4">
                  <c:v>198322.30600553524</c:v>
                </c:pt>
                <c:pt idx="5">
                  <c:v>74095.72</c:v>
                </c:pt>
                <c:pt idx="6">
                  <c:v>69937.890992530345</c:v>
                </c:pt>
                <c:pt idx="7">
                  <c:v>87457.5</c:v>
                </c:pt>
                <c:pt idx="8">
                  <c:v>180964.12309176949</c:v>
                </c:pt>
                <c:pt idx="9">
                  <c:v>29959.234733096084</c:v>
                </c:pt>
                <c:pt idx="10">
                  <c:v>18300</c:v>
                </c:pt>
                <c:pt idx="11">
                  <c:v>16717.742666666669</c:v>
                </c:pt>
                <c:pt idx="12">
                  <c:v>609112.09960000007</c:v>
                </c:pt>
                <c:pt idx="13">
                  <c:v>198224</c:v>
                </c:pt>
                <c:pt idx="14">
                  <c:v>16769.750400000001</c:v>
                </c:pt>
                <c:pt idx="15">
                  <c:v>75122.49969897652</c:v>
                </c:pt>
                <c:pt idx="16">
                  <c:v>303764.63315007358</c:v>
                </c:pt>
              </c:numCache>
            </c:numRef>
          </c:val>
          <c:extLst>
            <c:ext xmlns:c16="http://schemas.microsoft.com/office/drawing/2014/chart" uri="{C3380CC4-5D6E-409C-BE32-E72D297353CC}">
              <c16:uniqueId val="{00000000-DB43-470D-810B-A7641E93CE10}"/>
            </c:ext>
          </c:extLst>
        </c:ser>
        <c:ser>
          <c:idx val="1"/>
          <c:order val="1"/>
          <c:spPr>
            <a:solidFill>
              <a:schemeClr val="accent2"/>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Graphics'!$M$77:$M$93</c:f>
              <c:numCache>
                <c:formatCode>General</c:formatCode>
                <c:ptCount val="17"/>
              </c:numCache>
            </c:numRef>
          </c:val>
          <c:extLst>
            <c:ext xmlns:c16="http://schemas.microsoft.com/office/drawing/2014/chart" uri="{C3380CC4-5D6E-409C-BE32-E72D297353CC}">
              <c16:uniqueId val="{00000001-DB43-470D-810B-A7641E93CE10}"/>
            </c:ext>
          </c:extLst>
        </c:ser>
        <c:ser>
          <c:idx val="2"/>
          <c:order val="2"/>
          <c:spPr>
            <a:solidFill>
              <a:schemeClr val="accent3"/>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Graphics'!$N$77:$N$93</c:f>
              <c:numCache>
                <c:formatCode>General</c:formatCode>
                <c:ptCount val="17"/>
              </c:numCache>
            </c:numRef>
          </c:val>
          <c:extLst>
            <c:ext xmlns:c16="http://schemas.microsoft.com/office/drawing/2014/chart" uri="{C3380CC4-5D6E-409C-BE32-E72D297353CC}">
              <c16:uniqueId val="{00000002-DB43-470D-810B-A7641E93CE10}"/>
            </c:ext>
          </c:extLst>
        </c:ser>
        <c:dLbls>
          <c:showLegendKey val="0"/>
          <c:showVal val="0"/>
          <c:showCatName val="0"/>
          <c:showSerName val="0"/>
          <c:showPercent val="0"/>
          <c:showBubbleSize val="0"/>
        </c:dLbls>
        <c:gapWidth val="219"/>
        <c:axId val="449422560"/>
        <c:axId val="449423216"/>
      </c:barChart>
      <c:barChart>
        <c:barDir val="col"/>
        <c:grouping val="clustered"/>
        <c:varyColors val="0"/>
        <c:ser>
          <c:idx val="3"/>
          <c:order val="3"/>
          <c:spPr>
            <a:solidFill>
              <a:schemeClr val="accent4"/>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Graphics'!$O$77:$O$93</c:f>
              <c:numCache>
                <c:formatCode>General</c:formatCode>
                <c:ptCount val="17"/>
              </c:numCache>
            </c:numRef>
          </c:val>
          <c:extLst>
            <c:ext xmlns:c16="http://schemas.microsoft.com/office/drawing/2014/chart" uri="{C3380CC4-5D6E-409C-BE32-E72D297353CC}">
              <c16:uniqueId val="{00000003-DB43-470D-810B-A7641E93CE10}"/>
            </c:ext>
          </c:extLst>
        </c:ser>
        <c:ser>
          <c:idx val="4"/>
          <c:order val="4"/>
          <c:spPr>
            <a:solidFill>
              <a:schemeClr val="accent5"/>
            </a:solidFill>
            <a:ln>
              <a:noFill/>
            </a:ln>
            <a:effectLst/>
          </c:spPr>
          <c:invertIfNegative val="0"/>
          <c:cat>
            <c:strRef>
              <c:f>'For Graphics'!$K$77:$K$93</c:f>
              <c:strCache>
                <c:ptCount val="17"/>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strCache>
            </c:strRef>
          </c:cat>
          <c:val>
            <c:numRef>
              <c:f>'For Graphics'!$P$77:$P$93</c:f>
              <c:numCache>
                <c:formatCode>General</c:formatCode>
                <c:ptCount val="17"/>
                <c:pt idx="0">
                  <c:v>9237797.4274705891</c:v>
                </c:pt>
                <c:pt idx="1">
                  <c:v>8872998.9113427829</c:v>
                </c:pt>
                <c:pt idx="2">
                  <c:v>6813242.5653764559</c:v>
                </c:pt>
                <c:pt idx="3">
                  <c:v>1953272.4</c:v>
                </c:pt>
                <c:pt idx="4">
                  <c:v>2842213.918302373</c:v>
                </c:pt>
                <c:pt idx="5">
                  <c:v>1082285.6000000001</c:v>
                </c:pt>
                <c:pt idx="6">
                  <c:v>1050779.3883367174</c:v>
                </c:pt>
                <c:pt idx="7">
                  <c:v>1542750.3</c:v>
                </c:pt>
                <c:pt idx="8">
                  <c:v>2899466.9055184745</c:v>
                </c:pt>
                <c:pt idx="9">
                  <c:v>417127.85765124555</c:v>
                </c:pt>
                <c:pt idx="10">
                  <c:v>285000</c:v>
                </c:pt>
                <c:pt idx="11">
                  <c:v>745011.01333333331</c:v>
                </c:pt>
                <c:pt idx="12">
                  <c:v>9322752.0546666663</c:v>
                </c:pt>
                <c:pt idx="13">
                  <c:v>3027520</c:v>
                </c:pt>
                <c:pt idx="14">
                  <c:v>256128.19199999998</c:v>
                </c:pt>
                <c:pt idx="15">
                  <c:v>700681.37266706803</c:v>
                </c:pt>
                <c:pt idx="16">
                  <c:v>4848308.287386233</c:v>
                </c:pt>
              </c:numCache>
            </c:numRef>
          </c:val>
          <c:extLst>
            <c:ext xmlns:c16="http://schemas.microsoft.com/office/drawing/2014/chart" uri="{C3380CC4-5D6E-409C-BE32-E72D297353CC}">
              <c16:uniqueId val="{00000004-DB43-470D-810B-A7641E93CE10}"/>
            </c:ext>
          </c:extLst>
        </c:ser>
        <c:dLbls>
          <c:showLegendKey val="0"/>
          <c:showVal val="0"/>
          <c:showCatName val="0"/>
          <c:showSerName val="0"/>
          <c:showPercent val="0"/>
          <c:showBubbleSize val="0"/>
        </c:dLbls>
        <c:gapWidth val="219"/>
        <c:axId val="748151704"/>
        <c:axId val="748151376"/>
      </c:barChart>
      <c:catAx>
        <c:axId val="44942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23216"/>
        <c:crosses val="autoZero"/>
        <c:auto val="1"/>
        <c:lblAlgn val="ctr"/>
        <c:lblOffset val="100"/>
        <c:noMultiLvlLbl val="0"/>
      </c:catAx>
      <c:valAx>
        <c:axId val="44942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22560"/>
        <c:crosses val="autoZero"/>
        <c:crossBetween val="between"/>
      </c:valAx>
      <c:valAx>
        <c:axId val="7481513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151704"/>
        <c:crosses val="max"/>
        <c:crossBetween val="between"/>
      </c:valAx>
      <c:catAx>
        <c:axId val="748151704"/>
        <c:scaling>
          <c:orientation val="minMax"/>
        </c:scaling>
        <c:delete val="1"/>
        <c:axPos val="b"/>
        <c:numFmt formatCode="General" sourceLinked="1"/>
        <c:majorTickMark val="out"/>
        <c:minorTickMark val="none"/>
        <c:tickLblPos val="nextTo"/>
        <c:crossAx val="7481513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Graphics'!$T$77:$T$96</c:f>
              <c:numCache>
                <c:formatCode>0%</c:formatCode>
                <c:ptCount val="20"/>
                <c:pt idx="0">
                  <c:v>7.9130685705261605E-2</c:v>
                </c:pt>
                <c:pt idx="1">
                  <c:v>0.14018233386659718</c:v>
                </c:pt>
                <c:pt idx="2">
                  <c:v>0.13044247089822769</c:v>
                </c:pt>
                <c:pt idx="3">
                  <c:v>3.667837479818719E-2</c:v>
                </c:pt>
                <c:pt idx="4">
                  <c:v>5.4983706801973502E-2</c:v>
                </c:pt>
                <c:pt idx="5">
                  <c:v>2.054260776721412E-2</c:v>
                </c:pt>
                <c:pt idx="6">
                  <c:v>1.9389873837864433E-2</c:v>
                </c:pt>
                <c:pt idx="7">
                  <c:v>2.4247083621039504E-2</c:v>
                </c:pt>
                <c:pt idx="8">
                  <c:v>5.0171251465159883E-2</c:v>
                </c:pt>
                <c:pt idx="9">
                  <c:v>8.3060237234740507E-3</c:v>
                </c:pt>
                <c:pt idx="10">
                  <c:v>5.0735686506591538E-3</c:v>
                </c:pt>
                <c:pt idx="11">
                  <c:v>4.6348970001850801E-3</c:v>
                </c:pt>
                <c:pt idx="12">
                  <c:v>0.16887278979605116</c:v>
                </c:pt>
                <c:pt idx="13">
                  <c:v>5.4956452033238255E-2</c:v>
                </c:pt>
                <c:pt idx="14">
                  <c:v>4.649315842011956E-3</c:v>
                </c:pt>
                <c:pt idx="15">
                  <c:v>2.0827276471687375E-2</c:v>
                </c:pt>
                <c:pt idx="16">
                  <c:v>8.4216979231103356E-2</c:v>
                </c:pt>
                <c:pt idx="17">
                  <c:v>4.1684939549380608E-2</c:v>
                </c:pt>
                <c:pt idx="18">
                  <c:v>1.6229383435946147E-2</c:v>
                </c:pt>
                <c:pt idx="19">
                  <c:v>3.4779985504737633E-2</c:v>
                </c:pt>
              </c:numCache>
            </c:numRef>
          </c:val>
          <c:extLst>
            <c:ext xmlns:c16="http://schemas.microsoft.com/office/drawing/2014/chart" uri="{C3380CC4-5D6E-409C-BE32-E72D297353CC}">
              <c16:uniqueId val="{00000000-BBA0-4F30-8187-F37956693F8B}"/>
            </c:ext>
          </c:extLst>
        </c:ser>
        <c:ser>
          <c:idx val="1"/>
          <c:order val="1"/>
          <c:spPr>
            <a:solidFill>
              <a:schemeClr val="accent2"/>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Graphics'!$U$77:$U$96</c:f>
              <c:numCache>
                <c:formatCode>General</c:formatCode>
                <c:ptCount val="20"/>
              </c:numCache>
            </c:numRef>
          </c:val>
          <c:extLst>
            <c:ext xmlns:c16="http://schemas.microsoft.com/office/drawing/2014/chart" uri="{C3380CC4-5D6E-409C-BE32-E72D297353CC}">
              <c16:uniqueId val="{00000001-BBA0-4F30-8187-F37956693F8B}"/>
            </c:ext>
          </c:extLst>
        </c:ser>
        <c:dLbls>
          <c:showLegendKey val="0"/>
          <c:showVal val="0"/>
          <c:showCatName val="0"/>
          <c:showSerName val="0"/>
          <c:showPercent val="0"/>
          <c:showBubbleSize val="0"/>
        </c:dLbls>
        <c:gapWidth val="219"/>
        <c:axId val="801524400"/>
        <c:axId val="801523416"/>
      </c:barChart>
      <c:barChart>
        <c:barDir val="col"/>
        <c:grouping val="clustered"/>
        <c:varyColors val="0"/>
        <c:ser>
          <c:idx val="2"/>
          <c:order val="2"/>
          <c:spPr>
            <a:solidFill>
              <a:schemeClr val="accent3"/>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Graphics'!$V$77:$V$96</c:f>
              <c:numCache>
                <c:formatCode>General</c:formatCode>
                <c:ptCount val="20"/>
              </c:numCache>
            </c:numRef>
          </c:val>
          <c:extLst>
            <c:ext xmlns:c16="http://schemas.microsoft.com/office/drawing/2014/chart" uri="{C3380CC4-5D6E-409C-BE32-E72D297353CC}">
              <c16:uniqueId val="{00000002-BBA0-4F30-8187-F37956693F8B}"/>
            </c:ext>
          </c:extLst>
        </c:ser>
        <c:ser>
          <c:idx val="3"/>
          <c:order val="3"/>
          <c:spPr>
            <a:solidFill>
              <a:schemeClr val="accent4"/>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Graphics'!$X$77:$X$96</c:f>
              <c:numCache>
                <c:formatCode>0%</c:formatCode>
                <c:ptCount val="20"/>
                <c:pt idx="0">
                  <c:v>0.15668368845194766</c:v>
                </c:pt>
                <c:pt idx="1">
                  <c:v>0.1504962852860447</c:v>
                </c:pt>
                <c:pt idx="2">
                  <c:v>0.11556044434211989</c:v>
                </c:pt>
                <c:pt idx="3">
                  <c:v>3.3129750526169177E-2</c:v>
                </c:pt>
                <c:pt idx="4">
                  <c:v>4.8207222943079227E-2</c:v>
                </c:pt>
                <c:pt idx="5">
                  <c:v>1.8356810819661062E-2</c:v>
                </c:pt>
                <c:pt idx="6">
                  <c:v>1.7822429167399331E-2</c:v>
                </c:pt>
                <c:pt idx="7">
                  <c:v>2.6166822693635905E-2</c:v>
                </c:pt>
                <c:pt idx="8">
                  <c:v>4.917829957496498E-2</c:v>
                </c:pt>
                <c:pt idx="9">
                  <c:v>7.0749690936610663E-3</c:v>
                </c:pt>
                <c:pt idx="10">
                  <c:v>4.8339283860040294E-3</c:v>
                </c:pt>
                <c:pt idx="11">
                  <c:v>1.2636245211360092E-2</c:v>
                </c:pt>
                <c:pt idx="12">
                  <c:v>0.15812461681659856</c:v>
                </c:pt>
                <c:pt idx="13">
                  <c:v>5.1350227604192701E-2</c:v>
                </c:pt>
                <c:pt idx="14">
                  <c:v>4.3442292553147023E-3</c:v>
                </c:pt>
                <c:pt idx="15">
                  <c:v>1.1884363427647749E-2</c:v>
                </c:pt>
                <c:pt idx="16">
                  <c:v>8.2232894928052261E-2</c:v>
                </c:pt>
                <c:pt idx="17">
                  <c:v>3.6560065254767585E-2</c:v>
                </c:pt>
                <c:pt idx="18">
                  <c:v>6.8007758222115439E-3</c:v>
                </c:pt>
                <c:pt idx="19">
                  <c:v>8.5559303951678947E-3</c:v>
                </c:pt>
              </c:numCache>
            </c:numRef>
          </c:val>
          <c:extLst>
            <c:ext xmlns:c16="http://schemas.microsoft.com/office/drawing/2014/chart" uri="{C3380CC4-5D6E-409C-BE32-E72D297353CC}">
              <c16:uniqueId val="{00000003-BBA0-4F30-8187-F37956693F8B}"/>
            </c:ext>
          </c:extLst>
        </c:ser>
        <c:dLbls>
          <c:showLegendKey val="0"/>
          <c:showVal val="0"/>
          <c:showCatName val="0"/>
          <c:showSerName val="0"/>
          <c:showPercent val="0"/>
          <c:showBubbleSize val="0"/>
        </c:dLbls>
        <c:gapWidth val="219"/>
        <c:axId val="659371048"/>
        <c:axId val="659361864"/>
      </c:barChart>
      <c:catAx>
        <c:axId val="801524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23416"/>
        <c:crosses val="autoZero"/>
        <c:auto val="1"/>
        <c:lblAlgn val="ctr"/>
        <c:lblOffset val="100"/>
        <c:noMultiLvlLbl val="0"/>
      </c:catAx>
      <c:valAx>
        <c:axId val="801523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24400"/>
        <c:crosses val="autoZero"/>
        <c:crossBetween val="between"/>
      </c:valAx>
      <c:valAx>
        <c:axId val="6593618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371048"/>
        <c:crosses val="max"/>
        <c:crossBetween val="between"/>
      </c:valAx>
      <c:catAx>
        <c:axId val="659371048"/>
        <c:scaling>
          <c:orientation val="minMax"/>
        </c:scaling>
        <c:delete val="1"/>
        <c:axPos val="b"/>
        <c:numFmt formatCode="General" sourceLinked="1"/>
        <c:majorTickMark val="out"/>
        <c:minorTickMark val="none"/>
        <c:tickLblPos val="nextTo"/>
        <c:crossAx val="6593618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AWE Hot-Spots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rgbClr val="CCCC00"/>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Graphics'!$T$77:$T$96</c:f>
              <c:numCache>
                <c:formatCode>0%</c:formatCode>
                <c:ptCount val="20"/>
                <c:pt idx="0">
                  <c:v>7.9130685705261605E-2</c:v>
                </c:pt>
                <c:pt idx="1">
                  <c:v>0.14018233386659718</c:v>
                </c:pt>
                <c:pt idx="2">
                  <c:v>0.13044247089822769</c:v>
                </c:pt>
                <c:pt idx="3">
                  <c:v>3.667837479818719E-2</c:v>
                </c:pt>
                <c:pt idx="4">
                  <c:v>5.4983706801973502E-2</c:v>
                </c:pt>
                <c:pt idx="5">
                  <c:v>2.054260776721412E-2</c:v>
                </c:pt>
                <c:pt idx="6">
                  <c:v>1.9389873837864433E-2</c:v>
                </c:pt>
                <c:pt idx="7">
                  <c:v>2.4247083621039504E-2</c:v>
                </c:pt>
                <c:pt idx="8">
                  <c:v>5.0171251465159883E-2</c:v>
                </c:pt>
                <c:pt idx="9">
                  <c:v>8.3060237234740507E-3</c:v>
                </c:pt>
                <c:pt idx="10">
                  <c:v>5.0735686506591538E-3</c:v>
                </c:pt>
                <c:pt idx="11">
                  <c:v>4.6348970001850801E-3</c:v>
                </c:pt>
                <c:pt idx="12">
                  <c:v>0.16887278979605116</c:v>
                </c:pt>
                <c:pt idx="13">
                  <c:v>5.4956452033238255E-2</c:v>
                </c:pt>
                <c:pt idx="14">
                  <c:v>4.649315842011956E-3</c:v>
                </c:pt>
                <c:pt idx="15">
                  <c:v>2.0827276471687375E-2</c:v>
                </c:pt>
                <c:pt idx="16">
                  <c:v>8.4216979231103356E-2</c:v>
                </c:pt>
                <c:pt idx="17">
                  <c:v>4.1684939549380608E-2</c:v>
                </c:pt>
                <c:pt idx="18">
                  <c:v>1.6229383435946147E-2</c:v>
                </c:pt>
                <c:pt idx="19">
                  <c:v>3.4779985504737633E-2</c:v>
                </c:pt>
              </c:numCache>
            </c:numRef>
          </c:val>
          <c:extLst>
            <c:ext xmlns:c16="http://schemas.microsoft.com/office/drawing/2014/chart" uri="{C3380CC4-5D6E-409C-BE32-E72D297353CC}">
              <c16:uniqueId val="{00000000-7CBF-4685-9CF7-28916C4EB6E0}"/>
            </c:ext>
          </c:extLst>
        </c:ser>
        <c:ser>
          <c:idx val="1"/>
          <c:order val="1"/>
          <c:spPr>
            <a:solidFill>
              <a:schemeClr val="accent2"/>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Graphics'!$U$77:$U$96</c:f>
              <c:numCache>
                <c:formatCode>General</c:formatCode>
                <c:ptCount val="20"/>
              </c:numCache>
            </c:numRef>
          </c:val>
          <c:extLst>
            <c:ext xmlns:c16="http://schemas.microsoft.com/office/drawing/2014/chart" uri="{C3380CC4-5D6E-409C-BE32-E72D297353CC}">
              <c16:uniqueId val="{00000001-7CBF-4685-9CF7-28916C4EB6E0}"/>
            </c:ext>
          </c:extLst>
        </c:ser>
        <c:ser>
          <c:idx val="2"/>
          <c:order val="2"/>
          <c:spPr>
            <a:solidFill>
              <a:schemeClr val="accent3"/>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Graphics'!$V$77:$V$96</c:f>
              <c:numCache>
                <c:formatCode>General</c:formatCode>
                <c:ptCount val="20"/>
              </c:numCache>
            </c:numRef>
          </c:val>
          <c:extLst>
            <c:ext xmlns:c16="http://schemas.microsoft.com/office/drawing/2014/chart" uri="{C3380CC4-5D6E-409C-BE32-E72D297353CC}">
              <c16:uniqueId val="{00000002-7CBF-4685-9CF7-28916C4EB6E0}"/>
            </c:ext>
          </c:extLst>
        </c:ser>
        <c:dLbls>
          <c:showLegendKey val="0"/>
          <c:showVal val="0"/>
          <c:showCatName val="0"/>
          <c:showSerName val="0"/>
          <c:showPercent val="0"/>
          <c:showBubbleSize val="0"/>
        </c:dLbls>
        <c:gapWidth val="220"/>
        <c:axId val="1306800528"/>
        <c:axId val="1306795280"/>
      </c:barChart>
      <c:barChart>
        <c:barDir val="col"/>
        <c:grouping val="clustered"/>
        <c:varyColors val="0"/>
        <c:ser>
          <c:idx val="3"/>
          <c:order val="3"/>
          <c:spPr>
            <a:solidFill>
              <a:schemeClr val="accent4"/>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Graphics'!$W$77:$W$96</c:f>
              <c:numCache>
                <c:formatCode>General</c:formatCode>
                <c:ptCount val="20"/>
              </c:numCache>
            </c:numRef>
          </c:val>
          <c:extLst>
            <c:ext xmlns:c16="http://schemas.microsoft.com/office/drawing/2014/chart" uri="{C3380CC4-5D6E-409C-BE32-E72D297353CC}">
              <c16:uniqueId val="{00000003-7CBF-4685-9CF7-28916C4EB6E0}"/>
            </c:ext>
          </c:extLst>
        </c:ser>
        <c:ser>
          <c:idx val="4"/>
          <c:order val="4"/>
          <c:tx>
            <c:v>CED</c:v>
          </c:tx>
          <c:spPr>
            <a:solidFill>
              <a:srgbClr val="CC3300"/>
            </a:solidFill>
            <a:ln>
              <a:noFill/>
            </a:ln>
            <a:effectLst/>
          </c:spPr>
          <c:invertIfNegative val="0"/>
          <c:cat>
            <c:strRef>
              <c:f>'For Graphics'!$S$77:$S$96</c:f>
              <c:strCache>
                <c:ptCount val="20"/>
                <c:pt idx="0">
                  <c:v>Tether</c:v>
                </c:pt>
                <c:pt idx="1">
                  <c:v>Aircraft</c:v>
                </c:pt>
                <c:pt idx="2">
                  <c:v>Full deck</c:v>
                </c:pt>
                <c:pt idx="3">
                  <c:v>Catapult</c:v>
                </c:pt>
                <c:pt idx="4">
                  <c:v>Shifter</c:v>
                </c:pt>
                <c:pt idx="5">
                  <c:v>Yaw</c:v>
                </c:pt>
                <c:pt idx="6">
                  <c:v>Generator </c:v>
                </c:pt>
                <c:pt idx="7">
                  <c:v>Transformer</c:v>
                </c:pt>
                <c:pt idx="8">
                  <c:v>Drum</c:v>
                </c:pt>
                <c:pt idx="9">
                  <c:v>Converter</c:v>
                </c:pt>
                <c:pt idx="10">
                  <c:v>Electronics</c:v>
                </c:pt>
                <c:pt idx="11">
                  <c:v>Hydro extras</c:v>
                </c:pt>
                <c:pt idx="12">
                  <c:v>Hydro accumul</c:v>
                </c:pt>
                <c:pt idx="13">
                  <c:v>Hydro pistons</c:v>
                </c:pt>
                <c:pt idx="14">
                  <c:v>Hydro motor grid</c:v>
                </c:pt>
                <c:pt idx="15">
                  <c:v>Foundations</c:v>
                </c:pt>
                <c:pt idx="16">
                  <c:v>Cables</c:v>
                </c:pt>
                <c:pt idx="17">
                  <c:v>Installation</c:v>
                </c:pt>
                <c:pt idx="18">
                  <c:v>O&amp;M</c:v>
                </c:pt>
                <c:pt idx="19">
                  <c:v>EOL</c:v>
                </c:pt>
              </c:strCache>
            </c:strRef>
          </c:cat>
          <c:val>
            <c:numRef>
              <c:f>'For Graphics'!$X$77:$X$96</c:f>
              <c:numCache>
                <c:formatCode>0%</c:formatCode>
                <c:ptCount val="20"/>
                <c:pt idx="0">
                  <c:v>0.15668368845194766</c:v>
                </c:pt>
                <c:pt idx="1">
                  <c:v>0.1504962852860447</c:v>
                </c:pt>
                <c:pt idx="2">
                  <c:v>0.11556044434211989</c:v>
                </c:pt>
                <c:pt idx="3">
                  <c:v>3.3129750526169177E-2</c:v>
                </c:pt>
                <c:pt idx="4">
                  <c:v>4.8207222943079227E-2</c:v>
                </c:pt>
                <c:pt idx="5">
                  <c:v>1.8356810819661062E-2</c:v>
                </c:pt>
                <c:pt idx="6">
                  <c:v>1.7822429167399331E-2</c:v>
                </c:pt>
                <c:pt idx="7">
                  <c:v>2.6166822693635905E-2</c:v>
                </c:pt>
                <c:pt idx="8">
                  <c:v>4.917829957496498E-2</c:v>
                </c:pt>
                <c:pt idx="9">
                  <c:v>7.0749690936610663E-3</c:v>
                </c:pt>
                <c:pt idx="10">
                  <c:v>4.8339283860040294E-3</c:v>
                </c:pt>
                <c:pt idx="11">
                  <c:v>1.2636245211360092E-2</c:v>
                </c:pt>
                <c:pt idx="12">
                  <c:v>0.15812461681659856</c:v>
                </c:pt>
                <c:pt idx="13">
                  <c:v>5.1350227604192701E-2</c:v>
                </c:pt>
                <c:pt idx="14">
                  <c:v>4.3442292553147023E-3</c:v>
                </c:pt>
                <c:pt idx="15">
                  <c:v>1.1884363427647749E-2</c:v>
                </c:pt>
                <c:pt idx="16">
                  <c:v>8.2232894928052261E-2</c:v>
                </c:pt>
                <c:pt idx="17">
                  <c:v>3.6560065254767585E-2</c:v>
                </c:pt>
                <c:pt idx="18">
                  <c:v>6.8007758222115439E-3</c:v>
                </c:pt>
                <c:pt idx="19">
                  <c:v>8.5559303951678947E-3</c:v>
                </c:pt>
              </c:numCache>
            </c:numRef>
          </c:val>
          <c:extLst>
            <c:ext xmlns:c16="http://schemas.microsoft.com/office/drawing/2014/chart" uri="{C3380CC4-5D6E-409C-BE32-E72D297353CC}">
              <c16:uniqueId val="{00000004-7CBF-4685-9CF7-28916C4EB6E0}"/>
            </c:ext>
          </c:extLst>
        </c:ser>
        <c:dLbls>
          <c:showLegendKey val="0"/>
          <c:showVal val="0"/>
          <c:showCatName val="0"/>
          <c:showSerName val="0"/>
          <c:showPercent val="0"/>
          <c:showBubbleSize val="0"/>
        </c:dLbls>
        <c:gapWidth val="220"/>
        <c:axId val="856225368"/>
        <c:axId val="856222744"/>
      </c:barChart>
      <c:catAx>
        <c:axId val="130680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795280"/>
        <c:crosses val="autoZero"/>
        <c:auto val="1"/>
        <c:lblAlgn val="ctr"/>
        <c:lblOffset val="100"/>
        <c:noMultiLvlLbl val="0"/>
      </c:catAx>
      <c:valAx>
        <c:axId val="1306795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6800528"/>
        <c:crosses val="autoZero"/>
        <c:crossBetween val="between"/>
      </c:valAx>
      <c:valAx>
        <c:axId val="856222744"/>
        <c:scaling>
          <c:orientation val="minMax"/>
        </c:scaling>
        <c:delete val="1"/>
        <c:axPos val="r"/>
        <c:numFmt formatCode="General" sourceLinked="1"/>
        <c:majorTickMark val="out"/>
        <c:minorTickMark val="none"/>
        <c:tickLblPos val="nextTo"/>
        <c:crossAx val="856225368"/>
        <c:crosses val="max"/>
        <c:crossBetween val="between"/>
      </c:valAx>
      <c:catAx>
        <c:axId val="856225368"/>
        <c:scaling>
          <c:orientation val="minMax"/>
        </c:scaling>
        <c:delete val="1"/>
        <c:axPos val="b"/>
        <c:numFmt formatCode="General" sourceLinked="1"/>
        <c:majorTickMark val="out"/>
        <c:minorTickMark val="none"/>
        <c:tickLblPos val="nextTo"/>
        <c:crossAx val="856222744"/>
        <c:crosses val="autoZero"/>
        <c:auto val="1"/>
        <c:lblAlgn val="ctr"/>
        <c:lblOffset val="100"/>
        <c:noMultiLvlLbl val="0"/>
      </c:catAx>
      <c:spPr>
        <a:noFill/>
        <a:ln>
          <a:noFill/>
        </a:ln>
        <a:effectLst/>
      </c:spPr>
    </c:plotArea>
    <c:legend>
      <c:legendPos val="b"/>
      <c:legendEntry>
        <c:idx val="1"/>
        <c:delete val="1"/>
      </c:legendEntry>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HAWT Hot-Spot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GWP</c:v>
          </c:tx>
          <c:spPr>
            <a:solidFill>
              <a:srgbClr val="CCCC00"/>
            </a:solidFill>
            <a:ln>
              <a:noFill/>
            </a:ln>
            <a:effectLst/>
          </c:spPr>
          <c:invertIfNegative val="0"/>
          <c:cat>
            <c:strRef>
              <c:f>'For Graphics'!$S$137:$S$157</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O&amp;M</c:v>
                </c:pt>
                <c:pt idx="20">
                  <c:v>EOL</c:v>
                </c:pt>
              </c:strCache>
            </c:strRef>
          </c:cat>
          <c:val>
            <c:numRef>
              <c:f>'For Graphics'!$AA$137:$AA$157</c:f>
              <c:numCache>
                <c:formatCode>0%</c:formatCode>
                <c:ptCount val="21"/>
                <c:pt idx="0">
                  <c:v>0.3418572777765867</c:v>
                </c:pt>
                <c:pt idx="1">
                  <c:v>0.16464693262981808</c:v>
                </c:pt>
                <c:pt idx="2">
                  <c:v>2.1102585824775474E-2</c:v>
                </c:pt>
                <c:pt idx="3">
                  <c:v>2.0329496347625876E-3</c:v>
                </c:pt>
                <c:pt idx="4">
                  <c:v>1.8178519043822079E-2</c:v>
                </c:pt>
                <c:pt idx="5">
                  <c:v>1.2060922176078634E-2</c:v>
                </c:pt>
                <c:pt idx="6">
                  <c:v>9.03295539256075E-2</c:v>
                </c:pt>
                <c:pt idx="7">
                  <c:v>1.5824712467251565E-2</c:v>
                </c:pt>
                <c:pt idx="8">
                  <c:v>3.5915443547472389E-3</c:v>
                </c:pt>
                <c:pt idx="9">
                  <c:v>7.6001563876877311E-3</c:v>
                </c:pt>
                <c:pt idx="10">
                  <c:v>2.0916932577050178E-2</c:v>
                </c:pt>
                <c:pt idx="11">
                  <c:v>4.7537081353874897E-2</c:v>
                </c:pt>
                <c:pt idx="12">
                  <c:v>3.125104869530593E-3</c:v>
                </c:pt>
                <c:pt idx="13">
                  <c:v>3.4317721549221641E-3</c:v>
                </c:pt>
                <c:pt idx="14">
                  <c:v>1.2871958508953955E-2</c:v>
                </c:pt>
                <c:pt idx="15">
                  <c:v>3.2946564969700775E-3</c:v>
                </c:pt>
                <c:pt idx="16">
                  <c:v>8.0679850104776435E-2</c:v>
                </c:pt>
                <c:pt idx="17">
                  <c:v>5.4857321818270126E-2</c:v>
                </c:pt>
                <c:pt idx="18">
                  <c:v>5.4284463167620325E-2</c:v>
                </c:pt>
                <c:pt idx="19">
                  <c:v>1.1485623027302064E-2</c:v>
                </c:pt>
                <c:pt idx="20">
                  <c:v>3.0290081699591492E-2</c:v>
                </c:pt>
              </c:numCache>
            </c:numRef>
          </c:val>
          <c:extLst>
            <c:ext xmlns:c16="http://schemas.microsoft.com/office/drawing/2014/chart" uri="{C3380CC4-5D6E-409C-BE32-E72D297353CC}">
              <c16:uniqueId val="{00000000-9989-4EF1-B689-1DF400796B83}"/>
            </c:ext>
          </c:extLst>
        </c:ser>
        <c:ser>
          <c:idx val="1"/>
          <c:order val="1"/>
          <c:spPr>
            <a:solidFill>
              <a:schemeClr val="accent2"/>
            </a:solidFill>
            <a:ln>
              <a:noFill/>
            </a:ln>
            <a:effectLst/>
          </c:spPr>
          <c:invertIfNegative val="0"/>
          <c:cat>
            <c:strRef>
              <c:f>'For Graphics'!$S$137:$S$157</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O&amp;M</c:v>
                </c:pt>
                <c:pt idx="20">
                  <c:v>EOL</c:v>
                </c:pt>
              </c:strCache>
            </c:strRef>
          </c:cat>
          <c:val>
            <c:numRef>
              <c:f>'For Graphics'!$AB$137:$AB$157</c:f>
              <c:numCache>
                <c:formatCode>General</c:formatCode>
                <c:ptCount val="21"/>
              </c:numCache>
            </c:numRef>
          </c:val>
          <c:extLst>
            <c:ext xmlns:c16="http://schemas.microsoft.com/office/drawing/2014/chart" uri="{C3380CC4-5D6E-409C-BE32-E72D297353CC}">
              <c16:uniqueId val="{00000001-9989-4EF1-B689-1DF400796B83}"/>
            </c:ext>
          </c:extLst>
        </c:ser>
        <c:ser>
          <c:idx val="2"/>
          <c:order val="2"/>
          <c:spPr>
            <a:solidFill>
              <a:schemeClr val="accent3"/>
            </a:solidFill>
            <a:ln>
              <a:noFill/>
            </a:ln>
            <a:effectLst/>
          </c:spPr>
          <c:invertIfNegative val="0"/>
          <c:cat>
            <c:strRef>
              <c:f>'For Graphics'!$S$137:$S$157</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O&amp;M</c:v>
                </c:pt>
                <c:pt idx="20">
                  <c:v>EOL</c:v>
                </c:pt>
              </c:strCache>
            </c:strRef>
          </c:cat>
          <c:val>
            <c:numRef>
              <c:f>'For Graphics'!$AC$137:$AC$157</c:f>
              <c:numCache>
                <c:formatCode>General</c:formatCode>
                <c:ptCount val="21"/>
              </c:numCache>
            </c:numRef>
          </c:val>
          <c:extLst>
            <c:ext xmlns:c16="http://schemas.microsoft.com/office/drawing/2014/chart" uri="{C3380CC4-5D6E-409C-BE32-E72D297353CC}">
              <c16:uniqueId val="{00000002-9989-4EF1-B689-1DF400796B83}"/>
            </c:ext>
          </c:extLst>
        </c:ser>
        <c:dLbls>
          <c:showLegendKey val="0"/>
          <c:showVal val="0"/>
          <c:showCatName val="0"/>
          <c:showSerName val="0"/>
          <c:showPercent val="0"/>
          <c:showBubbleSize val="0"/>
        </c:dLbls>
        <c:gapWidth val="130"/>
        <c:axId val="830290408"/>
        <c:axId val="830298280"/>
      </c:barChart>
      <c:barChart>
        <c:barDir val="col"/>
        <c:grouping val="clustered"/>
        <c:varyColors val="0"/>
        <c:ser>
          <c:idx val="3"/>
          <c:order val="3"/>
          <c:spPr>
            <a:solidFill>
              <a:schemeClr val="accent4"/>
            </a:solidFill>
            <a:ln>
              <a:noFill/>
            </a:ln>
            <a:effectLst/>
          </c:spPr>
          <c:invertIfNegative val="0"/>
          <c:cat>
            <c:strRef>
              <c:f>'For Graphics'!$S$137:$S$157</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O&amp;M</c:v>
                </c:pt>
                <c:pt idx="20">
                  <c:v>EOL</c:v>
                </c:pt>
              </c:strCache>
            </c:strRef>
          </c:cat>
          <c:val>
            <c:numRef>
              <c:f>'For Graphics'!$AD$137:$AD$157</c:f>
              <c:numCache>
                <c:formatCode>General</c:formatCode>
                <c:ptCount val="21"/>
              </c:numCache>
            </c:numRef>
          </c:val>
          <c:extLst>
            <c:ext xmlns:c16="http://schemas.microsoft.com/office/drawing/2014/chart" uri="{C3380CC4-5D6E-409C-BE32-E72D297353CC}">
              <c16:uniqueId val="{00000003-9989-4EF1-B689-1DF400796B83}"/>
            </c:ext>
          </c:extLst>
        </c:ser>
        <c:ser>
          <c:idx val="4"/>
          <c:order val="4"/>
          <c:tx>
            <c:v>CED</c:v>
          </c:tx>
          <c:spPr>
            <a:solidFill>
              <a:srgbClr val="CC3300"/>
            </a:solidFill>
            <a:ln>
              <a:noFill/>
            </a:ln>
            <a:effectLst/>
          </c:spPr>
          <c:invertIfNegative val="0"/>
          <c:cat>
            <c:strRef>
              <c:f>'For Graphics'!$S$137:$S$157</c:f>
              <c:strCache>
                <c:ptCount val="21"/>
                <c:pt idx="0">
                  <c:v>Tower</c:v>
                </c:pt>
                <c:pt idx="1">
                  <c:v>Blades</c:v>
                </c:pt>
                <c:pt idx="2">
                  <c:v>Hub</c:v>
                </c:pt>
                <c:pt idx="3">
                  <c:v>Spinner</c:v>
                </c:pt>
                <c:pt idx="4">
                  <c:v>Pitch</c:v>
                </c:pt>
                <c:pt idx="5">
                  <c:v>Generator</c:v>
                </c:pt>
                <c:pt idx="6">
                  <c:v>Gearbox</c:v>
                </c:pt>
                <c:pt idx="7">
                  <c:v>Transformer</c:v>
                </c:pt>
                <c:pt idx="8">
                  <c:v>Cover</c:v>
                </c:pt>
                <c:pt idx="9">
                  <c:v>Yaw</c:v>
                </c:pt>
                <c:pt idx="10">
                  <c:v>Shaft</c:v>
                </c:pt>
                <c:pt idx="11">
                  <c:v>Bed plate</c:v>
                </c:pt>
                <c:pt idx="12">
                  <c:v>Brake</c:v>
                </c:pt>
                <c:pt idx="13">
                  <c:v>Electronics</c:v>
                </c:pt>
                <c:pt idx="14">
                  <c:v>Bearings</c:v>
                </c:pt>
                <c:pt idx="15">
                  <c:v>Converter</c:v>
                </c:pt>
                <c:pt idx="16">
                  <c:v>Foundations</c:v>
                </c:pt>
                <c:pt idx="17">
                  <c:v>Cables</c:v>
                </c:pt>
                <c:pt idx="18">
                  <c:v>Installation</c:v>
                </c:pt>
                <c:pt idx="19">
                  <c:v>O&amp;M</c:v>
                </c:pt>
                <c:pt idx="20">
                  <c:v>EOL</c:v>
                </c:pt>
              </c:strCache>
            </c:strRef>
          </c:cat>
          <c:val>
            <c:numRef>
              <c:f>'For Graphics'!$AE$137:$AE$157</c:f>
              <c:numCache>
                <c:formatCode>0%</c:formatCode>
                <c:ptCount val="21"/>
                <c:pt idx="0">
                  <c:v>0.32399462489988839</c:v>
                </c:pt>
                <c:pt idx="1">
                  <c:v>0.22226200697724172</c:v>
                </c:pt>
                <c:pt idx="2">
                  <c:v>2.1193173641919666E-2</c:v>
                </c:pt>
                <c:pt idx="3">
                  <c:v>2.7837913737047116E-3</c:v>
                </c:pt>
                <c:pt idx="4">
                  <c:v>1.8534049229766002E-2</c:v>
                </c:pt>
                <c:pt idx="5">
                  <c:v>1.2059365188458761E-2</c:v>
                </c:pt>
                <c:pt idx="6">
                  <c:v>9.1813294036235629E-2</c:v>
                </c:pt>
                <c:pt idx="7">
                  <c:v>1.8577160224394363E-2</c:v>
                </c:pt>
                <c:pt idx="8">
                  <c:v>4.9180314268783233E-3</c:v>
                </c:pt>
                <c:pt idx="9">
                  <c:v>7.6308753679996261E-3</c:v>
                </c:pt>
                <c:pt idx="10">
                  <c:v>2.1386363014057434E-2</c:v>
                </c:pt>
                <c:pt idx="11">
                  <c:v>4.6722072775652775E-2</c:v>
                </c:pt>
                <c:pt idx="12">
                  <c:v>3.195061432705803E-3</c:v>
                </c:pt>
                <c:pt idx="13">
                  <c:v>3.5567810761798538E-3</c:v>
                </c:pt>
                <c:pt idx="14">
                  <c:v>1.3160838777881498E-2</c:v>
                </c:pt>
                <c:pt idx="15">
                  <c:v>3.1157603564342597E-3</c:v>
                </c:pt>
                <c:pt idx="16">
                  <c:v>5.1160806556548727E-2</c:v>
                </c:pt>
                <c:pt idx="17">
                  <c:v>5.8113574606002499E-2</c:v>
                </c:pt>
                <c:pt idx="18">
                  <c:v>5.1925685650907043E-2</c:v>
                </c:pt>
                <c:pt idx="19">
                  <c:v>5.6122760599381927E-3</c:v>
                </c:pt>
                <c:pt idx="20">
                  <c:v>1.8284407327204988E-2</c:v>
                </c:pt>
              </c:numCache>
            </c:numRef>
          </c:val>
          <c:extLst>
            <c:ext xmlns:c16="http://schemas.microsoft.com/office/drawing/2014/chart" uri="{C3380CC4-5D6E-409C-BE32-E72D297353CC}">
              <c16:uniqueId val="{00000004-9989-4EF1-B689-1DF400796B83}"/>
            </c:ext>
          </c:extLst>
        </c:ser>
        <c:dLbls>
          <c:showLegendKey val="0"/>
          <c:showVal val="0"/>
          <c:showCatName val="0"/>
          <c:showSerName val="0"/>
          <c:showPercent val="0"/>
          <c:showBubbleSize val="0"/>
        </c:dLbls>
        <c:gapWidth val="219"/>
        <c:axId val="829186800"/>
        <c:axId val="829187784"/>
      </c:barChart>
      <c:catAx>
        <c:axId val="830290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0298280"/>
        <c:crosses val="autoZero"/>
        <c:auto val="1"/>
        <c:lblAlgn val="ctr"/>
        <c:lblOffset val="100"/>
        <c:noMultiLvlLbl val="0"/>
      </c:catAx>
      <c:valAx>
        <c:axId val="830298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0290408"/>
        <c:crosses val="autoZero"/>
        <c:crossBetween val="between"/>
      </c:valAx>
      <c:valAx>
        <c:axId val="829187784"/>
        <c:scaling>
          <c:orientation val="minMax"/>
          <c:max val="0.4"/>
        </c:scaling>
        <c:delete val="1"/>
        <c:axPos val="r"/>
        <c:numFmt formatCode="General" sourceLinked="1"/>
        <c:majorTickMark val="out"/>
        <c:minorTickMark val="none"/>
        <c:tickLblPos val="nextTo"/>
        <c:crossAx val="829186800"/>
        <c:crosses val="max"/>
        <c:crossBetween val="between"/>
      </c:valAx>
      <c:catAx>
        <c:axId val="829186800"/>
        <c:scaling>
          <c:orientation val="minMax"/>
        </c:scaling>
        <c:delete val="1"/>
        <c:axPos val="b"/>
        <c:numFmt formatCode="General" sourceLinked="1"/>
        <c:majorTickMark val="out"/>
        <c:minorTickMark val="none"/>
        <c:tickLblPos val="nextTo"/>
        <c:crossAx val="829187784"/>
        <c:crosses val="autoZero"/>
        <c:auto val="1"/>
        <c:lblAlgn val="ctr"/>
        <c:lblOffset val="100"/>
        <c:noMultiLvlLbl val="0"/>
      </c:catAx>
      <c:spPr>
        <a:noFill/>
        <a:ln>
          <a:noFill/>
        </a:ln>
        <a:effectLst/>
      </c:spPr>
    </c:plotArea>
    <c:legend>
      <c:legendPos val="b"/>
      <c:legendEntry>
        <c:idx val="1"/>
        <c:delete val="1"/>
      </c:legendEntry>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_rels/drawing7.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17" Type="http://schemas.openxmlformats.org/officeDocument/2006/relationships/chart" Target="../charts/chart41.xml"/><Relationship Id="rId2" Type="http://schemas.openxmlformats.org/officeDocument/2006/relationships/chart" Target="../charts/chart26.xml"/><Relationship Id="rId16" Type="http://schemas.openxmlformats.org/officeDocument/2006/relationships/chart" Target="../charts/chart40.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5" Type="http://schemas.openxmlformats.org/officeDocument/2006/relationships/chart" Target="../charts/chart3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 Id="rId14" Type="http://schemas.openxmlformats.org/officeDocument/2006/relationships/chart" Target="../charts/chart3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4.xm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chart" Target="../charts/chart47.xml"/><Relationship Id="rId5" Type="http://schemas.openxmlformats.org/officeDocument/2006/relationships/chart" Target="../charts/chart46.xml"/><Relationship Id="rId4"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dr:twoCellAnchor>
    <xdr:from>
      <xdr:col>18</xdr:col>
      <xdr:colOff>459023</xdr:colOff>
      <xdr:row>724</xdr:row>
      <xdr:rowOff>153245</xdr:rowOff>
    </xdr:from>
    <xdr:to>
      <xdr:col>32</xdr:col>
      <xdr:colOff>564652</xdr:colOff>
      <xdr:row>751</xdr:row>
      <xdr:rowOff>169067</xdr:rowOff>
    </xdr:to>
    <xdr:graphicFrame macro="">
      <xdr:nvGraphicFramePr>
        <xdr:cNvPr id="2" name="Grafiek 1">
          <a:extLst>
            <a:ext uri="{FF2B5EF4-FFF2-40B4-BE49-F238E27FC236}">
              <a16:creationId xmlns:a16="http://schemas.microsoft.com/office/drawing/2014/main" id="{02E4E4CA-943E-41DD-969D-3E13E4D7F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713014</xdr:colOff>
      <xdr:row>759</xdr:row>
      <xdr:rowOff>164374</xdr:rowOff>
    </xdr:from>
    <xdr:to>
      <xdr:col>43</xdr:col>
      <xdr:colOff>108857</xdr:colOff>
      <xdr:row>806</xdr:row>
      <xdr:rowOff>0</xdr:rowOff>
    </xdr:to>
    <xdr:graphicFrame macro="">
      <xdr:nvGraphicFramePr>
        <xdr:cNvPr id="4" name="Grafiek 3">
          <a:extLst>
            <a:ext uri="{FF2B5EF4-FFF2-40B4-BE49-F238E27FC236}">
              <a16:creationId xmlns:a16="http://schemas.microsoft.com/office/drawing/2014/main" id="{81F541C5-583C-42EB-8B2E-DF3DC9ADE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379541</xdr:colOff>
      <xdr:row>626</xdr:row>
      <xdr:rowOff>1</xdr:rowOff>
    </xdr:from>
    <xdr:to>
      <xdr:col>58</xdr:col>
      <xdr:colOff>302173</xdr:colOff>
      <xdr:row>665</xdr:row>
      <xdr:rowOff>49049</xdr:rowOff>
    </xdr:to>
    <xdr:graphicFrame macro="">
      <xdr:nvGraphicFramePr>
        <xdr:cNvPr id="5" name="Grafiek 4">
          <a:extLst>
            <a:ext uri="{FF2B5EF4-FFF2-40B4-BE49-F238E27FC236}">
              <a16:creationId xmlns:a16="http://schemas.microsoft.com/office/drawing/2014/main" id="{5905A3DD-2DB1-4596-B29B-C6508ED80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892167</xdr:colOff>
      <xdr:row>266</xdr:row>
      <xdr:rowOff>11471</xdr:rowOff>
    </xdr:from>
    <xdr:to>
      <xdr:col>13</xdr:col>
      <xdr:colOff>269672</xdr:colOff>
      <xdr:row>281</xdr:row>
      <xdr:rowOff>85578</xdr:rowOff>
    </xdr:to>
    <xdr:graphicFrame macro="">
      <xdr:nvGraphicFramePr>
        <xdr:cNvPr id="7" name="Grafiek 6">
          <a:extLst>
            <a:ext uri="{FF2B5EF4-FFF2-40B4-BE49-F238E27FC236}">
              <a16:creationId xmlns:a16="http://schemas.microsoft.com/office/drawing/2014/main" id="{FFC7E7D4-4C1B-4AC7-93BA-3ADEFAC90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181495</xdr:colOff>
      <xdr:row>522</xdr:row>
      <xdr:rowOff>45027</xdr:rowOff>
    </xdr:from>
    <xdr:to>
      <xdr:col>30</xdr:col>
      <xdr:colOff>20782</xdr:colOff>
      <xdr:row>549</xdr:row>
      <xdr:rowOff>67887</xdr:rowOff>
    </xdr:to>
    <xdr:graphicFrame macro="">
      <xdr:nvGraphicFramePr>
        <xdr:cNvPr id="2" name="Grafiek 1">
          <a:extLst>
            <a:ext uri="{FF2B5EF4-FFF2-40B4-BE49-F238E27FC236}">
              <a16:creationId xmlns:a16="http://schemas.microsoft.com/office/drawing/2014/main" id="{E6D75CCB-30B1-46E8-A84F-8BA53B73E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24938</xdr:colOff>
      <xdr:row>528</xdr:row>
      <xdr:rowOff>27709</xdr:rowOff>
    </xdr:from>
    <xdr:to>
      <xdr:col>40</xdr:col>
      <xdr:colOff>284018</xdr:colOff>
      <xdr:row>571</xdr:row>
      <xdr:rowOff>103909</xdr:rowOff>
    </xdr:to>
    <xdr:graphicFrame macro="">
      <xdr:nvGraphicFramePr>
        <xdr:cNvPr id="3" name="Grafiek 2">
          <a:extLst>
            <a:ext uri="{FF2B5EF4-FFF2-40B4-BE49-F238E27FC236}">
              <a16:creationId xmlns:a16="http://schemas.microsoft.com/office/drawing/2014/main" id="{63A721C0-36E0-4801-8FDE-E49337AA3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166254</xdr:colOff>
      <xdr:row>572</xdr:row>
      <xdr:rowOff>81742</xdr:rowOff>
    </xdr:from>
    <xdr:to>
      <xdr:col>41</xdr:col>
      <xdr:colOff>59574</xdr:colOff>
      <xdr:row>612</xdr:row>
      <xdr:rowOff>124691</xdr:rowOff>
    </xdr:to>
    <xdr:graphicFrame macro="">
      <xdr:nvGraphicFramePr>
        <xdr:cNvPr id="4" name="Grafiek 3">
          <a:extLst>
            <a:ext uri="{FF2B5EF4-FFF2-40B4-BE49-F238E27FC236}">
              <a16:creationId xmlns:a16="http://schemas.microsoft.com/office/drawing/2014/main" id="{9A6B99B9-3FC6-491C-BA4C-B1269806F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169334</xdr:colOff>
      <xdr:row>434</xdr:row>
      <xdr:rowOff>52553</xdr:rowOff>
    </xdr:from>
    <xdr:to>
      <xdr:col>52</xdr:col>
      <xdr:colOff>91966</xdr:colOff>
      <xdr:row>473</xdr:row>
      <xdr:rowOff>101601</xdr:rowOff>
    </xdr:to>
    <xdr:graphicFrame macro="">
      <xdr:nvGraphicFramePr>
        <xdr:cNvPr id="5" name="Grafiek 4">
          <a:extLst>
            <a:ext uri="{FF2B5EF4-FFF2-40B4-BE49-F238E27FC236}">
              <a16:creationId xmlns:a16="http://schemas.microsoft.com/office/drawing/2014/main" id="{43D16480-5332-42C4-B6AE-F0FEB7D41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20782</xdr:colOff>
      <xdr:row>492</xdr:row>
      <xdr:rowOff>76199</xdr:rowOff>
    </xdr:from>
    <xdr:to>
      <xdr:col>25</xdr:col>
      <xdr:colOff>505691</xdr:colOff>
      <xdr:row>507</xdr:row>
      <xdr:rowOff>117763</xdr:rowOff>
    </xdr:to>
    <xdr:graphicFrame macro="">
      <xdr:nvGraphicFramePr>
        <xdr:cNvPr id="6" name="Grafiek 5">
          <a:extLst>
            <a:ext uri="{FF2B5EF4-FFF2-40B4-BE49-F238E27FC236}">
              <a16:creationId xmlns:a16="http://schemas.microsoft.com/office/drawing/2014/main" id="{5C5A088D-29E5-48B8-8650-9BCE62AF5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277091</xdr:colOff>
      <xdr:row>490</xdr:row>
      <xdr:rowOff>27709</xdr:rowOff>
    </xdr:from>
    <xdr:to>
      <xdr:col>19</xdr:col>
      <xdr:colOff>311727</xdr:colOff>
      <xdr:row>512</xdr:row>
      <xdr:rowOff>152400</xdr:rowOff>
    </xdr:to>
    <xdr:graphicFrame macro="">
      <xdr:nvGraphicFramePr>
        <xdr:cNvPr id="7" name="Grafiek 6">
          <a:extLst>
            <a:ext uri="{FF2B5EF4-FFF2-40B4-BE49-F238E27FC236}">
              <a16:creationId xmlns:a16="http://schemas.microsoft.com/office/drawing/2014/main" id="{B456FE9B-1936-40C3-899D-480D818AA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472440</xdr:colOff>
      <xdr:row>1</xdr:row>
      <xdr:rowOff>106680</xdr:rowOff>
    </xdr:from>
    <xdr:to>
      <xdr:col>19</xdr:col>
      <xdr:colOff>167640</xdr:colOff>
      <xdr:row>16</xdr:row>
      <xdr:rowOff>106680</xdr:rowOff>
    </xdr:to>
    <xdr:graphicFrame macro="">
      <xdr:nvGraphicFramePr>
        <xdr:cNvPr id="2" name="Grafiek 1">
          <a:extLst>
            <a:ext uri="{FF2B5EF4-FFF2-40B4-BE49-F238E27FC236}">
              <a16:creationId xmlns:a16="http://schemas.microsoft.com/office/drawing/2014/main" id="{606449A8-B032-4AB2-AEA5-38ADA727EE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137160</xdr:colOff>
      <xdr:row>2</xdr:row>
      <xdr:rowOff>87630</xdr:rowOff>
    </xdr:from>
    <xdr:to>
      <xdr:col>27</xdr:col>
      <xdr:colOff>441960</xdr:colOff>
      <xdr:row>17</xdr:row>
      <xdr:rowOff>87630</xdr:rowOff>
    </xdr:to>
    <xdr:graphicFrame macro="">
      <xdr:nvGraphicFramePr>
        <xdr:cNvPr id="3" name="Grafiek 2">
          <a:extLst>
            <a:ext uri="{FF2B5EF4-FFF2-40B4-BE49-F238E27FC236}">
              <a16:creationId xmlns:a16="http://schemas.microsoft.com/office/drawing/2014/main" id="{08F35C80-80C1-424E-923C-7AF10C33C0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541020</xdr:colOff>
      <xdr:row>89</xdr:row>
      <xdr:rowOff>171450</xdr:rowOff>
    </xdr:from>
    <xdr:to>
      <xdr:col>21</xdr:col>
      <xdr:colOff>22860</xdr:colOff>
      <xdr:row>104</xdr:row>
      <xdr:rowOff>171450</xdr:rowOff>
    </xdr:to>
    <xdr:graphicFrame macro="">
      <xdr:nvGraphicFramePr>
        <xdr:cNvPr id="4" name="Grafiek 3">
          <a:extLst>
            <a:ext uri="{FF2B5EF4-FFF2-40B4-BE49-F238E27FC236}">
              <a16:creationId xmlns:a16="http://schemas.microsoft.com/office/drawing/2014/main" id="{51DD06C1-22BE-4045-8890-7227304335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43</xdr:col>
      <xdr:colOff>197888</xdr:colOff>
      <xdr:row>34</xdr:row>
      <xdr:rowOff>53569</xdr:rowOff>
    </xdr:from>
    <xdr:to>
      <xdr:col>64</xdr:col>
      <xdr:colOff>501650</xdr:colOff>
      <xdr:row>83</xdr:row>
      <xdr:rowOff>31750</xdr:rowOff>
    </xdr:to>
    <xdr:graphicFrame macro="">
      <xdr:nvGraphicFramePr>
        <xdr:cNvPr id="2" name="Grafiek 1">
          <a:extLst>
            <a:ext uri="{FF2B5EF4-FFF2-40B4-BE49-F238E27FC236}">
              <a16:creationId xmlns:a16="http://schemas.microsoft.com/office/drawing/2014/main" id="{B65B0790-65F6-4031-9D82-8C6291BFE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94</xdr:row>
      <xdr:rowOff>0</xdr:rowOff>
    </xdr:from>
    <xdr:to>
      <xdr:col>30</xdr:col>
      <xdr:colOff>547256</xdr:colOff>
      <xdr:row>142</xdr:row>
      <xdr:rowOff>20783</xdr:rowOff>
    </xdr:to>
    <xdr:graphicFrame macro="">
      <xdr:nvGraphicFramePr>
        <xdr:cNvPr id="3" name="Grafiek 2">
          <a:extLst>
            <a:ext uri="{FF2B5EF4-FFF2-40B4-BE49-F238E27FC236}">
              <a16:creationId xmlns:a16="http://schemas.microsoft.com/office/drawing/2014/main" id="{7C9AE160-B66B-4383-8301-AA6EFEF0E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603250</xdr:colOff>
      <xdr:row>35</xdr:row>
      <xdr:rowOff>64770</xdr:rowOff>
    </xdr:from>
    <xdr:to>
      <xdr:col>45</xdr:col>
      <xdr:colOff>161290</xdr:colOff>
      <xdr:row>47</xdr:row>
      <xdr:rowOff>106680</xdr:rowOff>
    </xdr:to>
    <xdr:sp macro="" textlink="">
      <xdr:nvSpPr>
        <xdr:cNvPr id="4" name="Tekstvak 3">
          <a:extLst>
            <a:ext uri="{FF2B5EF4-FFF2-40B4-BE49-F238E27FC236}">
              <a16:creationId xmlns:a16="http://schemas.microsoft.com/office/drawing/2014/main" id="{DAED0101-2AED-4F23-B8BA-E662411B959D}"/>
            </a:ext>
          </a:extLst>
        </xdr:cNvPr>
        <xdr:cNvSpPr txBox="1"/>
      </xdr:nvSpPr>
      <xdr:spPr>
        <a:xfrm>
          <a:off x="27578050" y="6465570"/>
          <a:ext cx="777240" cy="22364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600"/>
        </a:p>
        <a:p>
          <a:endParaRPr lang="en-GB" sz="1600"/>
        </a:p>
      </xdr:txBody>
    </xdr:sp>
    <xdr:clientData/>
  </xdr:twoCellAnchor>
  <xdr:twoCellAnchor>
    <xdr:from>
      <xdr:col>8</xdr:col>
      <xdr:colOff>548640</xdr:colOff>
      <xdr:row>98</xdr:row>
      <xdr:rowOff>91440</xdr:rowOff>
    </xdr:from>
    <xdr:to>
      <xdr:col>10</xdr:col>
      <xdr:colOff>152400</xdr:colOff>
      <xdr:row>107</xdr:row>
      <xdr:rowOff>167640</xdr:rowOff>
    </xdr:to>
    <xdr:sp macro="" textlink="">
      <xdr:nvSpPr>
        <xdr:cNvPr id="5" name="Tekstvak 4">
          <a:extLst>
            <a:ext uri="{FF2B5EF4-FFF2-40B4-BE49-F238E27FC236}">
              <a16:creationId xmlns:a16="http://schemas.microsoft.com/office/drawing/2014/main" id="{F9BE9E9A-6680-44E9-8A78-D79680239A3D}"/>
            </a:ext>
          </a:extLst>
        </xdr:cNvPr>
        <xdr:cNvSpPr txBox="1"/>
      </xdr:nvSpPr>
      <xdr:spPr>
        <a:xfrm>
          <a:off x="5730240" y="18013680"/>
          <a:ext cx="822960" cy="1722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800000</a:t>
          </a:r>
        </a:p>
        <a:p>
          <a:endParaRPr lang="en-GB" sz="1600"/>
        </a:p>
        <a:p>
          <a:r>
            <a:rPr lang="en-GB" sz="1600"/>
            <a:t>775000</a:t>
          </a:r>
        </a:p>
        <a:p>
          <a:endParaRPr lang="en-GB" sz="1600"/>
        </a:p>
        <a:p>
          <a:r>
            <a:rPr lang="en-GB" sz="1600"/>
            <a:t>750000</a:t>
          </a:r>
        </a:p>
        <a:p>
          <a:endParaRPr lang="en-GB" sz="1600"/>
        </a:p>
        <a:p>
          <a:endParaRPr lang="en-GB" sz="1600"/>
        </a:p>
      </xdr:txBody>
    </xdr:sp>
    <xdr:clientData/>
  </xdr:twoCellAnchor>
  <xdr:twoCellAnchor>
    <xdr:from>
      <xdr:col>53</xdr:col>
      <xdr:colOff>464820</xdr:colOff>
      <xdr:row>47</xdr:row>
      <xdr:rowOff>171450</xdr:rowOff>
    </xdr:from>
    <xdr:to>
      <xdr:col>56</xdr:col>
      <xdr:colOff>102870</xdr:colOff>
      <xdr:row>50</xdr:row>
      <xdr:rowOff>26670</xdr:rowOff>
    </xdr:to>
    <xdr:cxnSp macro="">
      <xdr:nvCxnSpPr>
        <xdr:cNvPr id="7" name="Rechte verbindingslijn 6">
          <a:extLst>
            <a:ext uri="{FF2B5EF4-FFF2-40B4-BE49-F238E27FC236}">
              <a16:creationId xmlns:a16="http://schemas.microsoft.com/office/drawing/2014/main" id="{6303139D-4463-4CB3-91D9-D366CFA55E35}"/>
            </a:ext>
          </a:extLst>
        </xdr:cNvPr>
        <xdr:cNvCxnSpPr/>
      </xdr:nvCxnSpPr>
      <xdr:spPr>
        <a:xfrm flipH="1">
          <a:off x="33535620" y="8766810"/>
          <a:ext cx="1466850" cy="403860"/>
        </a:xfrm>
        <a:prstGeom prst="line">
          <a:avLst/>
        </a:prstGeom>
        <a:ln w="50800" cmpd="thickThi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485140</xdr:colOff>
      <xdr:row>48</xdr:row>
      <xdr:rowOff>104140</xdr:rowOff>
    </xdr:from>
    <xdr:to>
      <xdr:col>56</xdr:col>
      <xdr:colOff>123190</xdr:colOff>
      <xdr:row>50</xdr:row>
      <xdr:rowOff>142240</xdr:rowOff>
    </xdr:to>
    <xdr:cxnSp macro="">
      <xdr:nvCxnSpPr>
        <xdr:cNvPr id="8" name="Rechte verbindingslijn 7">
          <a:extLst>
            <a:ext uri="{FF2B5EF4-FFF2-40B4-BE49-F238E27FC236}">
              <a16:creationId xmlns:a16="http://schemas.microsoft.com/office/drawing/2014/main" id="{1E0AAB9F-6244-4D84-866A-FE95D45E5045}"/>
            </a:ext>
          </a:extLst>
        </xdr:cNvPr>
        <xdr:cNvCxnSpPr/>
      </xdr:nvCxnSpPr>
      <xdr:spPr>
        <a:xfrm flipH="1">
          <a:off x="33555940" y="8882380"/>
          <a:ext cx="1466850" cy="403860"/>
        </a:xfrm>
        <a:prstGeom prst="line">
          <a:avLst/>
        </a:prstGeom>
        <a:ln w="50800" cmpd="thickThi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307340</xdr:colOff>
      <xdr:row>43</xdr:row>
      <xdr:rowOff>168910</xdr:rowOff>
    </xdr:from>
    <xdr:to>
      <xdr:col>59</xdr:col>
      <xdr:colOff>554990</xdr:colOff>
      <xdr:row>46</xdr:row>
      <xdr:rowOff>24130</xdr:rowOff>
    </xdr:to>
    <xdr:cxnSp macro="">
      <xdr:nvCxnSpPr>
        <xdr:cNvPr id="9" name="Rechte verbindingslijn 8">
          <a:extLst>
            <a:ext uri="{FF2B5EF4-FFF2-40B4-BE49-F238E27FC236}">
              <a16:creationId xmlns:a16="http://schemas.microsoft.com/office/drawing/2014/main" id="{B25B773D-3FEE-43EC-8290-F0BF2475505A}"/>
            </a:ext>
          </a:extLst>
        </xdr:cNvPr>
        <xdr:cNvCxnSpPr/>
      </xdr:nvCxnSpPr>
      <xdr:spPr>
        <a:xfrm flipH="1">
          <a:off x="35816540" y="8032750"/>
          <a:ext cx="1466850" cy="403860"/>
        </a:xfrm>
        <a:prstGeom prst="line">
          <a:avLst/>
        </a:prstGeom>
        <a:ln w="50800" cmpd="thickThi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288290</xdr:colOff>
      <xdr:row>43</xdr:row>
      <xdr:rowOff>110490</xdr:rowOff>
    </xdr:from>
    <xdr:to>
      <xdr:col>59</xdr:col>
      <xdr:colOff>535940</xdr:colOff>
      <xdr:row>45</xdr:row>
      <xdr:rowOff>140970</xdr:rowOff>
    </xdr:to>
    <xdr:cxnSp macro="">
      <xdr:nvCxnSpPr>
        <xdr:cNvPr id="10" name="Rechte verbindingslijn 9">
          <a:extLst>
            <a:ext uri="{FF2B5EF4-FFF2-40B4-BE49-F238E27FC236}">
              <a16:creationId xmlns:a16="http://schemas.microsoft.com/office/drawing/2014/main" id="{EB8F833A-EA53-42D7-B83B-F596AE47BABF}"/>
            </a:ext>
          </a:extLst>
        </xdr:cNvPr>
        <xdr:cNvCxnSpPr/>
      </xdr:nvCxnSpPr>
      <xdr:spPr>
        <a:xfrm flipH="1">
          <a:off x="35797490" y="7974330"/>
          <a:ext cx="1466850" cy="396240"/>
        </a:xfrm>
        <a:prstGeom prst="line">
          <a:avLst/>
        </a:prstGeom>
        <a:ln w="50800" cmpd="thickThi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279400</xdr:colOff>
      <xdr:row>47</xdr:row>
      <xdr:rowOff>40640</xdr:rowOff>
    </xdr:from>
    <xdr:to>
      <xdr:col>59</xdr:col>
      <xdr:colOff>527050</xdr:colOff>
      <xdr:row>49</xdr:row>
      <xdr:rowOff>71120</xdr:rowOff>
    </xdr:to>
    <xdr:cxnSp macro="">
      <xdr:nvCxnSpPr>
        <xdr:cNvPr id="11" name="Rechte verbindingslijn 10">
          <a:extLst>
            <a:ext uri="{FF2B5EF4-FFF2-40B4-BE49-F238E27FC236}">
              <a16:creationId xmlns:a16="http://schemas.microsoft.com/office/drawing/2014/main" id="{7D69FAE9-85E3-469D-A09C-E58A3DE03640}"/>
            </a:ext>
          </a:extLst>
        </xdr:cNvPr>
        <xdr:cNvCxnSpPr/>
      </xdr:nvCxnSpPr>
      <xdr:spPr>
        <a:xfrm flipH="1">
          <a:off x="35788600" y="8636000"/>
          <a:ext cx="1466850" cy="396240"/>
        </a:xfrm>
        <a:prstGeom prst="line">
          <a:avLst/>
        </a:prstGeom>
        <a:ln w="50800" cmpd="thickThi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290830</xdr:colOff>
      <xdr:row>46</xdr:row>
      <xdr:rowOff>137160</xdr:rowOff>
    </xdr:from>
    <xdr:to>
      <xdr:col>59</xdr:col>
      <xdr:colOff>538480</xdr:colOff>
      <xdr:row>48</xdr:row>
      <xdr:rowOff>175260</xdr:rowOff>
    </xdr:to>
    <xdr:cxnSp macro="">
      <xdr:nvCxnSpPr>
        <xdr:cNvPr id="12" name="Rechte verbindingslijn 11">
          <a:extLst>
            <a:ext uri="{FF2B5EF4-FFF2-40B4-BE49-F238E27FC236}">
              <a16:creationId xmlns:a16="http://schemas.microsoft.com/office/drawing/2014/main" id="{730852EB-308C-4DE3-BF74-DF2361E0C059}"/>
            </a:ext>
          </a:extLst>
        </xdr:cNvPr>
        <xdr:cNvCxnSpPr/>
      </xdr:nvCxnSpPr>
      <xdr:spPr>
        <a:xfrm flipH="1">
          <a:off x="35800030" y="8549640"/>
          <a:ext cx="1466850" cy="403860"/>
        </a:xfrm>
        <a:prstGeom prst="line">
          <a:avLst/>
        </a:prstGeom>
        <a:ln w="50800" cmpd="thickThi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137160</xdr:colOff>
      <xdr:row>44</xdr:row>
      <xdr:rowOff>80010</xdr:rowOff>
    </xdr:from>
    <xdr:to>
      <xdr:col>55</xdr:col>
      <xdr:colOff>521970</xdr:colOff>
      <xdr:row>45</xdr:row>
      <xdr:rowOff>167640</xdr:rowOff>
    </xdr:to>
    <xdr:sp macro="" textlink="">
      <xdr:nvSpPr>
        <xdr:cNvPr id="14" name="Tekstvak 13">
          <a:extLst>
            <a:ext uri="{FF2B5EF4-FFF2-40B4-BE49-F238E27FC236}">
              <a16:creationId xmlns:a16="http://schemas.microsoft.com/office/drawing/2014/main" id="{BFD74109-CBD4-4C23-8645-2E76EE67E109}"/>
            </a:ext>
          </a:extLst>
        </xdr:cNvPr>
        <xdr:cNvSpPr txBox="1"/>
      </xdr:nvSpPr>
      <xdr:spPr>
        <a:xfrm>
          <a:off x="33817560" y="8126730"/>
          <a:ext cx="994410" cy="2705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600000</a:t>
          </a:r>
        </a:p>
        <a:p>
          <a:endParaRPr lang="en-GB" sz="1600"/>
        </a:p>
      </xdr:txBody>
    </xdr:sp>
    <xdr:clientData/>
  </xdr:twoCellAnchor>
  <xdr:twoCellAnchor>
    <xdr:from>
      <xdr:col>58</xdr:col>
      <xdr:colOff>27940</xdr:colOff>
      <xdr:row>41</xdr:row>
      <xdr:rowOff>50800</xdr:rowOff>
    </xdr:from>
    <xdr:to>
      <xdr:col>59</xdr:col>
      <xdr:colOff>412750</xdr:colOff>
      <xdr:row>42</xdr:row>
      <xdr:rowOff>138430</xdr:rowOff>
    </xdr:to>
    <xdr:sp macro="" textlink="">
      <xdr:nvSpPr>
        <xdr:cNvPr id="16" name="Tekstvak 15">
          <a:extLst>
            <a:ext uri="{FF2B5EF4-FFF2-40B4-BE49-F238E27FC236}">
              <a16:creationId xmlns:a16="http://schemas.microsoft.com/office/drawing/2014/main" id="{0C87D526-55B2-4FCB-AD31-AFCB3337F4AC}"/>
            </a:ext>
          </a:extLst>
        </xdr:cNvPr>
        <xdr:cNvSpPr txBox="1"/>
      </xdr:nvSpPr>
      <xdr:spPr>
        <a:xfrm>
          <a:off x="36146740" y="7548880"/>
          <a:ext cx="994410" cy="2705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1715825</a:t>
          </a:r>
        </a:p>
        <a:p>
          <a:endParaRPr lang="en-GB" sz="16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31</xdr:col>
      <xdr:colOff>439520</xdr:colOff>
      <xdr:row>735</xdr:row>
      <xdr:rowOff>20480</xdr:rowOff>
    </xdr:from>
    <xdr:to>
      <xdr:col>39</xdr:col>
      <xdr:colOff>159195</xdr:colOff>
      <xdr:row>750</xdr:row>
      <xdr:rowOff>49571</xdr:rowOff>
    </xdr:to>
    <xdr:graphicFrame macro="">
      <xdr:nvGraphicFramePr>
        <xdr:cNvPr id="2" name="Grafiek 1">
          <a:extLst>
            <a:ext uri="{FF2B5EF4-FFF2-40B4-BE49-F238E27FC236}">
              <a16:creationId xmlns:a16="http://schemas.microsoft.com/office/drawing/2014/main" id="{5196B3A6-8C4A-41B1-9877-E13403AAE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683719</xdr:colOff>
      <xdr:row>757</xdr:row>
      <xdr:rowOff>122020</xdr:rowOff>
    </xdr:from>
    <xdr:to>
      <xdr:col>26</xdr:col>
      <xdr:colOff>540011</xdr:colOff>
      <xdr:row>789</xdr:row>
      <xdr:rowOff>171301</xdr:rowOff>
    </xdr:to>
    <xdr:graphicFrame macro="">
      <xdr:nvGraphicFramePr>
        <xdr:cNvPr id="5" name="Grafiek 4">
          <a:extLst>
            <a:ext uri="{FF2B5EF4-FFF2-40B4-BE49-F238E27FC236}">
              <a16:creationId xmlns:a16="http://schemas.microsoft.com/office/drawing/2014/main" id="{A5BFACAF-540A-4297-8D0C-6E83A3A6F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47</xdr:col>
      <xdr:colOff>159475</xdr:colOff>
      <xdr:row>724</xdr:row>
      <xdr:rowOff>24946</xdr:rowOff>
    </xdr:from>
    <xdr:to>
      <xdr:col>62</xdr:col>
      <xdr:colOff>37720</xdr:colOff>
      <xdr:row>756</xdr:row>
      <xdr:rowOff>79943</xdr:rowOff>
    </xdr:to>
    <xdr:graphicFrame macro="">
      <xdr:nvGraphicFramePr>
        <xdr:cNvPr id="4" name="Grafiek 3">
          <a:extLst>
            <a:ext uri="{FF2B5EF4-FFF2-40B4-BE49-F238E27FC236}">
              <a16:creationId xmlns:a16="http://schemas.microsoft.com/office/drawing/2014/main" id="{D60E0D32-425A-47DE-AB24-737B9D83A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20805</xdr:colOff>
      <xdr:row>902</xdr:row>
      <xdr:rowOff>69273</xdr:rowOff>
    </xdr:from>
    <xdr:to>
      <xdr:col>31</xdr:col>
      <xdr:colOff>193964</xdr:colOff>
      <xdr:row>924</xdr:row>
      <xdr:rowOff>80925</xdr:rowOff>
    </xdr:to>
    <xdr:graphicFrame macro="">
      <xdr:nvGraphicFramePr>
        <xdr:cNvPr id="3" name="Grafiek 2">
          <a:extLst>
            <a:ext uri="{FF2B5EF4-FFF2-40B4-BE49-F238E27FC236}">
              <a16:creationId xmlns:a16="http://schemas.microsoft.com/office/drawing/2014/main" id="{02D2E99F-1016-4ED1-B060-38E385E5B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342343</xdr:colOff>
      <xdr:row>940</xdr:row>
      <xdr:rowOff>147320</xdr:rowOff>
    </xdr:from>
    <xdr:to>
      <xdr:col>27</xdr:col>
      <xdr:colOff>117646</xdr:colOff>
      <xdr:row>951</xdr:row>
      <xdr:rowOff>116841</xdr:rowOff>
    </xdr:to>
    <xdr:graphicFrame macro="">
      <xdr:nvGraphicFramePr>
        <xdr:cNvPr id="6" name="Grafiek 5">
          <a:extLst>
            <a:ext uri="{FF2B5EF4-FFF2-40B4-BE49-F238E27FC236}">
              <a16:creationId xmlns:a16="http://schemas.microsoft.com/office/drawing/2014/main" id="{3D94A93F-B8FA-4947-B2FE-4204FF2C9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50800</xdr:colOff>
      <xdr:row>943</xdr:row>
      <xdr:rowOff>76200</xdr:rowOff>
    </xdr:from>
    <xdr:to>
      <xdr:col>38</xdr:col>
      <xdr:colOff>1290320</xdr:colOff>
      <xdr:row>954</xdr:row>
      <xdr:rowOff>45720</xdr:rowOff>
    </xdr:to>
    <xdr:graphicFrame macro="">
      <xdr:nvGraphicFramePr>
        <xdr:cNvPr id="7" name="Grafiek 6">
          <a:extLst>
            <a:ext uri="{FF2B5EF4-FFF2-40B4-BE49-F238E27FC236}">
              <a16:creationId xmlns:a16="http://schemas.microsoft.com/office/drawing/2014/main" id="{20EBFC7B-8270-401E-B8D7-DE05AC645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622300</xdr:colOff>
      <xdr:row>930</xdr:row>
      <xdr:rowOff>165100</xdr:rowOff>
    </xdr:from>
    <xdr:to>
      <xdr:col>39</xdr:col>
      <xdr:colOff>528320</xdr:colOff>
      <xdr:row>941</xdr:row>
      <xdr:rowOff>134620</xdr:rowOff>
    </xdr:to>
    <xdr:graphicFrame macro="">
      <xdr:nvGraphicFramePr>
        <xdr:cNvPr id="9" name="Grafiek 8">
          <a:extLst>
            <a:ext uri="{FF2B5EF4-FFF2-40B4-BE49-F238E27FC236}">
              <a16:creationId xmlns:a16="http://schemas.microsoft.com/office/drawing/2014/main" id="{DBC9CE6E-B11D-4076-BCB0-024AB80C52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673100</xdr:colOff>
      <xdr:row>919</xdr:row>
      <xdr:rowOff>12700</xdr:rowOff>
    </xdr:from>
    <xdr:to>
      <xdr:col>39</xdr:col>
      <xdr:colOff>579120</xdr:colOff>
      <xdr:row>929</xdr:row>
      <xdr:rowOff>160020</xdr:rowOff>
    </xdr:to>
    <xdr:graphicFrame macro="">
      <xdr:nvGraphicFramePr>
        <xdr:cNvPr id="10" name="Grafiek 9">
          <a:extLst>
            <a:ext uri="{FF2B5EF4-FFF2-40B4-BE49-F238E27FC236}">
              <a16:creationId xmlns:a16="http://schemas.microsoft.com/office/drawing/2014/main" id="{C0BC2784-C0FF-4BFF-82EE-2380BE3A2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174004</xdr:colOff>
      <xdr:row>770</xdr:row>
      <xdr:rowOff>109896</xdr:rowOff>
    </xdr:from>
    <xdr:to>
      <xdr:col>38</xdr:col>
      <xdr:colOff>688739</xdr:colOff>
      <xdr:row>802</xdr:row>
      <xdr:rowOff>159177</xdr:rowOff>
    </xdr:to>
    <xdr:graphicFrame macro="">
      <xdr:nvGraphicFramePr>
        <xdr:cNvPr id="11" name="Grafiek 10">
          <a:extLst>
            <a:ext uri="{FF2B5EF4-FFF2-40B4-BE49-F238E27FC236}">
              <a16:creationId xmlns:a16="http://schemas.microsoft.com/office/drawing/2014/main" id="{375BB6B8-131E-42EA-A5DE-6FC199E58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510540</xdr:colOff>
      <xdr:row>1</xdr:row>
      <xdr:rowOff>138546</xdr:rowOff>
    </xdr:from>
    <xdr:to>
      <xdr:col>18</xdr:col>
      <xdr:colOff>512618</xdr:colOff>
      <xdr:row>22</xdr:row>
      <xdr:rowOff>55418</xdr:rowOff>
    </xdr:to>
    <xdr:graphicFrame macro="">
      <xdr:nvGraphicFramePr>
        <xdr:cNvPr id="2" name="Grafiek 1">
          <a:extLst>
            <a:ext uri="{FF2B5EF4-FFF2-40B4-BE49-F238E27FC236}">
              <a16:creationId xmlns:a16="http://schemas.microsoft.com/office/drawing/2014/main" id="{86839FC4-C2A2-45DF-9E0F-1C16D7800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519545</xdr:colOff>
      <xdr:row>23</xdr:row>
      <xdr:rowOff>41562</xdr:rowOff>
    </xdr:from>
    <xdr:to>
      <xdr:col>18</xdr:col>
      <xdr:colOff>526473</xdr:colOff>
      <xdr:row>44</xdr:row>
      <xdr:rowOff>138545</xdr:rowOff>
    </xdr:to>
    <xdr:graphicFrame macro="">
      <xdr:nvGraphicFramePr>
        <xdr:cNvPr id="3" name="Grafiek 2">
          <a:extLst>
            <a:ext uri="{FF2B5EF4-FFF2-40B4-BE49-F238E27FC236}">
              <a16:creationId xmlns:a16="http://schemas.microsoft.com/office/drawing/2014/main" id="{BA89B3BC-0EF8-4190-8A45-2DDF8A0E5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447596</xdr:colOff>
      <xdr:row>138</xdr:row>
      <xdr:rowOff>75522</xdr:rowOff>
    </xdr:from>
    <xdr:to>
      <xdr:col>37</xdr:col>
      <xdr:colOff>415636</xdr:colOff>
      <xdr:row>174</xdr:row>
      <xdr:rowOff>41563</xdr:rowOff>
    </xdr:to>
    <xdr:graphicFrame macro="">
      <xdr:nvGraphicFramePr>
        <xdr:cNvPr id="4" name="Grafiek 3">
          <a:extLst>
            <a:ext uri="{FF2B5EF4-FFF2-40B4-BE49-F238E27FC236}">
              <a16:creationId xmlns:a16="http://schemas.microsoft.com/office/drawing/2014/main" id="{5A163084-2FB8-48ED-8DCF-9C1A32DD81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41564</xdr:colOff>
      <xdr:row>0</xdr:row>
      <xdr:rowOff>96983</xdr:rowOff>
    </xdr:from>
    <xdr:to>
      <xdr:col>28</xdr:col>
      <xdr:colOff>83127</xdr:colOff>
      <xdr:row>21</xdr:row>
      <xdr:rowOff>152400</xdr:rowOff>
    </xdr:to>
    <xdr:graphicFrame macro="">
      <xdr:nvGraphicFramePr>
        <xdr:cNvPr id="5" name="Grafiek 4">
          <a:extLst>
            <a:ext uri="{FF2B5EF4-FFF2-40B4-BE49-F238E27FC236}">
              <a16:creationId xmlns:a16="http://schemas.microsoft.com/office/drawing/2014/main" id="{FB644898-F2A0-4711-8EB1-50ED38326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124691</xdr:colOff>
      <xdr:row>23</xdr:row>
      <xdr:rowOff>110836</xdr:rowOff>
    </xdr:from>
    <xdr:to>
      <xdr:col>28</xdr:col>
      <xdr:colOff>152400</xdr:colOff>
      <xdr:row>45</xdr:row>
      <xdr:rowOff>27709</xdr:rowOff>
    </xdr:to>
    <xdr:graphicFrame macro="">
      <xdr:nvGraphicFramePr>
        <xdr:cNvPr id="6" name="Grafiek 5">
          <a:extLst>
            <a:ext uri="{FF2B5EF4-FFF2-40B4-BE49-F238E27FC236}">
              <a16:creationId xmlns:a16="http://schemas.microsoft.com/office/drawing/2014/main" id="{3BDEB507-2ED9-49C4-AEC4-6A8EEE9E5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273869</xdr:colOff>
      <xdr:row>252</xdr:row>
      <xdr:rowOff>125303</xdr:rowOff>
    </xdr:from>
    <xdr:to>
      <xdr:col>19</xdr:col>
      <xdr:colOff>484150</xdr:colOff>
      <xdr:row>269</xdr:row>
      <xdr:rowOff>76295</xdr:rowOff>
    </xdr:to>
    <xdr:graphicFrame macro="">
      <xdr:nvGraphicFramePr>
        <xdr:cNvPr id="7" name="Grafiek 6">
          <a:extLst>
            <a:ext uri="{FF2B5EF4-FFF2-40B4-BE49-F238E27FC236}">
              <a16:creationId xmlns:a16="http://schemas.microsoft.com/office/drawing/2014/main" id="{AF077DD7-5066-41AD-8B70-D5A30D1DA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13852</xdr:colOff>
      <xdr:row>58</xdr:row>
      <xdr:rowOff>27707</xdr:rowOff>
    </xdr:from>
    <xdr:to>
      <xdr:col>13</xdr:col>
      <xdr:colOff>193963</xdr:colOff>
      <xdr:row>84</xdr:row>
      <xdr:rowOff>83127</xdr:rowOff>
    </xdr:to>
    <xdr:graphicFrame macro="">
      <xdr:nvGraphicFramePr>
        <xdr:cNvPr id="11" name="Grafiek 10">
          <a:extLst>
            <a:ext uri="{FF2B5EF4-FFF2-40B4-BE49-F238E27FC236}">
              <a16:creationId xmlns:a16="http://schemas.microsoft.com/office/drawing/2014/main" id="{BB6F6900-B3FD-4E57-8CF0-1DEFA6F74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110835</xdr:colOff>
      <xdr:row>59</xdr:row>
      <xdr:rowOff>27711</xdr:rowOff>
    </xdr:from>
    <xdr:to>
      <xdr:col>27</xdr:col>
      <xdr:colOff>401781</xdr:colOff>
      <xdr:row>85</xdr:row>
      <xdr:rowOff>138546</xdr:rowOff>
    </xdr:to>
    <xdr:graphicFrame macro="">
      <xdr:nvGraphicFramePr>
        <xdr:cNvPr id="12" name="Grafiek 11">
          <a:extLst>
            <a:ext uri="{FF2B5EF4-FFF2-40B4-BE49-F238E27FC236}">
              <a16:creationId xmlns:a16="http://schemas.microsoft.com/office/drawing/2014/main" id="{ECC0A591-6022-4EFA-BB7B-AAFADC796A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124688</xdr:colOff>
      <xdr:row>87</xdr:row>
      <xdr:rowOff>-1</xdr:rowOff>
    </xdr:from>
    <xdr:to>
      <xdr:col>13</xdr:col>
      <xdr:colOff>152399</xdr:colOff>
      <xdr:row>114</xdr:row>
      <xdr:rowOff>96982</xdr:rowOff>
    </xdr:to>
    <xdr:graphicFrame macro="">
      <xdr:nvGraphicFramePr>
        <xdr:cNvPr id="13" name="Grafiek 12">
          <a:extLst>
            <a:ext uri="{FF2B5EF4-FFF2-40B4-BE49-F238E27FC236}">
              <a16:creationId xmlns:a16="http://schemas.microsoft.com/office/drawing/2014/main" id="{5317292C-BFA1-4E62-B361-8D2192B1C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124690</xdr:colOff>
      <xdr:row>86</xdr:row>
      <xdr:rowOff>41562</xdr:rowOff>
    </xdr:from>
    <xdr:to>
      <xdr:col>27</xdr:col>
      <xdr:colOff>457200</xdr:colOff>
      <xdr:row>113</xdr:row>
      <xdr:rowOff>166255</xdr:rowOff>
    </xdr:to>
    <xdr:graphicFrame macro="">
      <xdr:nvGraphicFramePr>
        <xdr:cNvPr id="14" name="Grafiek 13">
          <a:extLst>
            <a:ext uri="{FF2B5EF4-FFF2-40B4-BE49-F238E27FC236}">
              <a16:creationId xmlns:a16="http://schemas.microsoft.com/office/drawing/2014/main" id="{FD0B5A83-066F-498A-83D6-E29BCA3C1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28</xdr:col>
      <xdr:colOff>228599</xdr:colOff>
      <xdr:row>58</xdr:row>
      <xdr:rowOff>55418</xdr:rowOff>
    </xdr:from>
    <xdr:to>
      <xdr:col>39</xdr:col>
      <xdr:colOff>498764</xdr:colOff>
      <xdr:row>85</xdr:row>
      <xdr:rowOff>138545</xdr:rowOff>
    </xdr:to>
    <xdr:graphicFrame macro="">
      <xdr:nvGraphicFramePr>
        <xdr:cNvPr id="15" name="Grafiek 14">
          <a:extLst>
            <a:ext uri="{FF2B5EF4-FFF2-40B4-BE49-F238E27FC236}">
              <a16:creationId xmlns:a16="http://schemas.microsoft.com/office/drawing/2014/main" id="{10890418-E36A-4FD0-ADA1-AC6F2B192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464126</xdr:colOff>
      <xdr:row>116</xdr:row>
      <xdr:rowOff>13854</xdr:rowOff>
    </xdr:from>
    <xdr:to>
      <xdr:col>26</xdr:col>
      <xdr:colOff>124691</xdr:colOff>
      <xdr:row>135</xdr:row>
      <xdr:rowOff>13854</xdr:rowOff>
    </xdr:to>
    <xdr:graphicFrame macro="">
      <xdr:nvGraphicFramePr>
        <xdr:cNvPr id="8" name="Grafiek 7">
          <a:extLst>
            <a:ext uri="{FF2B5EF4-FFF2-40B4-BE49-F238E27FC236}">
              <a16:creationId xmlns:a16="http://schemas.microsoft.com/office/drawing/2014/main" id="{B2DE1539-3558-4618-A8F2-95872FF20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27</xdr:col>
      <xdr:colOff>200889</xdr:colOff>
      <xdr:row>226</xdr:row>
      <xdr:rowOff>110835</xdr:rowOff>
    </xdr:from>
    <xdr:to>
      <xdr:col>42</xdr:col>
      <xdr:colOff>374072</xdr:colOff>
      <xdr:row>255</xdr:row>
      <xdr:rowOff>166254</xdr:rowOff>
    </xdr:to>
    <xdr:graphicFrame macro="">
      <xdr:nvGraphicFramePr>
        <xdr:cNvPr id="9" name="Grafiek 8">
          <a:extLst>
            <a:ext uri="{FF2B5EF4-FFF2-40B4-BE49-F238E27FC236}">
              <a16:creationId xmlns:a16="http://schemas.microsoft.com/office/drawing/2014/main" id="{DF054126-88FE-48F8-BA9B-7AE6ADC5C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277090</xdr:colOff>
      <xdr:row>180</xdr:row>
      <xdr:rowOff>13854</xdr:rowOff>
    </xdr:from>
    <xdr:to>
      <xdr:col>36</xdr:col>
      <xdr:colOff>166254</xdr:colOff>
      <xdr:row>219</xdr:row>
      <xdr:rowOff>13854</xdr:rowOff>
    </xdr:to>
    <xdr:graphicFrame macro="">
      <xdr:nvGraphicFramePr>
        <xdr:cNvPr id="16" name="Grafiek 15">
          <a:extLst>
            <a:ext uri="{FF2B5EF4-FFF2-40B4-BE49-F238E27FC236}">
              <a16:creationId xmlns:a16="http://schemas.microsoft.com/office/drawing/2014/main" id="{049F41FC-676F-4946-A8D0-4A584E0387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27</xdr:col>
      <xdr:colOff>221673</xdr:colOff>
      <xdr:row>257</xdr:row>
      <xdr:rowOff>96982</xdr:rowOff>
    </xdr:from>
    <xdr:to>
      <xdr:col>42</xdr:col>
      <xdr:colOff>394856</xdr:colOff>
      <xdr:row>286</xdr:row>
      <xdr:rowOff>152400</xdr:rowOff>
    </xdr:to>
    <xdr:graphicFrame macro="">
      <xdr:nvGraphicFramePr>
        <xdr:cNvPr id="17" name="Grafiek 16">
          <a:extLst>
            <a:ext uri="{FF2B5EF4-FFF2-40B4-BE49-F238E27FC236}">
              <a16:creationId xmlns:a16="http://schemas.microsoft.com/office/drawing/2014/main" id="{CAAF18A1-47FC-4F94-81EE-CA72935AF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82984</xdr:colOff>
      <xdr:row>279</xdr:row>
      <xdr:rowOff>7068</xdr:rowOff>
    </xdr:from>
    <xdr:to>
      <xdr:col>26</xdr:col>
      <xdr:colOff>554746</xdr:colOff>
      <xdr:row>326</xdr:row>
      <xdr:rowOff>90196</xdr:rowOff>
    </xdr:to>
    <xdr:graphicFrame macro="">
      <xdr:nvGraphicFramePr>
        <xdr:cNvPr id="19" name="Grafiek 18">
          <a:extLst>
            <a:ext uri="{FF2B5EF4-FFF2-40B4-BE49-F238E27FC236}">
              <a16:creationId xmlns:a16="http://schemas.microsoft.com/office/drawing/2014/main" id="{A706BA9D-9B3F-4B73-A2FF-A10397BA2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43</xdr:col>
      <xdr:colOff>152401</xdr:colOff>
      <xdr:row>242</xdr:row>
      <xdr:rowOff>84666</xdr:rowOff>
    </xdr:from>
    <xdr:to>
      <xdr:col>57</xdr:col>
      <xdr:colOff>541867</xdr:colOff>
      <xdr:row>257</xdr:row>
      <xdr:rowOff>33866</xdr:rowOff>
    </xdr:to>
    <xdr:graphicFrame macro="">
      <xdr:nvGraphicFramePr>
        <xdr:cNvPr id="10" name="Grafiek 9">
          <a:extLst>
            <a:ext uri="{FF2B5EF4-FFF2-40B4-BE49-F238E27FC236}">
              <a16:creationId xmlns:a16="http://schemas.microsoft.com/office/drawing/2014/main" id="{373E32BE-E85C-4502-992F-8AFE49840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35</xdr:col>
      <xdr:colOff>533400</xdr:colOff>
      <xdr:row>40</xdr:row>
      <xdr:rowOff>83820</xdr:rowOff>
    </xdr:from>
    <xdr:to>
      <xdr:col>50</xdr:col>
      <xdr:colOff>190500</xdr:colOff>
      <xdr:row>56</xdr:row>
      <xdr:rowOff>7620</xdr:rowOff>
    </xdr:to>
    <xdr:graphicFrame macro="">
      <xdr:nvGraphicFramePr>
        <xdr:cNvPr id="2" name="Grafiek 1">
          <a:extLst>
            <a:ext uri="{FF2B5EF4-FFF2-40B4-BE49-F238E27FC236}">
              <a16:creationId xmlns:a16="http://schemas.microsoft.com/office/drawing/2014/main" id="{7C056C4E-F4DB-4243-A779-425FF67B72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367105</xdr:colOff>
      <xdr:row>34</xdr:row>
      <xdr:rowOff>132678</xdr:rowOff>
    </xdr:from>
    <xdr:to>
      <xdr:col>9</xdr:col>
      <xdr:colOff>62305</xdr:colOff>
      <xdr:row>49</xdr:row>
      <xdr:rowOff>132678</xdr:rowOff>
    </xdr:to>
    <xdr:graphicFrame macro="">
      <xdr:nvGraphicFramePr>
        <xdr:cNvPr id="3" name="Grafiek 2">
          <a:extLst>
            <a:ext uri="{FF2B5EF4-FFF2-40B4-BE49-F238E27FC236}">
              <a16:creationId xmlns:a16="http://schemas.microsoft.com/office/drawing/2014/main" id="{1213D295-4A2C-44EF-AC0F-BB853B112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388620</xdr:colOff>
      <xdr:row>52</xdr:row>
      <xdr:rowOff>137160</xdr:rowOff>
    </xdr:from>
    <xdr:to>
      <xdr:col>10</xdr:col>
      <xdr:colOff>83820</xdr:colOff>
      <xdr:row>67</xdr:row>
      <xdr:rowOff>137160</xdr:rowOff>
    </xdr:to>
    <xdr:graphicFrame macro="">
      <xdr:nvGraphicFramePr>
        <xdr:cNvPr id="4" name="Grafiek 3">
          <a:extLst>
            <a:ext uri="{FF2B5EF4-FFF2-40B4-BE49-F238E27FC236}">
              <a16:creationId xmlns:a16="http://schemas.microsoft.com/office/drawing/2014/main" id="{F97AEF56-7C8D-44C8-A4D2-8392B5591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216626</xdr:colOff>
      <xdr:row>100</xdr:row>
      <xdr:rowOff>25037</xdr:rowOff>
    </xdr:from>
    <xdr:to>
      <xdr:col>33</xdr:col>
      <xdr:colOff>521426</xdr:colOff>
      <xdr:row>115</xdr:row>
      <xdr:rowOff>25037</xdr:rowOff>
    </xdr:to>
    <xdr:graphicFrame macro="">
      <xdr:nvGraphicFramePr>
        <xdr:cNvPr id="5" name="Grafiek 4">
          <a:extLst>
            <a:ext uri="{FF2B5EF4-FFF2-40B4-BE49-F238E27FC236}">
              <a16:creationId xmlns:a16="http://schemas.microsoft.com/office/drawing/2014/main" id="{2CE2BA73-B9AE-4D89-94EC-170AAB1AC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160020</xdr:colOff>
      <xdr:row>96</xdr:row>
      <xdr:rowOff>60960</xdr:rowOff>
    </xdr:from>
    <xdr:to>
      <xdr:col>24</xdr:col>
      <xdr:colOff>579120</xdr:colOff>
      <xdr:row>113</xdr:row>
      <xdr:rowOff>160020</xdr:rowOff>
    </xdr:to>
    <xdr:graphicFrame macro="">
      <xdr:nvGraphicFramePr>
        <xdr:cNvPr id="6" name="Grafiek 5">
          <a:extLst>
            <a:ext uri="{FF2B5EF4-FFF2-40B4-BE49-F238E27FC236}">
              <a16:creationId xmlns:a16="http://schemas.microsoft.com/office/drawing/2014/main" id="{038E8724-5E2E-48A0-A85D-5079C6B44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613187</xdr:colOff>
      <xdr:row>161</xdr:row>
      <xdr:rowOff>52442</xdr:rowOff>
    </xdr:from>
    <xdr:to>
      <xdr:col>30</xdr:col>
      <xdr:colOff>282837</xdr:colOff>
      <xdr:row>177</xdr:row>
      <xdr:rowOff>155536</xdr:rowOff>
    </xdr:to>
    <xdr:graphicFrame macro="">
      <xdr:nvGraphicFramePr>
        <xdr:cNvPr id="7" name="Grafiek 6">
          <a:extLst>
            <a:ext uri="{FF2B5EF4-FFF2-40B4-BE49-F238E27FC236}">
              <a16:creationId xmlns:a16="http://schemas.microsoft.com/office/drawing/2014/main" id="{6800FD3F-10BB-4F26-BB36-6EEA36A76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https://new.abb.com/power-converters-inverters/wind-turbines" TargetMode="External"/><Relationship Id="rId6" Type="http://schemas.openxmlformats.org/officeDocument/2006/relationships/hyperlink" Target="\" TargetMode="External"/><Relationship Id="rId11" Type="http://schemas.openxmlformats.org/officeDocument/2006/relationships/drawing" Target="../drawings/drawing4.xml"/><Relationship Id="rId5" Type="http://schemas.openxmlformats.org/officeDocument/2006/relationships/hyperlink" Target="\" TargetMode="External"/><Relationship Id="rId10" Type="http://schemas.openxmlformats.org/officeDocument/2006/relationships/printerSettings" Target="../printerSettings/printerSettings6.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3" Type="http://schemas.openxmlformats.org/officeDocument/2006/relationships/hyperlink" Target="\" TargetMode="External"/><Relationship Id="rId18" Type="http://schemas.openxmlformats.org/officeDocument/2006/relationships/hyperlink" Target="\" TargetMode="External"/><Relationship Id="rId26" Type="http://schemas.openxmlformats.org/officeDocument/2006/relationships/hyperlink" Target="\" TargetMode="External"/><Relationship Id="rId39" Type="http://schemas.openxmlformats.org/officeDocument/2006/relationships/hyperlink" Target="\" TargetMode="External"/><Relationship Id="rId3" Type="http://schemas.openxmlformats.org/officeDocument/2006/relationships/hyperlink" Target="\" TargetMode="External"/><Relationship Id="rId21" Type="http://schemas.openxmlformats.org/officeDocument/2006/relationships/hyperlink" Target="\" TargetMode="External"/><Relationship Id="rId34" Type="http://schemas.openxmlformats.org/officeDocument/2006/relationships/hyperlink" Target="\" TargetMode="External"/><Relationship Id="rId42" Type="http://schemas.openxmlformats.org/officeDocument/2006/relationships/hyperlink" Target="\" TargetMode="External"/><Relationship Id="rId47" Type="http://schemas.openxmlformats.org/officeDocument/2006/relationships/hyperlink" Target="\" TargetMode="External"/><Relationship Id="rId50" Type="http://schemas.openxmlformats.org/officeDocument/2006/relationships/hyperlink" Target="\" TargetMode="External"/><Relationship Id="rId7" Type="http://schemas.openxmlformats.org/officeDocument/2006/relationships/hyperlink" Target="\" TargetMode="External"/><Relationship Id="rId12" Type="http://schemas.openxmlformats.org/officeDocument/2006/relationships/hyperlink" Target="\" TargetMode="External"/><Relationship Id="rId17" Type="http://schemas.openxmlformats.org/officeDocument/2006/relationships/hyperlink" Target="\" TargetMode="External"/><Relationship Id="rId25" Type="http://schemas.openxmlformats.org/officeDocument/2006/relationships/hyperlink" Target="\" TargetMode="External"/><Relationship Id="rId33" Type="http://schemas.openxmlformats.org/officeDocument/2006/relationships/hyperlink" Target="\" TargetMode="External"/><Relationship Id="rId38" Type="http://schemas.openxmlformats.org/officeDocument/2006/relationships/hyperlink" Target="\" TargetMode="External"/><Relationship Id="rId46" Type="http://schemas.openxmlformats.org/officeDocument/2006/relationships/hyperlink" Target="\" TargetMode="External"/><Relationship Id="rId2" Type="http://schemas.openxmlformats.org/officeDocument/2006/relationships/hyperlink" Target="\" TargetMode="External"/><Relationship Id="rId16" Type="http://schemas.openxmlformats.org/officeDocument/2006/relationships/hyperlink" Target="\" TargetMode="External"/><Relationship Id="rId20" Type="http://schemas.openxmlformats.org/officeDocument/2006/relationships/hyperlink" Target="\" TargetMode="External"/><Relationship Id="rId29" Type="http://schemas.openxmlformats.org/officeDocument/2006/relationships/hyperlink" Target="\" TargetMode="External"/><Relationship Id="rId41"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11" Type="http://schemas.openxmlformats.org/officeDocument/2006/relationships/hyperlink" Target="\" TargetMode="External"/><Relationship Id="rId24" Type="http://schemas.openxmlformats.org/officeDocument/2006/relationships/hyperlink" Target="\" TargetMode="External"/><Relationship Id="rId32" Type="http://schemas.openxmlformats.org/officeDocument/2006/relationships/hyperlink" Target="\" TargetMode="External"/><Relationship Id="rId37" Type="http://schemas.openxmlformats.org/officeDocument/2006/relationships/hyperlink" Target="\" TargetMode="External"/><Relationship Id="rId40" Type="http://schemas.openxmlformats.org/officeDocument/2006/relationships/hyperlink" Target="\" TargetMode="External"/><Relationship Id="rId45" Type="http://schemas.openxmlformats.org/officeDocument/2006/relationships/hyperlink" Target="\" TargetMode="External"/><Relationship Id="rId5" Type="http://schemas.openxmlformats.org/officeDocument/2006/relationships/hyperlink" Target="\" TargetMode="External"/><Relationship Id="rId15" Type="http://schemas.openxmlformats.org/officeDocument/2006/relationships/hyperlink" Target="\" TargetMode="External"/><Relationship Id="rId23" Type="http://schemas.openxmlformats.org/officeDocument/2006/relationships/hyperlink" Target="\" TargetMode="External"/><Relationship Id="rId28" Type="http://schemas.openxmlformats.org/officeDocument/2006/relationships/hyperlink" Target="\" TargetMode="External"/><Relationship Id="rId36" Type="http://schemas.openxmlformats.org/officeDocument/2006/relationships/hyperlink" Target="\" TargetMode="External"/><Relationship Id="rId49" Type="http://schemas.openxmlformats.org/officeDocument/2006/relationships/hyperlink" Target="\" TargetMode="External"/><Relationship Id="rId10" Type="http://schemas.openxmlformats.org/officeDocument/2006/relationships/hyperlink" Target="\" TargetMode="External"/><Relationship Id="rId19" Type="http://schemas.openxmlformats.org/officeDocument/2006/relationships/hyperlink" Target="\" TargetMode="External"/><Relationship Id="rId31" Type="http://schemas.openxmlformats.org/officeDocument/2006/relationships/hyperlink" Target="\" TargetMode="External"/><Relationship Id="rId44" Type="http://schemas.openxmlformats.org/officeDocument/2006/relationships/hyperlink" Target="\" TargetMode="External"/><Relationship Id="rId52" Type="http://schemas.openxmlformats.org/officeDocument/2006/relationships/drawing" Target="../drawings/drawing6.xml"/><Relationship Id="rId4" Type="http://schemas.openxmlformats.org/officeDocument/2006/relationships/hyperlink" Target="\" TargetMode="External"/><Relationship Id="rId9" Type="http://schemas.openxmlformats.org/officeDocument/2006/relationships/hyperlink" Target="\" TargetMode="External"/><Relationship Id="rId14" Type="http://schemas.openxmlformats.org/officeDocument/2006/relationships/hyperlink" Target="\" TargetMode="External"/><Relationship Id="rId22" Type="http://schemas.openxmlformats.org/officeDocument/2006/relationships/hyperlink" Target="\" TargetMode="External"/><Relationship Id="rId27" Type="http://schemas.openxmlformats.org/officeDocument/2006/relationships/hyperlink" Target="\" TargetMode="External"/><Relationship Id="rId30" Type="http://schemas.openxmlformats.org/officeDocument/2006/relationships/hyperlink" Target="\" TargetMode="External"/><Relationship Id="rId35" Type="http://schemas.openxmlformats.org/officeDocument/2006/relationships/hyperlink" Target="\" TargetMode="External"/><Relationship Id="rId43" Type="http://schemas.openxmlformats.org/officeDocument/2006/relationships/hyperlink" Target="\" TargetMode="External"/><Relationship Id="rId48" Type="http://schemas.openxmlformats.org/officeDocument/2006/relationships/hyperlink" Target="\" TargetMode="External"/><Relationship Id="rId8" Type="http://schemas.openxmlformats.org/officeDocument/2006/relationships/hyperlink" Target="\" TargetMode="External"/><Relationship Id="rId5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9BA46-C38A-4E9C-BEE6-90DBE4BB19CF}">
  <dimension ref="A2:BC934"/>
  <sheetViews>
    <sheetView zoomScale="56" zoomScaleNormal="56" workbookViewId="0">
      <selection activeCell="L24" sqref="L24"/>
    </sheetView>
  </sheetViews>
  <sheetFormatPr defaultRowHeight="14.4" x14ac:dyDescent="0.3"/>
  <cols>
    <col min="1" max="1" width="7.44140625" customWidth="1"/>
    <col min="5" max="5" width="15.44140625" customWidth="1"/>
    <col min="6" max="6" width="12.33203125" customWidth="1"/>
    <col min="7" max="7" width="11.21875" customWidth="1"/>
    <col min="8" max="8" width="17.77734375" customWidth="1"/>
    <col min="9" max="9" width="14.109375" customWidth="1"/>
    <col min="10" max="10" width="12.109375" customWidth="1"/>
    <col min="13" max="13" width="14.109375" customWidth="1"/>
    <col min="14" max="14" width="13.44140625" customWidth="1"/>
    <col min="16" max="16" width="14.44140625" bestFit="1" customWidth="1"/>
    <col min="17" max="17" width="10.6640625" bestFit="1" customWidth="1"/>
    <col min="18" max="18" width="11.5546875" customWidth="1"/>
    <col min="24" max="24" width="16.33203125" customWidth="1"/>
    <col min="25" max="25" width="16.88671875" customWidth="1"/>
    <col min="26" max="26" width="8.88671875" customWidth="1"/>
    <col min="54" max="54" width="8.88671875" customWidth="1"/>
    <col min="55" max="55" width="11.5546875" bestFit="1" customWidth="1"/>
  </cols>
  <sheetData>
    <row r="2" spans="2:39" x14ac:dyDescent="0.3">
      <c r="B2" s="42" t="s">
        <v>72</v>
      </c>
      <c r="AA2" s="18" t="s">
        <v>163</v>
      </c>
      <c r="AB2" s="18"/>
      <c r="AC2" s="18"/>
      <c r="AD2" s="18"/>
      <c r="AI2" s="18" t="s">
        <v>47</v>
      </c>
      <c r="AJ2" s="18"/>
      <c r="AK2" s="18"/>
      <c r="AL2" s="18"/>
    </row>
    <row r="3" spans="2:39" x14ac:dyDescent="0.3">
      <c r="AA3" t="s">
        <v>32</v>
      </c>
      <c r="AD3" t="s">
        <v>162</v>
      </c>
      <c r="AI3" t="s">
        <v>32</v>
      </c>
      <c r="AL3" t="s">
        <v>162</v>
      </c>
    </row>
    <row r="4" spans="2:39" x14ac:dyDescent="0.3">
      <c r="B4" s="17" t="s">
        <v>95</v>
      </c>
      <c r="C4" s="16"/>
      <c r="D4" s="16"/>
      <c r="E4" s="16"/>
      <c r="F4" s="16"/>
      <c r="G4" s="16"/>
      <c r="H4" s="16"/>
      <c r="I4" s="16"/>
      <c r="K4" s="40" t="s">
        <v>196</v>
      </c>
      <c r="L4" s="7"/>
      <c r="M4" s="7"/>
      <c r="N4" s="7"/>
      <c r="O4" s="7"/>
      <c r="P4" s="7"/>
      <c r="Q4" s="7"/>
      <c r="R4" s="7"/>
      <c r="S4" s="7"/>
      <c r="T4" s="7"/>
      <c r="U4" s="7"/>
      <c r="W4" s="17" t="s">
        <v>146</v>
      </c>
      <c r="X4" s="17"/>
      <c r="Y4" s="17"/>
      <c r="Z4" s="17"/>
      <c r="AA4" s="17"/>
      <c r="AB4" s="7"/>
      <c r="AC4" s="7"/>
      <c r="AD4" s="40"/>
      <c r="AE4" s="7"/>
      <c r="AF4" s="7"/>
      <c r="AG4" s="7"/>
      <c r="AH4" s="7"/>
      <c r="AI4" s="7"/>
      <c r="AJ4" s="7"/>
      <c r="AK4" s="7"/>
      <c r="AL4" s="7"/>
    </row>
    <row r="5" spans="2:39" x14ac:dyDescent="0.3">
      <c r="C5" t="s">
        <v>97</v>
      </c>
      <c r="F5" s="2">
        <v>15000</v>
      </c>
      <c r="K5" s="41" t="s">
        <v>50</v>
      </c>
      <c r="L5" s="12"/>
      <c r="M5" s="12"/>
      <c r="N5" s="12"/>
      <c r="O5" s="12"/>
      <c r="P5" s="12"/>
      <c r="Q5" s="12"/>
      <c r="R5" s="12"/>
      <c r="S5" s="12"/>
      <c r="T5" s="12"/>
      <c r="U5" s="12"/>
      <c r="X5" t="s">
        <v>108</v>
      </c>
      <c r="AA5" s="14">
        <f>'Impact settings'!F5</f>
        <v>1.57</v>
      </c>
      <c r="AD5" s="14">
        <f>'Impact settings'!G5</f>
        <v>20.9</v>
      </c>
      <c r="AI5" s="38">
        <f>'OEL impact settings'!K9</f>
        <v>3.368E-4</v>
      </c>
      <c r="AL5" s="38">
        <f>'OEL impact settings'!P9</f>
        <v>1.192E-2</v>
      </c>
    </row>
    <row r="6" spans="2:39" x14ac:dyDescent="0.3">
      <c r="C6" t="s">
        <v>96</v>
      </c>
      <c r="F6" s="2">
        <v>1</v>
      </c>
      <c r="G6" t="s">
        <v>98</v>
      </c>
      <c r="H6" s="53">
        <f>F6*F8</f>
        <v>1200</v>
      </c>
      <c r="I6" t="s">
        <v>100</v>
      </c>
      <c r="X6" t="s">
        <v>23</v>
      </c>
      <c r="AA6" s="14">
        <f>'Impact settings'!F6</f>
        <v>1.7</v>
      </c>
      <c r="AD6" s="14">
        <f>'Impact settings'!G6</f>
        <v>22</v>
      </c>
      <c r="AI6" s="38">
        <f>'OEL impact settings'!K10</f>
        <v>4.9599999999999998E-2</v>
      </c>
      <c r="AL6" s="38">
        <f>'OEL impact settings'!P10</f>
        <v>2.5520000000000001E-2</v>
      </c>
    </row>
    <row r="7" spans="2:39" x14ac:dyDescent="0.3">
      <c r="C7" t="s">
        <v>1394</v>
      </c>
      <c r="F7">
        <v>500</v>
      </c>
      <c r="G7" t="s">
        <v>91</v>
      </c>
      <c r="H7" s="223">
        <v>30</v>
      </c>
      <c r="I7" s="223" t="s">
        <v>1395</v>
      </c>
      <c r="L7" t="s">
        <v>199</v>
      </c>
      <c r="O7" s="58">
        <v>24</v>
      </c>
      <c r="X7" t="s">
        <v>24</v>
      </c>
      <c r="AA7" s="14">
        <f>'Impact settings'!F7</f>
        <v>4.37</v>
      </c>
      <c r="AD7" s="14">
        <f>'Impact settings'!G7</f>
        <v>63.8</v>
      </c>
      <c r="AI7" s="38">
        <f>'OEL impact settings'!K11</f>
        <v>3.368E-4</v>
      </c>
      <c r="AL7" s="38">
        <f>'OEL impact settings'!P11</f>
        <v>1.192E-2</v>
      </c>
    </row>
    <row r="8" spans="2:39" x14ac:dyDescent="0.3">
      <c r="C8" t="s">
        <v>99</v>
      </c>
      <c r="F8" s="58">
        <v>1200</v>
      </c>
      <c r="G8" t="s">
        <v>91</v>
      </c>
      <c r="L8" t="s">
        <v>248</v>
      </c>
      <c r="O8" s="53">
        <f>PI()*(O7/2)^2</f>
        <v>452.38934211693021</v>
      </c>
      <c r="X8" t="s">
        <v>113</v>
      </c>
      <c r="AA8" s="14">
        <f>'Impact settings'!F8</f>
        <v>4.63</v>
      </c>
      <c r="AD8" s="14">
        <f>'Impact settings'!G8</f>
        <v>69.3</v>
      </c>
      <c r="AI8" s="38">
        <f>'OEL impact settings'!K12</f>
        <v>4.9599999999999998E-2</v>
      </c>
      <c r="AL8" s="38">
        <f>'OEL impact settings'!P12</f>
        <v>2.5520000000000001E-2</v>
      </c>
    </row>
    <row r="9" spans="2:39" x14ac:dyDescent="0.3">
      <c r="C9" t="s">
        <v>83</v>
      </c>
      <c r="F9" s="2">
        <v>20</v>
      </c>
      <c r="G9" t="s">
        <v>84</v>
      </c>
      <c r="X9" t="s">
        <v>291</v>
      </c>
      <c r="AA9" s="14">
        <f>'Impact settings'!F9</f>
        <v>12.7</v>
      </c>
      <c r="AD9" s="14">
        <f>'Impact settings'!G9</f>
        <v>149</v>
      </c>
      <c r="AI9" s="38">
        <f>'OEL impact settings'!K13</f>
        <v>1.1280000000000001E-3</v>
      </c>
      <c r="AL9" s="38">
        <f>'OEL impact settings'!P13</f>
        <v>3.1760000000000004E-2</v>
      </c>
    </row>
    <row r="10" spans="2:39" x14ac:dyDescent="0.3">
      <c r="C10" t="s">
        <v>200</v>
      </c>
      <c r="F10" s="2">
        <v>53.7</v>
      </c>
      <c r="G10" t="s">
        <v>91</v>
      </c>
      <c r="H10" t="s">
        <v>1601</v>
      </c>
      <c r="L10" t="s">
        <v>197</v>
      </c>
      <c r="O10" s="56">
        <v>0.05</v>
      </c>
      <c r="Q10" t="s">
        <v>244</v>
      </c>
      <c r="R10" s="53">
        <f>F75</f>
        <v>7750</v>
      </c>
      <c r="X10" t="s">
        <v>114</v>
      </c>
      <c r="AA10" s="14">
        <f>'Impact settings'!F10</f>
        <v>2.02</v>
      </c>
      <c r="AD10" s="14">
        <f>'Impact settings'!G10</f>
        <v>25.2</v>
      </c>
      <c r="AI10" s="38">
        <f>'OEL impact settings'!K14</f>
        <v>3.368E-4</v>
      </c>
      <c r="AL10" s="38">
        <f>'OEL impact settings'!P14</f>
        <v>1.192E-2</v>
      </c>
    </row>
    <row r="11" spans="2:39" x14ac:dyDescent="0.3">
      <c r="C11" t="s">
        <v>230</v>
      </c>
      <c r="F11" s="2">
        <v>10</v>
      </c>
      <c r="L11" t="s">
        <v>198</v>
      </c>
      <c r="O11" s="26" t="s">
        <v>996</v>
      </c>
      <c r="Q11" t="s">
        <v>244</v>
      </c>
      <c r="R11" s="53">
        <f>F77</f>
        <v>2240</v>
      </c>
      <c r="X11" t="s">
        <v>29</v>
      </c>
      <c r="AA11" s="14">
        <f>'Impact settings'!F11</f>
        <v>2.2799999999999998</v>
      </c>
      <c r="AD11" s="14">
        <f>'Impact settings'!G11</f>
        <v>24.9</v>
      </c>
      <c r="AI11" s="38">
        <f>'OEL impact settings'!K15</f>
        <v>3.368E-4</v>
      </c>
      <c r="AL11" s="38">
        <f>'OEL impact settings'!P15</f>
        <v>1.192E-2</v>
      </c>
    </row>
    <row r="12" spans="2:39" x14ac:dyDescent="0.3">
      <c r="C12" t="s">
        <v>231</v>
      </c>
      <c r="F12" s="2">
        <v>5</v>
      </c>
      <c r="Q12" t="s">
        <v>249</v>
      </c>
      <c r="T12" s="243">
        <f>1/((O10/R10)+((1-O10)/R11))</f>
        <v>2322.5633821660313</v>
      </c>
      <c r="X12" t="s">
        <v>110</v>
      </c>
      <c r="AA12" s="14">
        <f>'Impact settings'!F12</f>
        <v>2.1795</v>
      </c>
      <c r="AD12" s="14">
        <f>'Impact settings'!G12</f>
        <v>26.945</v>
      </c>
      <c r="AI12" s="38">
        <f>'OEL impact settings'!K16</f>
        <v>3.368E-4</v>
      </c>
      <c r="AL12" s="38">
        <f>'OEL impact settings'!P16</f>
        <v>1.192E-2</v>
      </c>
    </row>
    <row r="13" spans="2:39" x14ac:dyDescent="0.3">
      <c r="C13" t="s">
        <v>232</v>
      </c>
      <c r="F13" s="243">
        <f>F12*F11</f>
        <v>50</v>
      </c>
      <c r="L13" t="s">
        <v>239</v>
      </c>
      <c r="O13" s="47">
        <v>145.6</v>
      </c>
      <c r="R13" s="23"/>
      <c r="X13" t="s">
        <v>119</v>
      </c>
      <c r="AA13" s="14">
        <f>'Impact settings'!F13</f>
        <v>29.7</v>
      </c>
      <c r="AD13" s="14">
        <f>'Impact settings'!G13</f>
        <v>434</v>
      </c>
      <c r="AI13" s="38">
        <f>'OEL impact settings'!K17</f>
        <v>4.9599999999999998E-2</v>
      </c>
      <c r="AL13" s="38">
        <f>'OEL impact settings'!P17</f>
        <v>2.5520000000000001E-2</v>
      </c>
    </row>
    <row r="14" spans="2:39" x14ac:dyDescent="0.3">
      <c r="C14" t="s">
        <v>255</v>
      </c>
      <c r="F14" s="2">
        <f>1170000</f>
        <v>1170000</v>
      </c>
      <c r="G14" t="s">
        <v>1219</v>
      </c>
      <c r="X14" t="s">
        <v>111</v>
      </c>
      <c r="AA14" s="14">
        <f>'Impact settings'!F14</f>
        <v>4.37</v>
      </c>
      <c r="AD14" s="14">
        <f>'Impact settings'!G14</f>
        <v>63.8</v>
      </c>
      <c r="AI14" s="38">
        <f>'OEL impact settings'!K18</f>
        <v>3.368E-4</v>
      </c>
      <c r="AL14" s="38">
        <f>'OEL impact settings'!P18</f>
        <v>1.192E-2</v>
      </c>
      <c r="AM14" t="s">
        <v>2106</v>
      </c>
    </row>
    <row r="15" spans="2:39" x14ac:dyDescent="0.3">
      <c r="C15" s="23"/>
      <c r="D15" s="23"/>
      <c r="E15" s="23"/>
      <c r="F15" s="23"/>
      <c r="G15" s="23"/>
      <c r="H15" s="23"/>
      <c r="I15" s="23"/>
      <c r="L15" s="9" t="s">
        <v>250</v>
      </c>
      <c r="M15" s="9"/>
      <c r="N15" s="9"/>
      <c r="O15" s="53">
        <f>T12*O13</f>
        <v>338165.22844337416</v>
      </c>
      <c r="X15" t="s">
        <v>313</v>
      </c>
      <c r="AA15" s="14">
        <f>'Impact settings'!F15</f>
        <v>1.81</v>
      </c>
      <c r="AD15" s="14">
        <f>'Impact settings'!G15</f>
        <v>20.3</v>
      </c>
      <c r="AI15" s="38">
        <f>'OEL impact settings'!K19</f>
        <v>3.368E-4</v>
      </c>
      <c r="AL15" s="38">
        <f>'OEL impact settings'!P19</f>
        <v>1.192E-2</v>
      </c>
    </row>
    <row r="16" spans="2:39" x14ac:dyDescent="0.3">
      <c r="H16" s="23"/>
      <c r="L16" s="44" t="s">
        <v>302</v>
      </c>
      <c r="M16" s="44"/>
      <c r="N16" s="44"/>
      <c r="O16" s="44">
        <f>(1-O10)*O15</f>
        <v>321256.96702120546</v>
      </c>
      <c r="X16" t="s">
        <v>1098</v>
      </c>
      <c r="AA16" s="14">
        <f>'Impact settings'!F16</f>
        <v>2.4900000000000002</v>
      </c>
      <c r="AD16" s="14">
        <f>'Impact settings'!G16</f>
        <v>28.3</v>
      </c>
      <c r="AI16" s="38">
        <f>'OEL impact settings'!K20</f>
        <v>3.368E-4</v>
      </c>
      <c r="AL16" s="38">
        <f>'OEL impact settings'!P20</f>
        <v>1.192E-2</v>
      </c>
    </row>
    <row r="17" spans="2:40" x14ac:dyDescent="0.3">
      <c r="B17" s="17" t="s">
        <v>49</v>
      </c>
      <c r="C17" s="16"/>
      <c r="D17" s="16"/>
      <c r="E17" s="16"/>
      <c r="F17" s="16"/>
      <c r="G17" s="16"/>
      <c r="H17" s="16"/>
      <c r="I17" s="16"/>
      <c r="L17" s="44" t="s">
        <v>303</v>
      </c>
      <c r="M17" s="44"/>
      <c r="N17" s="44"/>
      <c r="O17" s="44">
        <f>O10*O15</f>
        <v>16908.261422168707</v>
      </c>
      <c r="X17" t="s">
        <v>793</v>
      </c>
      <c r="Y17" s="368" t="s">
        <v>1601</v>
      </c>
      <c r="AA17" s="14">
        <f>'Impact settings'!F17</f>
        <v>0</v>
      </c>
      <c r="AD17" s="14">
        <f>'Impact settings'!G17</f>
        <v>0</v>
      </c>
      <c r="AI17" s="38"/>
      <c r="AL17" s="38"/>
      <c r="AM17" t="s">
        <v>2105</v>
      </c>
    </row>
    <row r="18" spans="2:40" x14ac:dyDescent="0.3">
      <c r="C18" s="41" t="s">
        <v>43</v>
      </c>
      <c r="D18" s="12"/>
      <c r="E18" s="12"/>
      <c r="F18" s="12" t="s">
        <v>53</v>
      </c>
      <c r="G18" s="12" t="s">
        <v>56</v>
      </c>
      <c r="H18" s="12"/>
      <c r="I18" s="12"/>
      <c r="AA18" s="14">
        <f>'Impact settings'!F18</f>
        <v>0</v>
      </c>
      <c r="AD18" s="14">
        <f>'Impact settings'!G18</f>
        <v>0</v>
      </c>
      <c r="AI18" s="38"/>
      <c r="AL18" s="38"/>
    </row>
    <row r="19" spans="2:40" x14ac:dyDescent="0.3">
      <c r="D19" t="s">
        <v>75</v>
      </c>
      <c r="F19" s="2">
        <f>'Collective imput'!F58</f>
        <v>2000</v>
      </c>
      <c r="G19" s="2">
        <f>'Collective imput'!G58</f>
        <v>500</v>
      </c>
      <c r="AA19" s="14">
        <f>'Impact settings'!F19</f>
        <v>0</v>
      </c>
      <c r="AD19" s="14">
        <f>'Impact settings'!G19</f>
        <v>0</v>
      </c>
      <c r="AI19" s="38"/>
      <c r="AL19" s="38"/>
    </row>
    <row r="20" spans="2:40" x14ac:dyDescent="0.3">
      <c r="D20" t="s">
        <v>76</v>
      </c>
      <c r="F20" s="2">
        <f>'Collective imput'!F59</f>
        <v>2000</v>
      </c>
      <c r="G20" s="2">
        <f>'Collective imput'!G59</f>
        <v>500</v>
      </c>
      <c r="W20" s="17" t="s">
        <v>147</v>
      </c>
      <c r="X20" s="17"/>
      <c r="Y20" s="17"/>
      <c r="Z20" s="17"/>
      <c r="AA20" s="256"/>
      <c r="AB20" s="7"/>
      <c r="AC20" s="7"/>
      <c r="AD20" s="256"/>
      <c r="AE20" s="7"/>
      <c r="AF20" s="7"/>
      <c r="AG20" s="7"/>
      <c r="AH20" s="7"/>
      <c r="AI20" s="154"/>
      <c r="AJ20" s="7"/>
      <c r="AK20" s="7"/>
      <c r="AL20" s="154"/>
    </row>
    <row r="21" spans="2:40" x14ac:dyDescent="0.3">
      <c r="D21" t="s">
        <v>77</v>
      </c>
      <c r="F21" s="2">
        <f>'Collective imput'!F60</f>
        <v>0</v>
      </c>
      <c r="G21" s="2">
        <f>'Collective imput'!G60</f>
        <v>200</v>
      </c>
      <c r="X21" t="s">
        <v>136</v>
      </c>
      <c r="AA21" s="14">
        <f>'Impact settings'!F21</f>
        <v>0.5</v>
      </c>
      <c r="AD21" s="14">
        <f>'Impact settings'!G21</f>
        <v>9.5399999999999991</v>
      </c>
      <c r="AI21" s="38"/>
      <c r="AL21" s="38"/>
    </row>
    <row r="22" spans="2:40" x14ac:dyDescent="0.3">
      <c r="D22" t="s">
        <v>78</v>
      </c>
      <c r="F22" s="2">
        <f>'Collective imput'!F61</f>
        <v>0</v>
      </c>
      <c r="G22" s="2">
        <f>'Collective imput'!G61</f>
        <v>50</v>
      </c>
      <c r="L22" t="s">
        <v>233</v>
      </c>
      <c r="O22" s="53">
        <f>O13</f>
        <v>145.6</v>
      </c>
      <c r="X22" t="s">
        <v>116</v>
      </c>
      <c r="AA22" s="14">
        <f>'Impact settings'!F22</f>
        <v>0.24</v>
      </c>
      <c r="AD22" s="14">
        <f>'Impact settings'!G22</f>
        <v>4.32</v>
      </c>
      <c r="AI22" s="38"/>
      <c r="AL22" s="38"/>
    </row>
    <row r="23" spans="2:40" x14ac:dyDescent="0.3">
      <c r="D23" t="s">
        <v>79</v>
      </c>
      <c r="F23" s="2">
        <f>'Collective imput'!F62</f>
        <v>0</v>
      </c>
      <c r="G23" s="2">
        <f>'Collective imput'!G62</f>
        <v>50</v>
      </c>
      <c r="X23" t="s">
        <v>118</v>
      </c>
      <c r="AA23" s="14">
        <f>'Impact settings'!F23</f>
        <v>0.49</v>
      </c>
      <c r="AD23" s="14">
        <f>'Impact settings'!G23</f>
        <v>0</v>
      </c>
      <c r="AI23" s="38"/>
      <c r="AL23" s="38"/>
    </row>
    <row r="24" spans="2:40" x14ac:dyDescent="0.3">
      <c r="D24" t="s">
        <v>195</v>
      </c>
      <c r="F24" s="2">
        <f>'Collective imput'!F63</f>
        <v>0</v>
      </c>
      <c r="G24" s="2">
        <f>'Collective imput'!G63</f>
        <v>200</v>
      </c>
      <c r="L24" s="23"/>
      <c r="X24" t="s">
        <v>120</v>
      </c>
      <c r="AA24" s="14">
        <f>'Impact settings'!F24</f>
        <v>1.6</v>
      </c>
      <c r="AD24" s="14">
        <f>'Impact settings'!G24</f>
        <v>27.8</v>
      </c>
      <c r="AI24" s="38"/>
      <c r="AL24" s="38"/>
    </row>
    <row r="25" spans="2:40" x14ac:dyDescent="0.3">
      <c r="D25" t="s">
        <v>951</v>
      </c>
      <c r="F25" s="2">
        <f>'Collective imput'!F64</f>
        <v>0</v>
      </c>
      <c r="G25" s="2">
        <f>'Collective imput'!G64</f>
        <v>200</v>
      </c>
      <c r="L25" s="23"/>
      <c r="X25" t="s">
        <v>122</v>
      </c>
      <c r="AA25" s="14">
        <f>'Impact settings'!F25</f>
        <v>2.23</v>
      </c>
      <c r="AD25" s="14">
        <f>'Impact settings'!G25</f>
        <v>37.6</v>
      </c>
      <c r="AI25" s="38"/>
      <c r="AL25" s="38"/>
    </row>
    <row r="26" spans="2:40" x14ac:dyDescent="0.3">
      <c r="L26" s="23"/>
      <c r="X26" t="s">
        <v>124</v>
      </c>
      <c r="AA26" s="14">
        <f>'Impact settings'!F26</f>
        <v>0.31900000000000001</v>
      </c>
      <c r="AD26" s="14">
        <f>'Impact settings'!G26</f>
        <v>3.49</v>
      </c>
      <c r="AI26" s="38"/>
      <c r="AL26" s="38"/>
    </row>
    <row r="27" spans="2:40" x14ac:dyDescent="0.3">
      <c r="C27" s="41" t="s">
        <v>87</v>
      </c>
      <c r="D27" s="12"/>
      <c r="E27" s="12"/>
      <c r="F27" s="12"/>
      <c r="G27" s="12"/>
      <c r="H27" s="12"/>
      <c r="I27" s="12"/>
      <c r="L27" s="23"/>
      <c r="X27" t="s">
        <v>137</v>
      </c>
      <c r="AA27" s="14">
        <f>'Impact settings'!F27</f>
        <v>0.14899999999999999</v>
      </c>
      <c r="AD27" s="14">
        <f>'Impact settings'!G27</f>
        <v>2.58</v>
      </c>
      <c r="AI27" s="38"/>
      <c r="AL27" s="38"/>
    </row>
    <row r="28" spans="2:40" x14ac:dyDescent="0.3">
      <c r="D28" s="368" t="s">
        <v>69</v>
      </c>
      <c r="E28" s="368"/>
      <c r="F28" s="2">
        <v>20</v>
      </c>
      <c r="G28" t="s">
        <v>93</v>
      </c>
      <c r="H28" t="s">
        <v>2109</v>
      </c>
      <c r="X28" t="s">
        <v>109</v>
      </c>
      <c r="AA28" s="14">
        <f>'Impact settings'!F28</f>
        <v>5.0999999999999996</v>
      </c>
      <c r="AD28" s="14">
        <f>'Impact settings'!G28</f>
        <v>89.3</v>
      </c>
      <c r="AI28" s="38"/>
      <c r="AJ28" t="s">
        <v>1289</v>
      </c>
      <c r="AL28" s="38"/>
    </row>
    <row r="29" spans="2:40" x14ac:dyDescent="0.3">
      <c r="D29" s="368" t="s">
        <v>94</v>
      </c>
      <c r="E29" s="368"/>
      <c r="F29" s="2">
        <v>20</v>
      </c>
      <c r="G29" t="s">
        <v>93</v>
      </c>
      <c r="X29" t="s">
        <v>1270</v>
      </c>
      <c r="AA29" s="14">
        <f>'Impact settings'!F29</f>
        <v>3.27</v>
      </c>
      <c r="AD29" s="14">
        <f>'Impact settings'!G29</f>
        <v>65</v>
      </c>
      <c r="AI29" s="38"/>
      <c r="AJ29" t="s">
        <v>1289</v>
      </c>
      <c r="AL29" s="38"/>
    </row>
    <row r="30" spans="2:40" x14ac:dyDescent="0.3">
      <c r="F30" s="2"/>
      <c r="X30" t="s">
        <v>1328</v>
      </c>
      <c r="AA30" s="14">
        <f>'Impact settings'!F30</f>
        <v>3.53</v>
      </c>
      <c r="AD30" s="14">
        <f>'Impact settings'!G30</f>
        <v>49.7</v>
      </c>
      <c r="AI30" s="38"/>
      <c r="AL30" s="38"/>
    </row>
    <row r="31" spans="2:40" x14ac:dyDescent="0.3">
      <c r="D31" t="s">
        <v>88</v>
      </c>
      <c r="E31" t="s">
        <v>89</v>
      </c>
      <c r="F31" s="2">
        <v>0.8</v>
      </c>
      <c r="G31" t="s">
        <v>91</v>
      </c>
      <c r="X31" t="s">
        <v>1330</v>
      </c>
      <c r="AA31" s="14">
        <f>'Impact settings'!F31</f>
        <v>7.92</v>
      </c>
      <c r="AD31" s="14">
        <f>'Impact settings'!G31</f>
        <v>121</v>
      </c>
      <c r="AI31" s="38"/>
      <c r="AL31" s="38"/>
    </row>
    <row r="32" spans="2:40" x14ac:dyDescent="0.3">
      <c r="E32" t="s">
        <v>90</v>
      </c>
      <c r="F32" s="2">
        <v>0.8</v>
      </c>
      <c r="G32" t="s">
        <v>91</v>
      </c>
      <c r="X32" s="12" t="s">
        <v>2107</v>
      </c>
      <c r="Y32" s="12"/>
      <c r="Z32" s="12"/>
      <c r="AA32" s="340">
        <f>AA24</f>
        <v>1.6</v>
      </c>
      <c r="AB32" s="12"/>
      <c r="AC32" s="12"/>
      <c r="AD32" s="340">
        <f>AD24</f>
        <v>27.8</v>
      </c>
      <c r="AN32" t="s">
        <v>2108</v>
      </c>
    </row>
    <row r="33" spans="2:40" x14ac:dyDescent="0.3">
      <c r="X33" s="12" t="s">
        <v>1524</v>
      </c>
      <c r="Y33" s="12"/>
      <c r="Z33" s="12"/>
      <c r="AA33" s="340">
        <f>AA25</f>
        <v>2.23</v>
      </c>
      <c r="AB33" s="12"/>
      <c r="AC33" s="12"/>
      <c r="AD33" s="340">
        <f>AD25</f>
        <v>37.6</v>
      </c>
      <c r="AN33" t="s">
        <v>1525</v>
      </c>
    </row>
    <row r="34" spans="2:40" x14ac:dyDescent="0.3">
      <c r="K34" s="41" t="s">
        <v>139</v>
      </c>
      <c r="L34" s="12" t="s">
        <v>229</v>
      </c>
      <c r="M34" s="12"/>
      <c r="N34" s="12"/>
      <c r="O34" s="12"/>
      <c r="P34" s="12"/>
      <c r="Q34" s="12"/>
      <c r="R34" s="12"/>
      <c r="S34" s="12"/>
      <c r="T34" s="12"/>
      <c r="U34" s="12"/>
    </row>
    <row r="35" spans="2:40" x14ac:dyDescent="0.3">
      <c r="B35" s="17" t="s">
        <v>44</v>
      </c>
      <c r="C35" s="16"/>
      <c r="D35" s="16"/>
      <c r="E35" s="16"/>
      <c r="F35" s="16"/>
      <c r="G35" s="16"/>
      <c r="H35" s="16"/>
      <c r="I35" s="16"/>
      <c r="L35" t="s">
        <v>205</v>
      </c>
      <c r="N35" s="53">
        <f>(F8*F6)*(F11-1)/F11</f>
        <v>1080</v>
      </c>
      <c r="O35" t="s">
        <v>91</v>
      </c>
    </row>
    <row r="36" spans="2:40" x14ac:dyDescent="0.3">
      <c r="C36" s="41" t="s">
        <v>51</v>
      </c>
      <c r="D36" s="12"/>
      <c r="E36" s="12"/>
      <c r="F36" s="12"/>
      <c r="G36" s="12"/>
      <c r="H36" s="12"/>
      <c r="I36" s="12"/>
      <c r="L36" t="s">
        <v>206</v>
      </c>
      <c r="N36" s="53">
        <f>F5/F11</f>
        <v>1500</v>
      </c>
      <c r="W36" s="17" t="s">
        <v>151</v>
      </c>
      <c r="X36" s="17"/>
      <c r="Y36" s="17"/>
      <c r="Z36" s="17"/>
      <c r="AA36" s="256"/>
      <c r="AB36" s="7"/>
      <c r="AC36" s="7"/>
      <c r="AD36" s="256"/>
      <c r="AE36" s="7"/>
      <c r="AF36" s="7"/>
      <c r="AG36" s="7"/>
      <c r="AH36" s="7"/>
      <c r="AI36" s="154"/>
      <c r="AJ36" s="7"/>
      <c r="AK36" s="7"/>
      <c r="AL36" s="154"/>
    </row>
    <row r="37" spans="2:40" x14ac:dyDescent="0.3">
      <c r="D37" t="s">
        <v>74</v>
      </c>
      <c r="F37" t="s">
        <v>86</v>
      </c>
      <c r="X37" t="s">
        <v>138</v>
      </c>
      <c r="AA37" s="14">
        <f>'Impact settings'!F34</f>
        <v>5.6</v>
      </c>
      <c r="AD37" s="14">
        <f>'Impact settings'!G34</f>
        <v>88</v>
      </c>
      <c r="AI37" s="38">
        <f>'OEL impact settings'!K23</f>
        <v>9.5000000000000001E-2</v>
      </c>
      <c r="AL37" s="38">
        <f>'OEL impact settings'!P23</f>
        <v>0.249</v>
      </c>
    </row>
    <row r="38" spans="2:40" x14ac:dyDescent="0.3">
      <c r="E38" t="s">
        <v>210</v>
      </c>
      <c r="F38" s="2">
        <v>19</v>
      </c>
      <c r="L38" s="42" t="s">
        <v>68</v>
      </c>
      <c r="O38" s="42" t="s">
        <v>218</v>
      </c>
      <c r="P38" s="42" t="s">
        <v>140</v>
      </c>
      <c r="X38" t="s">
        <v>130</v>
      </c>
      <c r="AA38" s="14">
        <f>'Impact settings'!F35</f>
        <v>4.18</v>
      </c>
      <c r="AD38" s="14">
        <f>'Impact settings'!G35</f>
        <v>98.8</v>
      </c>
      <c r="AI38" s="38">
        <f>'OEL impact settings'!K24</f>
        <v>1.6628169827586208</v>
      </c>
      <c r="AL38" s="38">
        <f>'OEL impact settings'!P24</f>
        <v>0.38900000000000001</v>
      </c>
    </row>
    <row r="39" spans="2:40" x14ac:dyDescent="0.3">
      <c r="E39" t="s">
        <v>209</v>
      </c>
      <c r="F39" s="2">
        <v>2</v>
      </c>
      <c r="M39" s="42" t="s">
        <v>228</v>
      </c>
      <c r="O39" s="53">
        <f>N36*R39</f>
        <v>3000</v>
      </c>
      <c r="P39" s="53">
        <f>N35</f>
        <v>1080</v>
      </c>
      <c r="R39" s="58">
        <v>2</v>
      </c>
      <c r="S39" t="s">
        <v>1494</v>
      </c>
      <c r="X39" t="s">
        <v>68</v>
      </c>
      <c r="AA39" s="14">
        <f>'Impact settings'!F36</f>
        <v>4.46</v>
      </c>
      <c r="AD39" s="14">
        <f>'Impact settings'!G36</f>
        <v>82.8</v>
      </c>
      <c r="AI39" s="38">
        <f>'OEL impact settings'!K25</f>
        <v>0.31</v>
      </c>
      <c r="AL39" s="38">
        <f>'OEL impact settings'!P25</f>
        <v>0.1595</v>
      </c>
    </row>
    <row r="40" spans="2:40" x14ac:dyDescent="0.3">
      <c r="E40" t="s">
        <v>42</v>
      </c>
      <c r="F40" s="2">
        <v>3</v>
      </c>
      <c r="G40" t="s">
        <v>1600</v>
      </c>
      <c r="M40" s="42" t="s">
        <v>217</v>
      </c>
      <c r="X40" t="s">
        <v>115</v>
      </c>
      <c r="AA40" s="14">
        <f>'Impact settings'!F37</f>
        <v>378</v>
      </c>
      <c r="AD40" s="14">
        <f>'Impact settings'!G37</f>
        <v>5670</v>
      </c>
      <c r="AI40" s="38">
        <f>'OEL impact settings'!K26</f>
        <v>0.31</v>
      </c>
      <c r="AL40" s="38">
        <f>'OEL impact settings'!P26</f>
        <v>0.1595</v>
      </c>
    </row>
    <row r="41" spans="2:40" x14ac:dyDescent="0.3">
      <c r="E41" s="38" t="s">
        <v>1491</v>
      </c>
      <c r="F41" s="228">
        <v>5</v>
      </c>
      <c r="G41" s="23"/>
      <c r="M41" s="42" t="s">
        <v>219</v>
      </c>
      <c r="AA41" s="14"/>
      <c r="AD41" s="14"/>
      <c r="AI41" s="38"/>
      <c r="AL41" s="38"/>
    </row>
    <row r="42" spans="2:40" x14ac:dyDescent="0.3">
      <c r="E42" s="368" t="s">
        <v>1167</v>
      </c>
      <c r="F42" s="2"/>
      <c r="M42" s="42" t="s">
        <v>220</v>
      </c>
      <c r="X42" t="s">
        <v>131</v>
      </c>
      <c r="AA42" s="14">
        <f>'Impact settings'!F39</f>
        <v>5</v>
      </c>
      <c r="AD42" s="14">
        <f>'Impact settings'!G39</f>
        <v>88.2</v>
      </c>
      <c r="AI42" s="38">
        <f>'OEL impact settings'!K28</f>
        <v>9.2999999999999999E-2</v>
      </c>
      <c r="AL42" s="38">
        <f>'OEL impact settings'!P28</f>
        <v>4.7849999999999997E-2</v>
      </c>
    </row>
    <row r="43" spans="2:40" x14ac:dyDescent="0.3">
      <c r="M43" s="42" t="s">
        <v>221</v>
      </c>
      <c r="O43" s="2" t="s">
        <v>224</v>
      </c>
      <c r="P43" s="2" t="s">
        <v>225</v>
      </c>
      <c r="X43" t="s">
        <v>132</v>
      </c>
      <c r="AA43" s="14">
        <f>'Impact settings'!F40</f>
        <v>7.96</v>
      </c>
      <c r="AD43" s="14">
        <f>'Impact settings'!G40</f>
        <v>108</v>
      </c>
      <c r="AI43" s="38">
        <f>'OEL impact settings'!K29</f>
        <v>6.2E-2</v>
      </c>
      <c r="AL43" s="38">
        <f>'OEL impact settings'!P29</f>
        <v>3.1900000000000005E-2</v>
      </c>
    </row>
    <row r="44" spans="2:40" x14ac:dyDescent="0.3">
      <c r="M44" s="42" t="s">
        <v>222</v>
      </c>
      <c r="O44" s="2" t="s">
        <v>223</v>
      </c>
      <c r="P44" s="2" t="s">
        <v>223</v>
      </c>
      <c r="X44" t="s">
        <v>73</v>
      </c>
      <c r="AA44" s="14">
        <f>'Impact settings'!F41</f>
        <v>0.11383928571428571</v>
      </c>
      <c r="AD44" s="14">
        <f>'Impact settings'!G41</f>
        <v>0.8705357142857143</v>
      </c>
      <c r="AI44" s="38">
        <f>'OEL impact settings'!K30</f>
        <v>5.1500000000000001E-3</v>
      </c>
      <c r="AL44" s="38">
        <f>'OEL impact settings'!P30</f>
        <v>0.20799999999999999</v>
      </c>
    </row>
    <row r="45" spans="2:40" x14ac:dyDescent="0.3">
      <c r="C45" s="41" t="s">
        <v>166</v>
      </c>
      <c r="D45" s="12"/>
      <c r="E45" s="12"/>
      <c r="F45" s="12"/>
      <c r="G45" s="12"/>
      <c r="H45" s="12"/>
      <c r="I45" s="12"/>
      <c r="M45" s="42" t="s">
        <v>226</v>
      </c>
      <c r="O45" s="2" t="s">
        <v>227</v>
      </c>
      <c r="P45" s="2" t="s">
        <v>227</v>
      </c>
      <c r="X45" t="s">
        <v>133</v>
      </c>
      <c r="AA45" s="14">
        <f>'Impact settings'!F42</f>
        <v>36.6</v>
      </c>
      <c r="AD45" s="14">
        <f>'Impact settings'!G42</f>
        <v>570</v>
      </c>
      <c r="AI45" s="38">
        <f>'OEL impact settings'!K31</f>
        <v>0.31</v>
      </c>
      <c r="AL45" s="38">
        <f>'OEL impact settings'!P31</f>
        <v>0.1595</v>
      </c>
    </row>
    <row r="46" spans="2:40" x14ac:dyDescent="0.3">
      <c r="D46" t="s">
        <v>80</v>
      </c>
      <c r="F46" s="2">
        <v>7500</v>
      </c>
      <c r="G46" t="s">
        <v>65</v>
      </c>
      <c r="M46" s="42" t="s">
        <v>1495</v>
      </c>
      <c r="O46" s="2" t="s">
        <v>113</v>
      </c>
      <c r="P46" s="2" t="s">
        <v>1496</v>
      </c>
      <c r="X46" t="s">
        <v>134</v>
      </c>
      <c r="AA46" s="14">
        <f>'Impact settings'!F43</f>
        <v>7.72</v>
      </c>
      <c r="AD46" s="14">
        <f>'Impact settings'!G43</f>
        <v>123</v>
      </c>
      <c r="AI46" s="38">
        <f>'OEL impact settings'!K32</f>
        <v>0.31</v>
      </c>
      <c r="AL46" s="38">
        <f>'OEL impact settings'!P32</f>
        <v>0.1595</v>
      </c>
    </row>
    <row r="47" spans="2:40" x14ac:dyDescent="0.3">
      <c r="D47" t="s">
        <v>81</v>
      </c>
      <c r="F47" s="2">
        <v>12</v>
      </c>
      <c r="G47" t="s">
        <v>82</v>
      </c>
      <c r="AA47" s="14">
        <f>'Impact settings'!F44</f>
        <v>0</v>
      </c>
      <c r="AD47" s="14">
        <f>'Impact settings'!G44</f>
        <v>0</v>
      </c>
      <c r="AI47" s="38">
        <f>'OEL impact settings'!K33</f>
        <v>0</v>
      </c>
      <c r="AL47" s="38">
        <f>'OEL impact settings'!P33</f>
        <v>0</v>
      </c>
    </row>
    <row r="48" spans="2:40" x14ac:dyDescent="0.3">
      <c r="D48" t="s">
        <v>184</v>
      </c>
      <c r="F48" s="2">
        <f>F9*F47</f>
        <v>240</v>
      </c>
      <c r="G48" t="s">
        <v>85</v>
      </c>
      <c r="M48" s="233" t="str">
        <f>Cables!S39</f>
        <v>for farm</v>
      </c>
      <c r="N48" s="230"/>
      <c r="O48" s="230" t="str">
        <f>Cables!U39</f>
        <v>per meter</v>
      </c>
      <c r="P48" s="231"/>
      <c r="R48" t="s">
        <v>748</v>
      </c>
      <c r="U48">
        <f>U50+U51+U52+U53</f>
        <v>45579.48</v>
      </c>
      <c r="AA48" s="14">
        <f>'Impact settings'!F45</f>
        <v>0</v>
      </c>
      <c r="AD48" s="14">
        <f>'Impact settings'!G45</f>
        <v>0</v>
      </c>
      <c r="AI48" s="38"/>
      <c r="AL48" s="38"/>
    </row>
    <row r="49" spans="3:48" x14ac:dyDescent="0.3">
      <c r="D49" t="s">
        <v>186</v>
      </c>
      <c r="F49" s="2">
        <v>2</v>
      </c>
      <c r="M49" s="234"/>
      <c r="O49" t="str">
        <f>Cables!U40</f>
        <v>array</v>
      </c>
      <c r="P49" s="85" t="str">
        <f>Cables!V40</f>
        <v>export</v>
      </c>
      <c r="R49" t="s">
        <v>741</v>
      </c>
      <c r="S49" t="s">
        <v>745</v>
      </c>
      <c r="AA49" s="14">
        <f>'Impact settings'!F46</f>
        <v>0</v>
      </c>
      <c r="AD49" s="14">
        <f>'Impact settings'!G46</f>
        <v>0</v>
      </c>
      <c r="AI49" s="38"/>
      <c r="AL49" s="38"/>
    </row>
    <row r="50" spans="3:48" x14ac:dyDescent="0.3">
      <c r="D50" t="s">
        <v>185</v>
      </c>
      <c r="F50" s="2">
        <f>F48/F49</f>
        <v>120</v>
      </c>
      <c r="G50" t="s">
        <v>187</v>
      </c>
      <c r="M50" s="234" t="str">
        <f>Cables!S41</f>
        <v>alu</v>
      </c>
      <c r="O50">
        <f>Cables!U41</f>
        <v>1.944</v>
      </c>
      <c r="P50" s="85">
        <f>Cables!V41</f>
        <v>4.8599999999999994</v>
      </c>
      <c r="R50" s="44">
        <f>O50*O$59</f>
        <v>2099.52</v>
      </c>
      <c r="S50" s="44">
        <f>P50*P$59</f>
        <v>14579.999999999998</v>
      </c>
      <c r="U50">
        <f>R50+S50</f>
        <v>16679.519999999997</v>
      </c>
      <c r="AA50" s="14">
        <f>'Impact settings'!F47</f>
        <v>0</v>
      </c>
      <c r="AD50" s="14">
        <f>'Impact settings'!G47</f>
        <v>0</v>
      </c>
      <c r="AI50" s="38"/>
      <c r="AL50" s="38"/>
    </row>
    <row r="51" spans="3:48" x14ac:dyDescent="0.3">
      <c r="D51" t="s">
        <v>182</v>
      </c>
      <c r="F51" s="2">
        <v>100</v>
      </c>
      <c r="G51" t="s">
        <v>183</v>
      </c>
      <c r="M51" s="234" t="str">
        <f>Cables!S42</f>
        <v>XPLE</v>
      </c>
      <c r="O51">
        <f>Cables!U42</f>
        <v>1.9536898701671608</v>
      </c>
      <c r="P51" s="85">
        <f>Cables!V42</f>
        <v>2.8903238240197289</v>
      </c>
      <c r="R51" s="44">
        <f t="shared" ref="R51:R56" si="0">O51*O$59</f>
        <v>2109.9850597805334</v>
      </c>
      <c r="S51" s="44">
        <f t="shared" ref="S51:S56" si="1">P51*P$59</f>
        <v>8670.9714720591874</v>
      </c>
      <c r="U51">
        <f t="shared" ref="U51:U53" si="2">R51+S51</f>
        <v>10780.956531839722</v>
      </c>
      <c r="W51" s="17" t="s">
        <v>148</v>
      </c>
      <c r="X51" s="17"/>
      <c r="Y51" s="17"/>
      <c r="Z51" s="17"/>
      <c r="AA51" s="256"/>
      <c r="AB51" s="7"/>
      <c r="AC51" s="7"/>
      <c r="AD51" s="256"/>
      <c r="AE51" s="7"/>
      <c r="AF51" s="7"/>
      <c r="AG51" s="7"/>
      <c r="AH51" s="7"/>
      <c r="AI51" s="154"/>
      <c r="AJ51" s="7"/>
      <c r="AK51" s="7"/>
      <c r="AL51" s="154"/>
    </row>
    <row r="52" spans="3:48" x14ac:dyDescent="0.3">
      <c r="M52" s="234" t="str">
        <f>Cables!S43</f>
        <v>Copper</v>
      </c>
      <c r="O52">
        <f>Cables!U43</f>
        <v>0.34977000000000003</v>
      </c>
      <c r="P52" s="85">
        <f>Cables!V43</f>
        <v>0.53400000000000003</v>
      </c>
      <c r="R52" s="44">
        <f t="shared" si="0"/>
        <v>377.75160000000005</v>
      </c>
      <c r="S52" s="44">
        <f t="shared" si="1"/>
        <v>1602</v>
      </c>
      <c r="U52">
        <f t="shared" si="2"/>
        <v>1979.7516000000001</v>
      </c>
      <c r="X52" t="s">
        <v>129</v>
      </c>
      <c r="AA52" s="14">
        <f>'Impact settings'!F49</f>
        <v>2.42</v>
      </c>
      <c r="AD52" s="14">
        <f>'Impact settings'!G49</f>
        <v>59.4</v>
      </c>
      <c r="AI52" s="38">
        <f>'OEL impact settings'!K37</f>
        <v>1.1884000000000001</v>
      </c>
      <c r="AL52" s="38">
        <f>'OEL impact settings'!P37</f>
        <v>4.9995000000000003</v>
      </c>
    </row>
    <row r="53" spans="3:48" x14ac:dyDescent="0.3">
      <c r="C53" s="41" t="s">
        <v>101</v>
      </c>
      <c r="D53" s="12"/>
      <c r="E53" s="12"/>
      <c r="F53" s="12"/>
      <c r="G53" s="12"/>
      <c r="H53" s="12"/>
      <c r="I53" s="12"/>
      <c r="M53" s="234" t="str">
        <f>Cables!S44</f>
        <v>PVC</v>
      </c>
      <c r="O53">
        <f>Cables!U44</f>
        <v>2.3710401298328394</v>
      </c>
      <c r="P53" s="85">
        <f>Cables!V44</f>
        <v>4.5261761759802734</v>
      </c>
      <c r="R53" s="44">
        <f t="shared" si="0"/>
        <v>2560.7233402194665</v>
      </c>
      <c r="S53" s="44">
        <f t="shared" si="1"/>
        <v>13578.52852794082</v>
      </c>
      <c r="U53">
        <f t="shared" si="2"/>
        <v>16139.251868160287</v>
      </c>
      <c r="X53" t="s">
        <v>127</v>
      </c>
      <c r="AA53" s="14">
        <f>'Impact settings'!F50</f>
        <v>2.46</v>
      </c>
      <c r="AD53" s="14">
        <f>'Impact settings'!G50</f>
        <v>82.9</v>
      </c>
      <c r="AI53" s="38">
        <f>'OEL impact settings'!K38</f>
        <v>1.554</v>
      </c>
      <c r="AL53" s="38">
        <f>'OEL impact settings'!P38</f>
        <v>0.189</v>
      </c>
    </row>
    <row r="54" spans="3:48" x14ac:dyDescent="0.3">
      <c r="D54" t="s">
        <v>34</v>
      </c>
      <c r="F54" s="2">
        <f>F12</f>
        <v>5</v>
      </c>
      <c r="G54" t="s">
        <v>102</v>
      </c>
      <c r="M54" s="234"/>
      <c r="O54">
        <f>Cables!U45</f>
        <v>0</v>
      </c>
      <c r="P54" s="85">
        <f>Cables!V45</f>
        <v>0</v>
      </c>
      <c r="R54" s="44">
        <f t="shared" si="0"/>
        <v>0</v>
      </c>
      <c r="S54" s="44">
        <f t="shared" si="1"/>
        <v>0</v>
      </c>
      <c r="X54" t="s">
        <v>125</v>
      </c>
      <c r="AA54" s="14">
        <f>'Impact settings'!F51</f>
        <v>2.29</v>
      </c>
      <c r="AD54" s="14">
        <f>'Impact settings'!G51</f>
        <v>80.400000000000006</v>
      </c>
      <c r="AI54" s="38">
        <f>'OEL impact settings'!K39</f>
        <v>1.554</v>
      </c>
      <c r="AL54" s="38">
        <f>'OEL impact settings'!P39</f>
        <v>0.189</v>
      </c>
    </row>
    <row r="55" spans="3:48" x14ac:dyDescent="0.3">
      <c r="D55" t="s">
        <v>33</v>
      </c>
      <c r="F55" s="55">
        <v>0.52800000000000002</v>
      </c>
      <c r="G55">
        <v>52.8</v>
      </c>
      <c r="M55" s="234" t="str">
        <f>Cables!S46</f>
        <v>wire drawing</v>
      </c>
      <c r="O55">
        <f>Cables!U46</f>
        <v>2.2937699999999999</v>
      </c>
      <c r="P55" s="85">
        <f>Cables!V46</f>
        <v>5.3939999999999992</v>
      </c>
      <c r="R55" s="44">
        <f t="shared" si="0"/>
        <v>2477.2716</v>
      </c>
      <c r="S55" s="44">
        <f t="shared" si="1"/>
        <v>16181.999999999998</v>
      </c>
      <c r="X55" t="s">
        <v>1223</v>
      </c>
      <c r="AA55" s="14">
        <f>'Impact settings'!F52</f>
        <v>1.21</v>
      </c>
      <c r="AD55" s="14">
        <f>'Impact settings'!G52</f>
        <v>14.9</v>
      </c>
      <c r="AI55" s="38">
        <f>'OEL impact settings'!K40</f>
        <v>9.2799999999999994E-2</v>
      </c>
      <c r="AL55" s="38">
        <f>'OEL impact settings'!P40</f>
        <v>0.254</v>
      </c>
    </row>
    <row r="56" spans="3:48" x14ac:dyDescent="0.3">
      <c r="D56" t="s">
        <v>35</v>
      </c>
      <c r="F56" s="54">
        <v>0</v>
      </c>
      <c r="M56" s="234" t="str">
        <f>Cables!S47</f>
        <v>plastic extrusion</v>
      </c>
      <c r="O56">
        <f>Cables!U47</f>
        <v>4.3247300000000006</v>
      </c>
      <c r="P56" s="85">
        <f>Cables!V47</f>
        <v>7.4165000000000028</v>
      </c>
      <c r="R56" s="44">
        <f t="shared" si="0"/>
        <v>4670.7084000000004</v>
      </c>
      <c r="S56" s="44">
        <f t="shared" si="1"/>
        <v>22249.500000000007</v>
      </c>
      <c r="X56" t="s">
        <v>1276</v>
      </c>
      <c r="AA56" s="14">
        <f>'Impact settings'!F53</f>
        <v>2.74</v>
      </c>
      <c r="AD56" s="14">
        <f>'Impact settings'!G53</f>
        <v>87</v>
      </c>
      <c r="AI56" s="38">
        <f>'OEL impact settings'!K41</f>
        <v>0.62</v>
      </c>
      <c r="AL56" s="38">
        <f>'OEL impact settings'!P41</f>
        <v>0.31900000000000001</v>
      </c>
    </row>
    <row r="57" spans="3:48" x14ac:dyDescent="0.3">
      <c r="D57" t="s">
        <v>36</v>
      </c>
      <c r="F57" s="55">
        <v>0</v>
      </c>
      <c r="H57" s="368" t="s">
        <v>2110</v>
      </c>
      <c r="I57" s="368"/>
      <c r="J57" s="368"/>
      <c r="M57" s="234"/>
      <c r="O57">
        <f>Cables!U48</f>
        <v>0</v>
      </c>
      <c r="P57" s="85">
        <f>Cables!V48</f>
        <v>0</v>
      </c>
      <c r="R57">
        <f>O57*O$59</f>
        <v>0</v>
      </c>
      <c r="S57">
        <f>P57*P$59</f>
        <v>0</v>
      </c>
      <c r="AA57" s="14"/>
      <c r="AD57" s="14"/>
      <c r="AI57" s="38"/>
      <c r="AL57" s="38"/>
    </row>
    <row r="58" spans="3:48" x14ac:dyDescent="0.3">
      <c r="D58" t="s">
        <v>37</v>
      </c>
      <c r="F58" s="54">
        <f>F57+F56</f>
        <v>0</v>
      </c>
      <c r="M58" s="235" t="str">
        <f>Cables!S49</f>
        <v>mass per meter</v>
      </c>
      <c r="N58" s="232"/>
      <c r="O58" s="232">
        <f>Cables!U49</f>
        <v>6.6185</v>
      </c>
      <c r="P58" s="81">
        <f>Cables!V49</f>
        <v>12.810500000000001</v>
      </c>
      <c r="Q58" t="s">
        <v>1</v>
      </c>
      <c r="R58">
        <f t="shared" ref="R58" si="3">O58*O$59</f>
        <v>7147.9800000000005</v>
      </c>
      <c r="S58">
        <f t="shared" ref="S58" si="4">P58*P$59</f>
        <v>38431.5</v>
      </c>
      <c r="AA58" s="14"/>
      <c r="AD58" s="14"/>
      <c r="AI58" s="38"/>
      <c r="AL58" s="38"/>
    </row>
    <row r="59" spans="3:48" x14ac:dyDescent="0.3">
      <c r="M59" s="42" t="s">
        <v>100</v>
      </c>
      <c r="O59">
        <f>P39</f>
        <v>1080</v>
      </c>
      <c r="P59">
        <f>O39</f>
        <v>3000</v>
      </c>
      <c r="W59" s="17" t="s">
        <v>150</v>
      </c>
      <c r="X59" s="17"/>
      <c r="Y59" s="17"/>
      <c r="Z59" s="17"/>
      <c r="AA59" s="256"/>
      <c r="AB59" s="7"/>
      <c r="AC59" s="7"/>
      <c r="AD59" s="256"/>
      <c r="AE59" s="7"/>
      <c r="AF59" s="7"/>
      <c r="AG59" s="7"/>
      <c r="AH59" s="7"/>
      <c r="AI59" s="154"/>
      <c r="AJ59" s="7"/>
      <c r="AK59" s="7"/>
      <c r="AL59" s="154"/>
    </row>
    <row r="60" spans="3:48" x14ac:dyDescent="0.3">
      <c r="D60" t="s">
        <v>38</v>
      </c>
      <c r="F60" s="53">
        <f>24*365*F55*F54</f>
        <v>23126.400000000001</v>
      </c>
      <c r="G60" t="s">
        <v>103</v>
      </c>
      <c r="X60" t="s">
        <v>135</v>
      </c>
      <c r="AA60" s="14">
        <f>'Impact settings'!F57</f>
        <v>0.29199999999999998</v>
      </c>
      <c r="AD60" s="14">
        <f>'Impact settings'!G57</f>
        <v>7.26</v>
      </c>
      <c r="AI60" s="38"/>
      <c r="AL60" s="38"/>
    </row>
    <row r="61" spans="3:48" x14ac:dyDescent="0.3">
      <c r="D61" t="s">
        <v>39</v>
      </c>
      <c r="F61" s="53">
        <f>F60*(1-F58)</f>
        <v>23126.400000000001</v>
      </c>
      <c r="G61" t="s">
        <v>103</v>
      </c>
      <c r="M61" t="s">
        <v>277</v>
      </c>
      <c r="N61">
        <f>0.8*0.8*2</f>
        <v>1.2800000000000002</v>
      </c>
      <c r="O61">
        <f>N61*O59</f>
        <v>1382.4000000000003</v>
      </c>
      <c r="P61">
        <f>N61*P59/2</f>
        <v>1920.0000000000005</v>
      </c>
      <c r="Q61">
        <f>P61+O61</f>
        <v>3302.4000000000005</v>
      </c>
      <c r="AA61" s="14">
        <f>'Impact settings'!F58</f>
        <v>0</v>
      </c>
      <c r="AD61" s="14">
        <f>'Impact settings'!G58</f>
        <v>0</v>
      </c>
      <c r="AI61" s="38"/>
      <c r="AL61" s="38"/>
      <c r="AR61">
        <v>800</v>
      </c>
      <c r="AS61">
        <v>500</v>
      </c>
      <c r="AT61">
        <f>AR61*AR64</f>
        <v>2896</v>
      </c>
      <c r="AU61">
        <f>AR65*AS61</f>
        <v>56.919642857142854</v>
      </c>
      <c r="AV61">
        <f>AU61+AT61</f>
        <v>2952.9196428571427</v>
      </c>
    </row>
    <row r="62" spans="3:48" x14ac:dyDescent="0.3">
      <c r="D62" t="s">
        <v>40</v>
      </c>
      <c r="F62" s="53">
        <f>F61*F9</f>
        <v>462528</v>
      </c>
      <c r="G62" t="s">
        <v>103</v>
      </c>
      <c r="W62" s="17" t="s">
        <v>14</v>
      </c>
      <c r="X62" s="17"/>
      <c r="Y62" s="17"/>
      <c r="Z62" s="17"/>
      <c r="AA62" s="256"/>
      <c r="AB62" s="7"/>
      <c r="AC62" s="7"/>
      <c r="AD62" s="256"/>
      <c r="AE62" s="7"/>
      <c r="AF62" s="7"/>
      <c r="AG62" s="7"/>
      <c r="AH62" s="7"/>
      <c r="AI62" s="154"/>
      <c r="AJ62" s="7"/>
      <c r="AK62" s="7"/>
      <c r="AL62" s="154"/>
      <c r="AR62">
        <v>500</v>
      </c>
      <c r="AS62">
        <v>10000</v>
      </c>
      <c r="AT62">
        <f>AR64*AR62</f>
        <v>1810</v>
      </c>
      <c r="AU62">
        <f>AR65*AS62</f>
        <v>1138.3928571428571</v>
      </c>
      <c r="AV62">
        <f>AU62+AT62</f>
        <v>2948.3928571428569</v>
      </c>
    </row>
    <row r="63" spans="3:48" x14ac:dyDescent="0.3">
      <c r="X63" t="s">
        <v>145</v>
      </c>
      <c r="AA63" s="14">
        <f>'Impact settings'!F60</f>
        <v>8.5</v>
      </c>
      <c r="AD63" s="14">
        <f>'Impact settings'!G60</f>
        <v>300</v>
      </c>
      <c r="AI63" s="38">
        <f>'OEL impact settings'!K44</f>
        <v>1.554</v>
      </c>
      <c r="AL63" s="38">
        <f>'OEL impact settings'!P44</f>
        <v>0.19850000000000001</v>
      </c>
    </row>
    <row r="64" spans="3:48" x14ac:dyDescent="0.3">
      <c r="F64" t="s">
        <v>1753</v>
      </c>
      <c r="H64" t="s">
        <v>748</v>
      </c>
      <c r="X64" t="s">
        <v>126</v>
      </c>
      <c r="AA64" s="14">
        <f>'Impact settings'!F61</f>
        <v>1.246</v>
      </c>
      <c r="AD64" s="14">
        <f>'Impact settings'!G61</f>
        <v>22.05</v>
      </c>
      <c r="AI64" s="38"/>
      <c r="AL64" s="38"/>
      <c r="AR64" s="14">
        <f>AA10+AA24</f>
        <v>3.62</v>
      </c>
    </row>
    <row r="65" spans="2:44" x14ac:dyDescent="0.3">
      <c r="D65" t="s">
        <v>45</v>
      </c>
      <c r="F65">
        <v>14000</v>
      </c>
      <c r="G65" t="s">
        <v>65</v>
      </c>
      <c r="H65">
        <f>F65/$F$11</f>
        <v>1400</v>
      </c>
      <c r="X65" t="s">
        <v>128</v>
      </c>
      <c r="AA65" s="14">
        <f>'Impact settings'!F62</f>
        <v>5.26</v>
      </c>
      <c r="AD65" s="14">
        <f>'Impact settings'!G62</f>
        <v>106</v>
      </c>
      <c r="AI65" s="38">
        <f>'OEL impact settings'!K45</f>
        <v>0.56899999999999995</v>
      </c>
      <c r="AL65" s="38">
        <f>'OEL impact settings'!P45</f>
        <v>0.34050000000000002</v>
      </c>
      <c r="AR65" s="14">
        <f>AA44</f>
        <v>0.11383928571428571</v>
      </c>
    </row>
    <row r="66" spans="2:44" x14ac:dyDescent="0.3">
      <c r="D66" t="s">
        <v>1752</v>
      </c>
      <c r="F66">
        <v>4000</v>
      </c>
      <c r="G66" t="s">
        <v>65</v>
      </c>
      <c r="H66">
        <f>F66/$F$11</f>
        <v>400</v>
      </c>
      <c r="X66" t="s">
        <v>1232</v>
      </c>
      <c r="AA66" s="14">
        <f>'Impact settings'!F63</f>
        <v>1.21</v>
      </c>
      <c r="AD66" s="14">
        <f>'Impact settings'!G63</f>
        <v>14.9</v>
      </c>
      <c r="AI66" s="38">
        <f>'OEL impact settings'!K40</f>
        <v>9.2799999999999994E-2</v>
      </c>
      <c r="AL66" s="38">
        <f>'OEL impact settings'!P40</f>
        <v>0.254</v>
      </c>
    </row>
    <row r="67" spans="2:44" x14ac:dyDescent="0.3">
      <c r="X67" t="s">
        <v>1504</v>
      </c>
      <c r="AA67" s="14">
        <f>'Impact settings'!F64</f>
        <v>2.94</v>
      </c>
      <c r="AD67" s="14">
        <f>'Impact settings'!G64</f>
        <v>60.5</v>
      </c>
      <c r="AI67">
        <f>AI65</f>
        <v>0.56899999999999995</v>
      </c>
      <c r="AL67">
        <f>AL65</f>
        <v>0.34050000000000002</v>
      </c>
    </row>
    <row r="68" spans="2:44" x14ac:dyDescent="0.3">
      <c r="B68" s="40" t="s">
        <v>201</v>
      </c>
      <c r="C68" s="7"/>
      <c r="D68" s="7"/>
      <c r="E68" s="7"/>
      <c r="F68" s="7" t="s">
        <v>204</v>
      </c>
      <c r="G68" s="7"/>
      <c r="H68" s="7"/>
      <c r="I68" s="7"/>
      <c r="W68" s="17" t="s">
        <v>149</v>
      </c>
      <c r="X68" s="17"/>
      <c r="Y68" s="17"/>
      <c r="Z68" s="17"/>
      <c r="AA68" s="256"/>
      <c r="AB68" s="7"/>
      <c r="AC68" s="7"/>
      <c r="AD68" s="256"/>
      <c r="AE68" s="7"/>
      <c r="AF68" s="7"/>
      <c r="AG68" s="7"/>
      <c r="AH68" s="7"/>
      <c r="AI68" s="154"/>
      <c r="AJ68" s="7"/>
      <c r="AK68" s="7"/>
      <c r="AL68" s="154"/>
    </row>
    <row r="69" spans="2:44" x14ac:dyDescent="0.3">
      <c r="D69" t="s">
        <v>12</v>
      </c>
      <c r="F69" s="2">
        <v>7750</v>
      </c>
      <c r="K69" s="41" t="s">
        <v>14</v>
      </c>
      <c r="L69" s="12"/>
      <c r="M69" s="12"/>
      <c r="N69" s="12"/>
      <c r="O69" s="12"/>
      <c r="P69" s="12"/>
      <c r="Q69" s="12"/>
      <c r="R69" s="12"/>
      <c r="S69" s="12"/>
      <c r="T69" s="12"/>
      <c r="U69" s="12"/>
      <c r="X69" t="s">
        <v>6</v>
      </c>
      <c r="AA69" s="14">
        <f>'Impact settings'!F66</f>
        <v>23.61956697627118</v>
      </c>
      <c r="AD69" s="14">
        <f>'Impact settings'!G66</f>
        <v>473.73135881355932</v>
      </c>
      <c r="AI69" s="38">
        <f>'OEL impact settings'!K46</f>
        <v>0.62</v>
      </c>
      <c r="AL69" s="38">
        <f>'OEL impact settings'!P46</f>
        <v>0.31900000000000001</v>
      </c>
    </row>
    <row r="70" spans="2:44" x14ac:dyDescent="0.3">
      <c r="D70" t="s">
        <v>23</v>
      </c>
      <c r="F70" s="2">
        <v>7200</v>
      </c>
      <c r="L70" t="s">
        <v>228</v>
      </c>
      <c r="N70" s="53">
        <f>F8</f>
        <v>1200</v>
      </c>
      <c r="X70" t="s">
        <v>123</v>
      </c>
      <c r="AA70" s="14">
        <f>'Impact settings'!F67</f>
        <v>4.4137059762711868</v>
      </c>
      <c r="AD70" s="14">
        <f>'Impact settings'!G67</f>
        <v>88.429673480225972</v>
      </c>
      <c r="AI70" s="38">
        <f>'OEL impact settings'!K47</f>
        <v>0.62</v>
      </c>
      <c r="AL70" s="38">
        <f>'OEL impact settings'!P47</f>
        <v>0.31900000000000001</v>
      </c>
    </row>
    <row r="71" spans="2:44" x14ac:dyDescent="0.3">
      <c r="D71" t="s">
        <v>111</v>
      </c>
      <c r="F71" s="2">
        <v>7850</v>
      </c>
      <c r="M71" t="s">
        <v>1213</v>
      </c>
      <c r="N71" s="53">
        <v>300</v>
      </c>
      <c r="X71" t="s">
        <v>117</v>
      </c>
      <c r="AA71" s="14">
        <f>'Impact settings'!F68</f>
        <v>4.7699999999999996</v>
      </c>
      <c r="AD71" s="14">
        <f>'Impact settings'!G68</f>
        <v>109.33333333333333</v>
      </c>
      <c r="AI71" s="38">
        <f>'OEL impact settings'!K48</f>
        <v>0.62</v>
      </c>
      <c r="AL71" s="38">
        <f>'OEL impact settings'!P48</f>
        <v>0.31900000000000001</v>
      </c>
    </row>
    <row r="72" spans="2:44" x14ac:dyDescent="0.3">
      <c r="D72" t="s">
        <v>113</v>
      </c>
      <c r="F72" s="2">
        <v>8900</v>
      </c>
      <c r="M72" t="s">
        <v>1214</v>
      </c>
      <c r="N72" s="53">
        <v>900</v>
      </c>
      <c r="X72" t="s">
        <v>827</v>
      </c>
      <c r="AA72" s="14">
        <f>'Impact settings'!F69</f>
        <v>4.851355932203389</v>
      </c>
      <c r="AD72" s="14">
        <f>'Impact settings'!G69</f>
        <v>108.06779661016948</v>
      </c>
      <c r="AI72" s="38">
        <f>'OEL impact settings'!K49</f>
        <v>0.62</v>
      </c>
      <c r="AJ72" s="38"/>
      <c r="AK72" s="38"/>
      <c r="AL72" s="38">
        <f>'OEL impact settings'!P49</f>
        <v>0.31900000000000001</v>
      </c>
    </row>
    <row r="73" spans="2:44" x14ac:dyDescent="0.3">
      <c r="D73" t="s">
        <v>141</v>
      </c>
      <c r="F73" s="2"/>
      <c r="L73" t="s">
        <v>254</v>
      </c>
      <c r="N73" s="58">
        <v>312</v>
      </c>
      <c r="O73" t="s">
        <v>256</v>
      </c>
      <c r="X73" t="s">
        <v>830</v>
      </c>
      <c r="AA73" s="14">
        <f>'Impact settings'!F70</f>
        <v>1.85</v>
      </c>
      <c r="AD73" s="14">
        <f>'Impact settings'!G70</f>
        <v>39.6</v>
      </c>
      <c r="AI73" s="38">
        <f>'OEL impact settings'!K50</f>
        <v>4.2100000000000002E-3</v>
      </c>
      <c r="AJ73" s="38"/>
      <c r="AK73" s="38"/>
      <c r="AL73" s="38">
        <f>'OEL impact settings'!P50</f>
        <v>0.14899999999999999</v>
      </c>
    </row>
    <row r="74" spans="2:44" x14ac:dyDescent="0.3">
      <c r="D74" t="s">
        <v>243</v>
      </c>
      <c r="F74" s="2">
        <v>7750</v>
      </c>
      <c r="L74" t="s">
        <v>244</v>
      </c>
      <c r="N74" s="53">
        <f>F84</f>
        <v>970</v>
      </c>
      <c r="P74" t="s">
        <v>1222</v>
      </c>
      <c r="X74" t="s">
        <v>2</v>
      </c>
      <c r="AA74" s="14">
        <f>'Impact settings'!F71</f>
        <v>3.88</v>
      </c>
      <c r="AD74" s="14">
        <f>'Impact settings'!G71</f>
        <v>78.5</v>
      </c>
      <c r="AI74" s="38">
        <f>'OEL impact settings'!K51</f>
        <v>0.62</v>
      </c>
      <c r="AJ74" s="39"/>
      <c r="AK74" s="39"/>
      <c r="AL74" s="38">
        <f>'OEL impact settings'!P51</f>
        <v>0.31900000000000001</v>
      </c>
    </row>
    <row r="75" spans="2:44" x14ac:dyDescent="0.3">
      <c r="D75" t="s">
        <v>29</v>
      </c>
      <c r="F75" s="2">
        <f>F69</f>
        <v>7750</v>
      </c>
      <c r="L75" t="s">
        <v>1229</v>
      </c>
      <c r="N75" s="53">
        <f>F14/N73</f>
        <v>3750</v>
      </c>
      <c r="O75" t="s">
        <v>259</v>
      </c>
      <c r="P75" s="53">
        <f>N75/(1000*1000)</f>
        <v>3.7499999999999999E-3</v>
      </c>
      <c r="Q75" t="s">
        <v>260</v>
      </c>
      <c r="X75" t="s">
        <v>1549</v>
      </c>
      <c r="AA75">
        <v>1.396493244</v>
      </c>
      <c r="AD75">
        <v>31.584411360000001</v>
      </c>
      <c r="AI75">
        <v>0.17302907820000002</v>
      </c>
      <c r="AL75">
        <v>0.11096542650000001</v>
      </c>
    </row>
    <row r="76" spans="2:44" x14ac:dyDescent="0.3">
      <c r="L76" t="s">
        <v>1228</v>
      </c>
      <c r="N76" s="324">
        <f>P76*1000*1000</f>
        <v>4261.3636363636369</v>
      </c>
      <c r="P76" s="53">
        <f>P75+Q82</f>
        <v>4.2613636363636369E-3</v>
      </c>
      <c r="X76" t="s">
        <v>1550</v>
      </c>
      <c r="AA76">
        <f>'Impact settings'!W406</f>
        <v>5.1665818409084743</v>
      </c>
      <c r="AD76">
        <f>'Impact settings'!X406</f>
        <v>104.25763350542371</v>
      </c>
      <c r="AI76">
        <f>$AN$76*AI69</f>
        <v>9.845247839999996E-2</v>
      </c>
      <c r="AL76">
        <f>$AN$76*AL69</f>
        <v>5.0655388079999981E-2</v>
      </c>
      <c r="AN76" s="1">
        <f>'Collective imput'!Q27-'Collective imput'!Q29</f>
        <v>0.15879431999999993</v>
      </c>
    </row>
    <row r="77" spans="2:44" x14ac:dyDescent="0.3">
      <c r="D77" t="s">
        <v>28</v>
      </c>
      <c r="F77" s="2">
        <v>2240</v>
      </c>
      <c r="L77" t="s">
        <v>1416</v>
      </c>
      <c r="N77" s="53">
        <f>2*SQRT(N75/PI())</f>
        <v>69.098829894267098</v>
      </c>
      <c r="O77" t="s">
        <v>1195</v>
      </c>
      <c r="P77" s="53">
        <f>N77/1000</f>
        <v>6.9098829894267091E-2</v>
      </c>
      <c r="Q77" t="s">
        <v>91</v>
      </c>
      <c r="R77" t="s">
        <v>1220</v>
      </c>
      <c r="W77" s="17" t="s">
        <v>164</v>
      </c>
      <c r="X77" s="16"/>
      <c r="Y77" s="16"/>
      <c r="Z77" s="16"/>
      <c r="AA77" s="256"/>
      <c r="AB77" s="7"/>
      <c r="AC77" s="7"/>
      <c r="AD77" s="256"/>
      <c r="AE77" s="7"/>
      <c r="AF77" s="7"/>
      <c r="AG77" s="7"/>
      <c r="AH77" s="7"/>
      <c r="AI77" s="154"/>
      <c r="AJ77" s="7"/>
      <c r="AK77" s="7"/>
      <c r="AL77" s="154"/>
    </row>
    <row r="78" spans="2:44" x14ac:dyDescent="0.3">
      <c r="F78" s="2"/>
      <c r="L78" t="s">
        <v>1417</v>
      </c>
      <c r="N78" s="53">
        <f>2*SQRT(N76/PI())</f>
        <v>73.659600163961073</v>
      </c>
      <c r="P78" s="53">
        <f>N78/(1000)</f>
        <v>7.3659600163961073E-2</v>
      </c>
      <c r="Q78" t="s">
        <v>91</v>
      </c>
      <c r="R78" t="s">
        <v>1221</v>
      </c>
      <c r="X78" t="s">
        <v>159</v>
      </c>
      <c r="AA78" s="14">
        <f>'Impact settings'!F75</f>
        <v>0.52600000000000002</v>
      </c>
      <c r="AD78" s="14">
        <f>'Impact settings'!G75</f>
        <v>7.81</v>
      </c>
      <c r="AI78" s="38"/>
      <c r="AL78" s="38"/>
    </row>
    <row r="79" spans="2:44" x14ac:dyDescent="0.3">
      <c r="D79" t="s">
        <v>202</v>
      </c>
      <c r="F79" s="2">
        <v>200</v>
      </c>
      <c r="L79" t="s">
        <v>2</v>
      </c>
      <c r="N79" s="59">
        <v>0.12</v>
      </c>
      <c r="R79" s="53"/>
      <c r="T79" s="53"/>
      <c r="X79" t="s">
        <v>69</v>
      </c>
      <c r="AA79" s="14">
        <f>'Impact settings'!F76</f>
        <v>90</v>
      </c>
      <c r="AD79" s="14">
        <f>'Impact settings'!G76</f>
        <v>1342.5414364640887</v>
      </c>
      <c r="AI79" s="38"/>
      <c r="AL79" s="38"/>
    </row>
    <row r="80" spans="2:44" x14ac:dyDescent="0.3">
      <c r="D80" t="s">
        <v>6</v>
      </c>
      <c r="L80" t="s">
        <v>1225</v>
      </c>
      <c r="N80" s="53">
        <f>F86</f>
        <v>970</v>
      </c>
      <c r="X80" t="s">
        <v>21</v>
      </c>
      <c r="AA80" s="14">
        <f>'Impact settings'!F77</f>
        <v>1.9199999999999998E-2</v>
      </c>
      <c r="AD80" s="14">
        <f>'Impact settings'!G77</f>
        <v>0.28199999999999997</v>
      </c>
      <c r="AI80" s="38"/>
      <c r="AL80" s="38"/>
    </row>
    <row r="81" spans="2:38" x14ac:dyDescent="0.3">
      <c r="D81" t="s">
        <v>123</v>
      </c>
      <c r="L81" t="s">
        <v>747</v>
      </c>
      <c r="N81" s="53">
        <f>P75*N74</f>
        <v>3.6374999999999997</v>
      </c>
      <c r="O81" t="s">
        <v>1226</v>
      </c>
      <c r="Q81" s="53">
        <f>N81*R91</f>
        <v>0.49602272727272761</v>
      </c>
      <c r="R81" t="s">
        <v>1227</v>
      </c>
      <c r="X81" t="s">
        <v>152</v>
      </c>
      <c r="AA81" s="14">
        <f>'Impact settings'!F78</f>
        <v>8.9976823999999997E-2</v>
      </c>
      <c r="AD81" s="14">
        <f>'Impact settings'!G78</f>
        <v>1.52</v>
      </c>
      <c r="AI81" s="38"/>
      <c r="AL81" s="38"/>
    </row>
    <row r="82" spans="2:38" x14ac:dyDescent="0.3">
      <c r="D82" t="s">
        <v>203</v>
      </c>
      <c r="L82" t="s">
        <v>1230</v>
      </c>
      <c r="Q82" s="53">
        <f>Q81/N80</f>
        <v>5.1136363636363673E-4</v>
      </c>
      <c r="X82" t="s">
        <v>153</v>
      </c>
      <c r="AA82" s="14">
        <f>'Impact settings'!F79</f>
        <v>0.50757898000000001</v>
      </c>
      <c r="AD82" s="14">
        <f>'Impact settings'!G79</f>
        <v>8.2200000000000006</v>
      </c>
      <c r="AI82" s="38"/>
      <c r="AL82" s="38"/>
    </row>
    <row r="83" spans="2:38" x14ac:dyDescent="0.3">
      <c r="L83" t="s">
        <v>1414</v>
      </c>
      <c r="N83" s="58">
        <v>50</v>
      </c>
      <c r="O83" t="s">
        <v>1415</v>
      </c>
      <c r="X83" t="s">
        <v>154</v>
      </c>
      <c r="AA83" s="14">
        <f>'Impact settings'!F80</f>
        <v>0.109</v>
      </c>
      <c r="AD83" s="14">
        <f>'Impact settings'!G80</f>
        <v>1.5</v>
      </c>
      <c r="AI83" s="38"/>
      <c r="AL83" s="38"/>
    </row>
    <row r="84" spans="2:38" x14ac:dyDescent="0.3">
      <c r="D84" t="s">
        <v>0</v>
      </c>
      <c r="F84" s="2">
        <v>970</v>
      </c>
      <c r="L84" t="s">
        <v>1418</v>
      </c>
      <c r="N84" s="53">
        <f>PI()*N83^2/4</f>
        <v>1963.4954084936207</v>
      </c>
      <c r="P84" s="53">
        <f>N84/(1000*1000)</f>
        <v>1.9634954084936209E-3</v>
      </c>
      <c r="Q84" t="s">
        <v>260</v>
      </c>
      <c r="X84" t="s">
        <v>1505</v>
      </c>
      <c r="AA84" s="14">
        <f>'Impact settings'!F81</f>
        <v>9.3399999999999993E-3</v>
      </c>
      <c r="AD84" s="14">
        <f>'Impact settings'!G81</f>
        <v>0.129</v>
      </c>
      <c r="AI84" s="38"/>
      <c r="AL84" s="38"/>
    </row>
    <row r="85" spans="2:38" x14ac:dyDescent="0.3">
      <c r="D85" t="s">
        <v>1223</v>
      </c>
      <c r="F85">
        <v>2200</v>
      </c>
      <c r="L85" t="s">
        <v>239</v>
      </c>
      <c r="X85" t="s">
        <v>1376</v>
      </c>
      <c r="AA85" s="14">
        <f>'Impact settings'!F82</f>
        <v>3.4616249999999997</v>
      </c>
      <c r="AD85" s="14">
        <f>'Impact settings'!G82</f>
        <v>51.637500000000003</v>
      </c>
      <c r="AI85" s="38"/>
      <c r="AL85" s="38"/>
    </row>
    <row r="86" spans="2:38" x14ac:dyDescent="0.3">
      <c r="D86" t="s">
        <v>1497</v>
      </c>
      <c r="F86">
        <v>970</v>
      </c>
      <c r="M86" t="s">
        <v>257</v>
      </c>
      <c r="N86" s="53">
        <f>P75*N71</f>
        <v>1.125</v>
      </c>
      <c r="AA86" s="14">
        <f>'Impact settings'!F83</f>
        <v>0</v>
      </c>
      <c r="AD86" s="14">
        <f>'Impact settings'!G83</f>
        <v>0</v>
      </c>
    </row>
    <row r="87" spans="2:38" x14ac:dyDescent="0.3">
      <c r="B87" s="63" t="s">
        <v>104</v>
      </c>
      <c r="C87" s="64"/>
      <c r="D87" s="64"/>
      <c r="E87" s="64"/>
      <c r="F87" s="383" t="s">
        <v>292</v>
      </c>
      <c r="G87" s="384"/>
      <c r="H87" s="383" t="s">
        <v>269</v>
      </c>
      <c r="I87" s="384"/>
      <c r="J87" s="385"/>
      <c r="M87" t="s">
        <v>258</v>
      </c>
      <c r="N87" s="53">
        <f>P84*N72</f>
        <v>1.7671458676442588</v>
      </c>
      <c r="AA87" s="14">
        <f>'Impact settings'!F84</f>
        <v>0</v>
      </c>
      <c r="AD87" s="14">
        <f>'Impact settings'!G84</f>
        <v>0</v>
      </c>
    </row>
    <row r="88" spans="2:38" x14ac:dyDescent="0.3">
      <c r="C88" s="58" t="s">
        <v>105</v>
      </c>
      <c r="D88" s="58"/>
      <c r="E88" s="58"/>
      <c r="F88" s="61">
        <f>J608</f>
        <v>3606928.6255981731</v>
      </c>
      <c r="G88" s="58" t="s">
        <v>267</v>
      </c>
      <c r="H88" s="62">
        <f>F88/F62</f>
        <v>7.7982924830457252</v>
      </c>
      <c r="I88" s="58" t="s">
        <v>265</v>
      </c>
      <c r="J88" s="58"/>
      <c r="K88" s="6"/>
      <c r="L88" t="s">
        <v>1279</v>
      </c>
      <c r="N88" s="311">
        <v>0</v>
      </c>
      <c r="W88" s="17" t="s">
        <v>165</v>
      </c>
      <c r="X88" s="17"/>
      <c r="Y88" s="16"/>
      <c r="Z88" s="16"/>
      <c r="AA88" s="256"/>
      <c r="AB88" s="7"/>
      <c r="AC88" s="7"/>
      <c r="AD88" s="256"/>
      <c r="AE88" s="7"/>
      <c r="AF88" s="7"/>
      <c r="AG88" s="7"/>
      <c r="AH88" s="7"/>
      <c r="AI88" s="154"/>
      <c r="AJ88" s="7"/>
      <c r="AK88" s="7"/>
      <c r="AL88" s="154"/>
    </row>
    <row r="89" spans="2:38" x14ac:dyDescent="0.3">
      <c r="C89" s="58" t="s">
        <v>266</v>
      </c>
      <c r="D89" s="58"/>
      <c r="E89" s="58"/>
      <c r="F89" s="61">
        <f>M608</f>
        <v>58958258.633946285</v>
      </c>
      <c r="G89" s="58" t="s">
        <v>268</v>
      </c>
      <c r="H89" s="62">
        <f>F89/F62</f>
        <v>127.46959888687017</v>
      </c>
      <c r="I89" s="58" t="s">
        <v>270</v>
      </c>
      <c r="J89" s="58"/>
      <c r="K89" s="6"/>
      <c r="X89" t="s">
        <v>106</v>
      </c>
      <c r="AA89" s="14">
        <f>'Impact settings'!F85</f>
        <v>6.6600000000000006E-2</v>
      </c>
      <c r="AD89" s="14">
        <f>'Impact settings'!G85</f>
        <v>0.88</v>
      </c>
      <c r="AI89" s="38"/>
      <c r="AL89" s="38"/>
    </row>
    <row r="90" spans="2:38" x14ac:dyDescent="0.3">
      <c r="E90" t="s">
        <v>1652</v>
      </c>
      <c r="F90">
        <f>G90/(F61/12)</f>
        <v>8.4979732591246773</v>
      </c>
      <c r="G90">
        <f>F92*F89</f>
        <v>16377.294064985079</v>
      </c>
      <c r="K90" s="6"/>
      <c r="L90" s="44" t="s">
        <v>1</v>
      </c>
      <c r="M90" s="44"/>
      <c r="N90" s="44"/>
      <c r="O90" t="s">
        <v>1224</v>
      </c>
      <c r="P90" t="s">
        <v>567</v>
      </c>
      <c r="R90" t="s">
        <v>1419</v>
      </c>
      <c r="X90" t="s">
        <v>107</v>
      </c>
      <c r="AA90" s="14">
        <f>'Impact settings'!F86</f>
        <v>8.9499999999999996E-2</v>
      </c>
      <c r="AD90" s="14">
        <f>'Impact settings'!G86</f>
        <v>2.23</v>
      </c>
      <c r="AI90" s="38"/>
      <c r="AL90" s="38"/>
    </row>
    <row r="91" spans="2:38" x14ac:dyDescent="0.3">
      <c r="F91">
        <f>F62/G90</f>
        <v>28.242028149747423</v>
      </c>
      <c r="L91" s="44"/>
      <c r="M91" s="44" t="s">
        <v>257</v>
      </c>
      <c r="N91" s="44">
        <f>(O91+P91)</f>
        <v>1240.0568181818182</v>
      </c>
      <c r="O91">
        <f>N86*N74*(1+N88)</f>
        <v>1091.25</v>
      </c>
      <c r="P91">
        <f>R91*O91</f>
        <v>148.8068181818183</v>
      </c>
      <c r="R91">
        <f>(1/(1-N79))-1</f>
        <v>0.13636363636363646</v>
      </c>
      <c r="AA91" s="14">
        <f>'Impact settings'!F87</f>
        <v>0</v>
      </c>
      <c r="AD91" s="14">
        <f>'Impact settings'!G87</f>
        <v>0</v>
      </c>
      <c r="AI91" s="38"/>
      <c r="AL91" s="38"/>
    </row>
    <row r="92" spans="2:38" x14ac:dyDescent="0.3">
      <c r="F92">
        <f>1/(1000*3.6)</f>
        <v>2.7777777777777778E-4</v>
      </c>
      <c r="G92">
        <f>F62/(F92*F89)</f>
        <v>28.242028149747423</v>
      </c>
      <c r="L92" s="44"/>
      <c r="M92" s="44" t="s">
        <v>258</v>
      </c>
      <c r="N92" s="44">
        <f>(O92+P92)</f>
        <v>1947.8766950169672</v>
      </c>
      <c r="O92">
        <f>N87*N74*(1+N88)</f>
        <v>1714.1314916149311</v>
      </c>
      <c r="P92">
        <f>R91*O92</f>
        <v>233.74520340203622</v>
      </c>
      <c r="W92" s="40" t="s">
        <v>193</v>
      </c>
      <c r="X92" s="7"/>
      <c r="Y92" s="7"/>
      <c r="Z92" s="7"/>
      <c r="AA92" s="256"/>
      <c r="AB92" s="7"/>
      <c r="AC92" s="7"/>
      <c r="AD92" s="256"/>
      <c r="AE92" s="7"/>
      <c r="AF92" s="7"/>
      <c r="AG92" s="7"/>
      <c r="AH92" s="7"/>
      <c r="AI92" s="154"/>
      <c r="AJ92" s="7"/>
      <c r="AK92" s="7"/>
      <c r="AL92" s="154"/>
    </row>
    <row r="93" spans="2:38" x14ac:dyDescent="0.3">
      <c r="E93" t="s">
        <v>1653</v>
      </c>
      <c r="F93">
        <f>F61/12</f>
        <v>1927.2</v>
      </c>
      <c r="O93" s="87" t="s">
        <v>1326</v>
      </c>
      <c r="P93" s="87"/>
      <c r="X93" t="s">
        <v>45</v>
      </c>
      <c r="AA93" s="14">
        <f>'Impact settings'!F89</f>
        <v>1.21</v>
      </c>
      <c r="AD93" s="14">
        <f>'Impact settings'!G89</f>
        <v>67.3</v>
      </c>
      <c r="AI93" s="38">
        <f>'OEL impact settings'!K53</f>
        <v>0.51800000000000002</v>
      </c>
      <c r="AL93" s="38">
        <f>'OEL impact settings'!P53</f>
        <v>0.36199999999999999</v>
      </c>
    </row>
    <row r="94" spans="2:38" x14ac:dyDescent="0.3">
      <c r="D94" t="s">
        <v>1761</v>
      </c>
      <c r="E94" t="s">
        <v>1654</v>
      </c>
      <c r="F94">
        <f>(F92*F89)/F93</f>
        <v>8.4979732591246773</v>
      </c>
      <c r="G94" t="s">
        <v>1654</v>
      </c>
      <c r="M94" t="s">
        <v>1420</v>
      </c>
      <c r="N94">
        <f>N91+N92</f>
        <v>3187.9335131987855</v>
      </c>
      <c r="O94" t="s">
        <v>65</v>
      </c>
      <c r="X94" t="s">
        <v>46</v>
      </c>
      <c r="AA94" s="14">
        <f>'Impact settings'!F90</f>
        <v>2.0299999999999998</v>
      </c>
      <c r="AD94" s="14">
        <f>'Impact settings'!G90</f>
        <v>54.7</v>
      </c>
      <c r="AI94" s="38">
        <f>'OEL impact settings'!K54</f>
        <v>0.51800000000000002</v>
      </c>
      <c r="AL94" s="38">
        <f>'OEL impact settings'!P54</f>
        <v>0.36199999999999999</v>
      </c>
    </row>
    <row r="95" spans="2:38" x14ac:dyDescent="0.3">
      <c r="X95" t="s">
        <v>1344</v>
      </c>
      <c r="AA95" s="14">
        <f>'Impact settings'!F91</f>
        <v>0.248</v>
      </c>
      <c r="AD95" s="14">
        <f>'Impact settings'!G91</f>
        <v>4.79</v>
      </c>
      <c r="AJ95" t="s">
        <v>825</v>
      </c>
    </row>
    <row r="98" spans="1:40" x14ac:dyDescent="0.3">
      <c r="B98" s="42"/>
      <c r="C98" s="42"/>
      <c r="D98" s="42"/>
      <c r="E98" s="42"/>
      <c r="F98" s="42"/>
      <c r="G98" s="42"/>
      <c r="H98" s="42"/>
    </row>
    <row r="99" spans="1:40" x14ac:dyDescent="0.3">
      <c r="C99" s="1"/>
    </row>
    <row r="105" spans="1:40" s="7" customFormat="1" x14ac:dyDescent="0.3">
      <c r="A105"/>
      <c r="B105" s="40" t="s">
        <v>251</v>
      </c>
    </row>
    <row r="107" spans="1:40" x14ac:dyDescent="0.3">
      <c r="B107" s="28" t="s">
        <v>215</v>
      </c>
      <c r="C107" s="27"/>
      <c r="D107" s="27" t="s">
        <v>216</v>
      </c>
      <c r="E107" s="27"/>
      <c r="F107" s="27"/>
      <c r="G107" s="27"/>
      <c r="H107" s="27"/>
      <c r="I107" s="27"/>
      <c r="J107" s="27"/>
      <c r="K107" s="27"/>
      <c r="N107" s="27"/>
      <c r="O107" s="28" t="s">
        <v>16</v>
      </c>
      <c r="P107" s="27"/>
      <c r="Q107" s="27"/>
      <c r="R107" s="27"/>
      <c r="S107" s="27"/>
      <c r="T107" s="27"/>
      <c r="U107" s="27"/>
      <c r="V107" s="27"/>
      <c r="W107" s="27"/>
      <c r="X107" s="27"/>
      <c r="Y107" s="27"/>
      <c r="Z107" s="27"/>
      <c r="AC107" s="28" t="s">
        <v>20</v>
      </c>
      <c r="AD107" s="27"/>
      <c r="AE107" s="27"/>
      <c r="AF107" s="27"/>
      <c r="AG107" s="27"/>
      <c r="AH107" s="27"/>
      <c r="AI107" s="27"/>
      <c r="AJ107" s="27"/>
      <c r="AK107" s="27"/>
      <c r="AL107" s="27"/>
      <c r="AM107" s="27"/>
      <c r="AN107" s="27"/>
    </row>
    <row r="109" spans="1:40" x14ac:dyDescent="0.3">
      <c r="O109" s="41" t="s">
        <v>236</v>
      </c>
      <c r="P109" s="12"/>
      <c r="Q109" s="12"/>
      <c r="R109" s="323"/>
      <c r="S109" s="323"/>
      <c r="T109" s="323"/>
      <c r="U109" s="323"/>
      <c r="V109" s="323"/>
      <c r="W109" s="12"/>
      <c r="X109" s="47">
        <f>K119</f>
        <v>128004.29515908501</v>
      </c>
      <c r="Y109" s="335" t="s">
        <v>1479</v>
      </c>
      <c r="Z109" s="137"/>
      <c r="AA109" s="137"/>
      <c r="AC109" s="41"/>
      <c r="AD109" s="12"/>
      <c r="AE109" s="12"/>
      <c r="AF109" s="12"/>
      <c r="AG109" s="12"/>
      <c r="AH109" s="12"/>
      <c r="AI109" s="12"/>
      <c r="AJ109" s="12"/>
      <c r="AK109" s="12"/>
      <c r="AL109" s="12"/>
    </row>
    <row r="110" spans="1:40" x14ac:dyDescent="0.3">
      <c r="E110" t="s">
        <v>1069</v>
      </c>
      <c r="P110" t="s">
        <v>246</v>
      </c>
      <c r="W110" s="70"/>
      <c r="X110" s="70"/>
    </row>
    <row r="111" spans="1:40" x14ac:dyDescent="0.3">
      <c r="G111" t="s">
        <v>65</v>
      </c>
      <c r="Q111" s="23"/>
      <c r="R111" s="23"/>
      <c r="S111" s="23"/>
      <c r="T111" s="23"/>
      <c r="U111" s="23"/>
      <c r="V111" s="23"/>
    </row>
    <row r="112" spans="1:40" x14ac:dyDescent="0.3">
      <c r="C112" t="s">
        <v>290</v>
      </c>
      <c r="G112" s="26">
        <f>J119</f>
        <v>20000</v>
      </c>
      <c r="H112">
        <v>34033</v>
      </c>
      <c r="J112" s="371" t="s">
        <v>2111</v>
      </c>
      <c r="K112" s="371"/>
      <c r="L112" s="371"/>
      <c r="M112" s="371"/>
      <c r="Q112" s="23"/>
      <c r="R112" s="23"/>
      <c r="S112" s="23"/>
      <c r="T112" s="23"/>
      <c r="U112" s="23"/>
      <c r="V112" s="23"/>
    </row>
    <row r="113" spans="1:45" x14ac:dyDescent="0.3">
      <c r="K113" t="s">
        <v>2007</v>
      </c>
      <c r="M113" t="s">
        <v>2008</v>
      </c>
    </row>
    <row r="114" spans="1:45" x14ac:dyDescent="0.3">
      <c r="C114" t="s">
        <v>123</v>
      </c>
      <c r="E114" s="1">
        <v>1E-4</v>
      </c>
      <c r="G114" s="44">
        <f>E114*$G$112</f>
        <v>2</v>
      </c>
      <c r="L114">
        <f>X153+X170+T220</f>
        <v>99960</v>
      </c>
      <c r="M114">
        <f>L114+X109</f>
        <v>227964.29515908501</v>
      </c>
      <c r="Q114" t="s">
        <v>1335</v>
      </c>
    </row>
    <row r="115" spans="1:45" x14ac:dyDescent="0.3">
      <c r="C115" t="s">
        <v>6</v>
      </c>
      <c r="E115" s="1">
        <v>0.47289999999999999</v>
      </c>
      <c r="G115" s="44">
        <f t="shared" ref="G115:G130" si="5">E115*$G$112</f>
        <v>9458</v>
      </c>
      <c r="Q115" t="s">
        <v>1336</v>
      </c>
      <c r="S115" s="58">
        <v>18.7</v>
      </c>
      <c r="T115" t="s">
        <v>91</v>
      </c>
      <c r="AL115" s="1"/>
      <c r="AS115">
        <f>1500/0.88</f>
        <v>1704.5454545454545</v>
      </c>
    </row>
    <row r="116" spans="1:45" x14ac:dyDescent="0.3">
      <c r="C116" t="s">
        <v>293</v>
      </c>
      <c r="E116" s="1">
        <v>0.1363</v>
      </c>
      <c r="G116" s="44">
        <f t="shared" si="5"/>
        <v>2726</v>
      </c>
      <c r="K116" t="s">
        <v>2006</v>
      </c>
      <c r="L116" t="s">
        <v>228</v>
      </c>
      <c r="Q116" t="s">
        <v>228</v>
      </c>
      <c r="S116" s="58">
        <f>L119</f>
        <v>34.165225057431087</v>
      </c>
      <c r="T116" t="s">
        <v>1421</v>
      </c>
    </row>
    <row r="117" spans="1:45" x14ac:dyDescent="0.3">
      <c r="C117" t="s">
        <v>294</v>
      </c>
      <c r="E117" s="1">
        <v>1.6400000000000001E-2</v>
      </c>
      <c r="G117" s="44">
        <f t="shared" si="5"/>
        <v>328</v>
      </c>
      <c r="J117">
        <v>16000</v>
      </c>
      <c r="K117">
        <v>102467.7605196497</v>
      </c>
      <c r="L117">
        <v>31.078805304344673</v>
      </c>
      <c r="Q117" t="s">
        <v>228</v>
      </c>
      <c r="S117" s="53">
        <f>S116</f>
        <v>34.165225057431087</v>
      </c>
      <c r="T117" t="s">
        <v>100</v>
      </c>
      <c r="AC117" s="41" t="s">
        <v>21</v>
      </c>
      <c r="AD117" s="12"/>
      <c r="AE117" s="12"/>
      <c r="AF117" s="12"/>
      <c r="AG117" s="12"/>
      <c r="AH117" s="12"/>
      <c r="AI117" s="12"/>
      <c r="AJ117" s="12"/>
      <c r="AK117" s="12"/>
      <c r="AL117" s="12"/>
    </row>
    <row r="118" spans="1:45" x14ac:dyDescent="0.3">
      <c r="C118" t="s">
        <v>134</v>
      </c>
      <c r="E118" s="1">
        <v>0.12770000000000001</v>
      </c>
      <c r="G118" s="44">
        <f t="shared" si="5"/>
        <v>2554</v>
      </c>
      <c r="J118">
        <v>18000</v>
      </c>
      <c r="K118">
        <v>114889.11809321922</v>
      </c>
      <c r="L118">
        <v>32.622015180887878</v>
      </c>
      <c r="R118" s="70"/>
      <c r="S118" s="70"/>
      <c r="T118" s="70"/>
    </row>
    <row r="119" spans="1:45" x14ac:dyDescent="0.3">
      <c r="C119" t="s">
        <v>295</v>
      </c>
      <c r="E119" s="1">
        <v>2.7E-2</v>
      </c>
      <c r="G119" s="44">
        <f t="shared" si="5"/>
        <v>540</v>
      </c>
      <c r="J119">
        <v>20000</v>
      </c>
      <c r="K119">
        <v>128004.29515908501</v>
      </c>
      <c r="L119">
        <v>34.165225057431087</v>
      </c>
      <c r="AF119" s="26"/>
      <c r="AG119" t="s">
        <v>778</v>
      </c>
    </row>
    <row r="120" spans="1:45" x14ac:dyDescent="0.3">
      <c r="C120" t="s">
        <v>296</v>
      </c>
      <c r="E120" s="1">
        <v>6.3E-3</v>
      </c>
      <c r="G120" s="44">
        <f t="shared" si="5"/>
        <v>126</v>
      </c>
      <c r="J120">
        <v>22000</v>
      </c>
      <c r="K120">
        <v>141813.29171724708</v>
      </c>
      <c r="L120">
        <v>35.708434933974296</v>
      </c>
      <c r="Q120" t="s">
        <v>238</v>
      </c>
      <c r="S120" s="53">
        <f>S117*S115</f>
        <v>638.88970857396134</v>
      </c>
      <c r="AF120" s="26"/>
      <c r="AG120" t="s">
        <v>777</v>
      </c>
    </row>
    <row r="121" spans="1:45" x14ac:dyDescent="0.3">
      <c r="C121" t="s">
        <v>297</v>
      </c>
      <c r="E121" s="1">
        <v>4.1399999999999999E-2</v>
      </c>
      <c r="G121" s="44">
        <f t="shared" si="5"/>
        <v>828</v>
      </c>
      <c r="J121">
        <v>24000</v>
      </c>
      <c r="K121">
        <v>156316.10776770546</v>
      </c>
      <c r="L121">
        <v>37.251644810517519</v>
      </c>
      <c r="Q121" t="s">
        <v>240</v>
      </c>
      <c r="S121">
        <f>S122/S120</f>
        <v>5.170433339175157E-3</v>
      </c>
      <c r="T121" t="s">
        <v>100</v>
      </c>
      <c r="U121">
        <f>S121*1000</f>
        <v>5.1704333391751574</v>
      </c>
      <c r="V121" t="s">
        <v>241</v>
      </c>
      <c r="AF121" s="53">
        <f>AX133</f>
        <v>18160</v>
      </c>
    </row>
    <row r="122" spans="1:45" x14ac:dyDescent="0.3">
      <c r="C122" t="s">
        <v>298</v>
      </c>
      <c r="E122" s="1">
        <v>2.5999999999999999E-3</v>
      </c>
      <c r="G122" s="44">
        <f t="shared" si="5"/>
        <v>52</v>
      </c>
      <c r="Q122" t="s">
        <v>239</v>
      </c>
      <c r="S122" s="53">
        <f>S125/S124</f>
        <v>3.30333664926671</v>
      </c>
      <c r="AD122" s="44" t="s">
        <v>245</v>
      </c>
      <c r="AE122" s="44"/>
      <c r="AF122" s="44">
        <f>AF121</f>
        <v>18160</v>
      </c>
      <c r="AG122" s="44"/>
      <c r="AJ122" t="s">
        <v>1268</v>
      </c>
    </row>
    <row r="123" spans="1:45" x14ac:dyDescent="0.3">
      <c r="C123" t="s">
        <v>133</v>
      </c>
      <c r="E123" s="1">
        <v>1.2500000000000001E-2</v>
      </c>
      <c r="G123" s="44">
        <f t="shared" si="5"/>
        <v>250</v>
      </c>
      <c r="Q123" t="s">
        <v>242</v>
      </c>
      <c r="S123" t="s">
        <v>243</v>
      </c>
    </row>
    <row r="124" spans="1:45" x14ac:dyDescent="0.3">
      <c r="C124" t="s">
        <v>68</v>
      </c>
      <c r="E124" s="1">
        <v>2.3999999999999998E-3</v>
      </c>
      <c r="G124" s="44">
        <f t="shared" si="5"/>
        <v>47.999999999999993</v>
      </c>
      <c r="Q124" t="s">
        <v>244</v>
      </c>
      <c r="S124" s="53">
        <f>F74</f>
        <v>7750</v>
      </c>
      <c r="AM124" t="s">
        <v>1377</v>
      </c>
    </row>
    <row r="125" spans="1:45" x14ac:dyDescent="0.3">
      <c r="A125" s="8" t="s">
        <v>1583</v>
      </c>
      <c r="B125" s="8"/>
      <c r="C125" s="8" t="s">
        <v>121</v>
      </c>
      <c r="E125" s="1">
        <v>1E-4</v>
      </c>
      <c r="G125" s="44">
        <f t="shared" si="5"/>
        <v>2</v>
      </c>
      <c r="Q125" s="44" t="s">
        <v>245</v>
      </c>
      <c r="R125" s="44"/>
      <c r="S125" s="44">
        <f>W125*X109</f>
        <v>25600.859031817003</v>
      </c>
      <c r="T125" s="44"/>
      <c r="V125" t="s">
        <v>1480</v>
      </c>
      <c r="W125" s="147">
        <v>0.2</v>
      </c>
      <c r="AD125" s="6" t="s">
        <v>810</v>
      </c>
      <c r="AF125" s="1">
        <f>'Draft Calculations'!T12</f>
        <v>0.57013391592830842</v>
      </c>
      <c r="AG125">
        <f>AF125*$AF$122</f>
        <v>10353.631913258081</v>
      </c>
      <c r="AI125" t="s">
        <v>820</v>
      </c>
      <c r="AN125" t="s">
        <v>1378</v>
      </c>
      <c r="AQ125">
        <v>6500</v>
      </c>
      <c r="AR125" t="s">
        <v>1379</v>
      </c>
    </row>
    <row r="126" spans="1:45" x14ac:dyDescent="0.3">
      <c r="C126" t="s">
        <v>115</v>
      </c>
      <c r="E126" s="1">
        <v>5.0000000000000001E-4</v>
      </c>
      <c r="G126" s="44">
        <f t="shared" si="5"/>
        <v>10</v>
      </c>
      <c r="K126">
        <f>G112/1000</f>
        <v>20</v>
      </c>
      <c r="AD126" s="6" t="s">
        <v>809</v>
      </c>
      <c r="AF126" s="1">
        <f>'Draft Calculations'!T13</f>
        <v>0.10697091070922847</v>
      </c>
      <c r="AG126">
        <f t="shared" ref="AG126:AG132" si="6">AF126*$AF$122</f>
        <v>1942.5917384795889</v>
      </c>
      <c r="AI126" t="s">
        <v>114</v>
      </c>
      <c r="AO126">
        <f>AQ125/4</f>
        <v>1625</v>
      </c>
      <c r="AP126" t="s">
        <v>1380</v>
      </c>
    </row>
    <row r="127" spans="1:45" x14ac:dyDescent="0.3">
      <c r="C127" t="s">
        <v>132</v>
      </c>
      <c r="E127" s="1">
        <v>0.1258</v>
      </c>
      <c r="G127" s="44">
        <f t="shared" si="5"/>
        <v>2516</v>
      </c>
      <c r="K127">
        <f>M114/1000</f>
        <v>227.96429515908503</v>
      </c>
      <c r="AD127" s="6" t="s">
        <v>113</v>
      </c>
      <c r="AF127" s="1">
        <f>'Draft Calculations'!T14</f>
        <v>0.11194724278836428</v>
      </c>
      <c r="AG127">
        <f t="shared" si="6"/>
        <v>2032.9619290366952</v>
      </c>
      <c r="AI127" t="s">
        <v>113</v>
      </c>
      <c r="AN127" t="s">
        <v>1381</v>
      </c>
      <c r="AS127" t="s">
        <v>1382</v>
      </c>
    </row>
    <row r="128" spans="1:45" x14ac:dyDescent="0.3">
      <c r="C128" t="s">
        <v>301</v>
      </c>
      <c r="E128" s="1">
        <v>2.0299999999999999E-2</v>
      </c>
      <c r="G128" s="44">
        <f t="shared" si="5"/>
        <v>406</v>
      </c>
      <c r="I128">
        <f>G128+G117+G121</f>
        <v>1562</v>
      </c>
      <c r="K128" s="14">
        <f>H88</f>
        <v>7.7982924830457252</v>
      </c>
      <c r="P128" t="s">
        <v>138</v>
      </c>
      <c r="AD128" s="6" t="s">
        <v>811</v>
      </c>
      <c r="AF128" s="1">
        <f>'Draft Calculations'!T15</f>
        <v>0.11255411255411256</v>
      </c>
      <c r="AG128">
        <f t="shared" si="6"/>
        <v>2043.982683982684</v>
      </c>
      <c r="AI128" t="s">
        <v>110</v>
      </c>
      <c r="AO128" t="s">
        <v>1383</v>
      </c>
    </row>
    <row r="129" spans="1:50" x14ac:dyDescent="0.3">
      <c r="C129" t="s">
        <v>300</v>
      </c>
      <c r="E129" s="1">
        <v>5.0000000000000001E-4</v>
      </c>
      <c r="G129" s="44">
        <f t="shared" si="5"/>
        <v>10</v>
      </c>
      <c r="K129" s="14">
        <f>H89</f>
        <v>127.46959888687017</v>
      </c>
      <c r="Q129" s="44" t="s">
        <v>238</v>
      </c>
      <c r="R129" s="44">
        <f>2*S120</f>
        <v>1277.7794171479227</v>
      </c>
      <c r="S129" s="44" t="s">
        <v>260</v>
      </c>
      <c r="U129" t="s">
        <v>1085</v>
      </c>
      <c r="AD129" s="6" t="s">
        <v>23</v>
      </c>
      <c r="AF129" s="1">
        <f>'Draft Calculations'!T16</f>
        <v>1.8610672816280292E-2</v>
      </c>
      <c r="AG129">
        <f t="shared" si="6"/>
        <v>337.9698183436501</v>
      </c>
      <c r="AI129" t="s">
        <v>23</v>
      </c>
      <c r="AP129" t="s">
        <v>1384</v>
      </c>
    </row>
    <row r="130" spans="1:50" x14ac:dyDescent="0.3">
      <c r="A130" s="8" t="s">
        <v>1583</v>
      </c>
      <c r="B130" s="8"/>
      <c r="C130" s="8" t="s">
        <v>299</v>
      </c>
      <c r="E130" s="1">
        <v>7.1999999999999998E-3</v>
      </c>
      <c r="G130" s="44">
        <f t="shared" si="5"/>
        <v>144</v>
      </c>
      <c r="AD130" s="6" t="s">
        <v>812</v>
      </c>
      <c r="AF130" s="1">
        <f>'Draft Calculations'!T17</f>
        <v>1.5576323987538941E-2</v>
      </c>
      <c r="AG130">
        <f t="shared" si="6"/>
        <v>282.86604361370718</v>
      </c>
      <c r="AI130" t="s">
        <v>829</v>
      </c>
    </row>
    <row r="131" spans="1:50" x14ac:dyDescent="0.3">
      <c r="E131" s="1">
        <f>SUM(E114:E130)</f>
        <v>0.99999999999999978</v>
      </c>
      <c r="P131" t="s">
        <v>137</v>
      </c>
      <c r="Q131" t="s">
        <v>1337</v>
      </c>
      <c r="R131">
        <v>3</v>
      </c>
      <c r="S131" t="s">
        <v>91</v>
      </c>
      <c r="U131" t="s">
        <v>1458</v>
      </c>
      <c r="W131" t="s">
        <v>1459</v>
      </c>
      <c r="AD131" s="6" t="s">
        <v>813</v>
      </c>
      <c r="AF131" s="1">
        <f>'Draft Calculations'!T18</f>
        <v>2.4274790629930817E-4</v>
      </c>
      <c r="AG131">
        <f t="shared" si="6"/>
        <v>4.4083019783954365</v>
      </c>
      <c r="AI131" t="s">
        <v>995</v>
      </c>
      <c r="AO131" t="s">
        <v>1385</v>
      </c>
      <c r="AP131" t="s">
        <v>1386</v>
      </c>
      <c r="AQ131" t="s">
        <v>1</v>
      </c>
      <c r="AR131" t="s">
        <v>848</v>
      </c>
      <c r="AT131" t="s">
        <v>1388</v>
      </c>
      <c r="AU131" t="s">
        <v>759</v>
      </c>
      <c r="AV131" t="s">
        <v>1389</v>
      </c>
    </row>
    <row r="132" spans="1:50" x14ac:dyDescent="0.3">
      <c r="Q132" t="s">
        <v>1457</v>
      </c>
      <c r="R132">
        <f>ROUND(S116/R131,0)*S115+S116</f>
        <v>239.86522505743108</v>
      </c>
      <c r="AD132" s="6" t="s">
        <v>138</v>
      </c>
      <c r="AF132" s="1">
        <f>'Draft Calculations'!T19</f>
        <v>8.0915968766436051E-4</v>
      </c>
      <c r="AG132">
        <f t="shared" si="6"/>
        <v>14.694339927984787</v>
      </c>
      <c r="AI132" t="s">
        <v>138</v>
      </c>
      <c r="AO132">
        <v>1500</v>
      </c>
      <c r="AP132">
        <v>3000</v>
      </c>
      <c r="AQ132">
        <v>3620</v>
      </c>
      <c r="AR132" t="s">
        <v>1387</v>
      </c>
      <c r="AT132">
        <v>96699</v>
      </c>
      <c r="AU132">
        <v>1500</v>
      </c>
      <c r="AV132">
        <v>0.89</v>
      </c>
      <c r="AX132">
        <f>4*AQ132</f>
        <v>14480</v>
      </c>
    </row>
    <row r="133" spans="1:50" x14ac:dyDescent="0.3">
      <c r="AD133" s="6" t="s">
        <v>798</v>
      </c>
      <c r="AF133" s="1">
        <f>'Draft Calculations'!T25</f>
        <v>0.72419792045960274</v>
      </c>
      <c r="AG133">
        <f>AF133*$AF$122*AH133</f>
        <v>47345.163247966986</v>
      </c>
      <c r="AH133">
        <v>3.6</v>
      </c>
      <c r="AI133" t="s">
        <v>821</v>
      </c>
      <c r="AK133">
        <f>AF133*AF122</f>
        <v>13151.434235546385</v>
      </c>
      <c r="AO133">
        <v>1000</v>
      </c>
      <c r="AP133">
        <v>690</v>
      </c>
      <c r="AQ133">
        <v>4540</v>
      </c>
      <c r="AR133" t="s">
        <v>1390</v>
      </c>
      <c r="AT133">
        <v>15453</v>
      </c>
      <c r="AU133">
        <v>1600</v>
      </c>
      <c r="AV133">
        <v>0.87</v>
      </c>
      <c r="AX133">
        <f>4*AQ133</f>
        <v>18160</v>
      </c>
    </row>
    <row r="134" spans="1:50" x14ac:dyDescent="0.3">
      <c r="C134" s="12" t="s">
        <v>861</v>
      </c>
      <c r="D134" s="12"/>
      <c r="E134" s="12"/>
      <c r="F134" s="12"/>
      <c r="G134" s="12"/>
      <c r="H134" s="12"/>
      <c r="O134" s="41" t="s">
        <v>247</v>
      </c>
      <c r="P134" s="12"/>
      <c r="Q134" s="12"/>
      <c r="R134" s="12"/>
      <c r="S134" s="12"/>
      <c r="T134" s="12"/>
      <c r="U134" s="12"/>
      <c r="V134" s="12"/>
      <c r="W134" s="12"/>
      <c r="X134" s="12"/>
      <c r="Y134" s="12"/>
      <c r="AD134" s="6" t="s">
        <v>819</v>
      </c>
      <c r="AF134" s="1">
        <f>'Draft Calculations'!T26</f>
        <v>0.33580127038070962</v>
      </c>
      <c r="AG134">
        <f>AF134*$AF$122*AH134</f>
        <v>21953.343852409274</v>
      </c>
      <c r="AH134">
        <v>3.6</v>
      </c>
      <c r="AI134" t="s">
        <v>621</v>
      </c>
      <c r="AK134">
        <f>AF134*AF122</f>
        <v>6098.1510701136867</v>
      </c>
    </row>
    <row r="135" spans="1:50" x14ac:dyDescent="0.3">
      <c r="D135" t="s">
        <v>862</v>
      </c>
      <c r="F135" s="294">
        <v>0.6</v>
      </c>
      <c r="P135" t="s">
        <v>1086</v>
      </c>
      <c r="AD135" s="6" t="s">
        <v>124</v>
      </c>
      <c r="AG135">
        <f>AG127</f>
        <v>2032.9619290366952</v>
      </c>
      <c r="AI135" t="s">
        <v>124</v>
      </c>
    </row>
    <row r="136" spans="1:50" x14ac:dyDescent="0.3">
      <c r="D136" t="s">
        <v>952</v>
      </c>
      <c r="F136" s="267">
        <f>'Collective imput'!D27</f>
        <v>0.05</v>
      </c>
      <c r="P136" s="38"/>
      <c r="AD136" s="6" t="s">
        <v>25</v>
      </c>
      <c r="AG136">
        <f>AG125</f>
        <v>10353.631913258081</v>
      </c>
      <c r="AI136" t="s">
        <v>822</v>
      </c>
    </row>
    <row r="137" spans="1:50" x14ac:dyDescent="0.3">
      <c r="D137" t="s">
        <v>548</v>
      </c>
      <c r="F137" s="56">
        <v>4.7699999999999999E-2</v>
      </c>
      <c r="P137" s="38"/>
      <c r="AF137" s="1"/>
    </row>
    <row r="138" spans="1:50" x14ac:dyDescent="0.3">
      <c r="D138" t="s">
        <v>2</v>
      </c>
      <c r="F138" s="262">
        <f>'Collective imput'!D26</f>
        <v>4.4999999999999998E-2</v>
      </c>
      <c r="P138" s="38"/>
      <c r="AC138" t="s">
        <v>825</v>
      </c>
      <c r="AK138" t="s">
        <v>1751</v>
      </c>
    </row>
    <row r="139" spans="1:50" x14ac:dyDescent="0.3">
      <c r="C139" s="12" t="s">
        <v>953</v>
      </c>
      <c r="D139" s="12"/>
      <c r="E139" s="12"/>
      <c r="F139" s="12"/>
      <c r="G139" s="12"/>
      <c r="H139" s="12"/>
      <c r="P139" s="38"/>
      <c r="Q139" s="44" t="s">
        <v>1</v>
      </c>
      <c r="R139" s="44"/>
      <c r="T139" s="44">
        <f>X109*X139</f>
        <v>102403.43612726801</v>
      </c>
      <c r="X139" s="147">
        <v>0.8</v>
      </c>
      <c r="AD139" s="6" t="s">
        <v>797</v>
      </c>
      <c r="AF139" s="1">
        <f>'Draft Calculations'!T20</f>
        <v>2.8320589068252618E-4</v>
      </c>
      <c r="AG139">
        <f>AF139*$AF$122</f>
        <v>5.1430189747946757</v>
      </c>
      <c r="AI139" t="s">
        <v>621</v>
      </c>
    </row>
    <row r="140" spans="1:50" x14ac:dyDescent="0.3">
      <c r="D140" t="s">
        <v>954</v>
      </c>
      <c r="F140" s="294">
        <v>0.6</v>
      </c>
      <c r="P140" s="38"/>
      <c r="Q140" t="s">
        <v>1481</v>
      </c>
      <c r="S140" s="1">
        <v>1</v>
      </c>
      <c r="T140">
        <f>S140*T139</f>
        <v>102403.43612726801</v>
      </c>
      <c r="AD140" s="6" t="s">
        <v>814</v>
      </c>
      <c r="AF140" s="1">
        <f>'Draft Calculations'!T21</f>
        <v>1.1732815471133227E-3</v>
      </c>
      <c r="AG140">
        <f>AF140*$AF$122</f>
        <v>21.306792895577942</v>
      </c>
      <c r="AI140" t="s">
        <v>621</v>
      </c>
    </row>
    <row r="141" spans="1:50" x14ac:dyDescent="0.3">
      <c r="D141" t="s">
        <v>548</v>
      </c>
      <c r="F141" s="56">
        <v>4.7699999999999999E-2</v>
      </c>
      <c r="Q141" t="s">
        <v>138</v>
      </c>
      <c r="R141" s="1"/>
      <c r="S141" s="1">
        <v>1E-3</v>
      </c>
      <c r="T141">
        <f>S141*T139</f>
        <v>102.40343612726801</v>
      </c>
      <c r="AD141" s="6" t="s">
        <v>815</v>
      </c>
      <c r="AF141" s="1">
        <f>'Draft Calculations'!T22</f>
        <v>4.8549581259861634E-4</v>
      </c>
      <c r="AG141">
        <f>AF141*$AF$122</f>
        <v>8.8166039567908729</v>
      </c>
      <c r="AI141" t="s">
        <v>621</v>
      </c>
    </row>
    <row r="142" spans="1:50" x14ac:dyDescent="0.3">
      <c r="D142" t="s">
        <v>952</v>
      </c>
      <c r="F142" s="267">
        <f>'Collective imput'!D44</f>
        <v>0.05</v>
      </c>
      <c r="Q142" t="s">
        <v>636</v>
      </c>
      <c r="T142">
        <v>0</v>
      </c>
      <c r="U142" t="s">
        <v>1507</v>
      </c>
      <c r="AD142" s="6" t="s">
        <v>816</v>
      </c>
      <c r="AF142" s="1">
        <f>'Draft Calculations'!T23</f>
        <v>6.1212930371808874E-2</v>
      </c>
      <c r="AG142">
        <f>AF142*$AF$122</f>
        <v>1111.6268155520493</v>
      </c>
      <c r="AI142" t="s">
        <v>621</v>
      </c>
    </row>
    <row r="143" spans="1:50" x14ac:dyDescent="0.3">
      <c r="D143" t="s">
        <v>2</v>
      </c>
      <c r="F143" s="262">
        <f>'Collective imput'!D43</f>
        <v>4.4999999999999998E-2</v>
      </c>
      <c r="Q143" t="s">
        <v>7</v>
      </c>
      <c r="S143" s="147">
        <v>1</v>
      </c>
      <c r="T143">
        <f>S143*T140</f>
        <v>102403.43612726801</v>
      </c>
    </row>
    <row r="145" spans="2:41" x14ac:dyDescent="0.3">
      <c r="C145" t="s">
        <v>1319</v>
      </c>
      <c r="Q145" s="44" t="s">
        <v>1</v>
      </c>
      <c r="R145" s="44"/>
      <c r="S145" s="44">
        <f>T139</f>
        <v>102403.43612726801</v>
      </c>
    </row>
    <row r="146" spans="2:41" x14ac:dyDescent="0.3">
      <c r="Q146" t="s">
        <v>1481</v>
      </c>
      <c r="S146" s="147"/>
    </row>
    <row r="148" spans="2:41" x14ac:dyDescent="0.3">
      <c r="C148" t="s">
        <v>1606</v>
      </c>
      <c r="G148" s="1">
        <f>1-F136-F138</f>
        <v>0.90499999999999992</v>
      </c>
      <c r="H148" t="s">
        <v>6</v>
      </c>
      <c r="Q148" s="60" t="s">
        <v>1481</v>
      </c>
    </row>
    <row r="149" spans="2:41" x14ac:dyDescent="0.3">
      <c r="G149" s="1">
        <f>1-F142-F143</f>
        <v>0.90499999999999992</v>
      </c>
      <c r="H149" t="s">
        <v>123</v>
      </c>
      <c r="Q149" s="60" t="s">
        <v>1482</v>
      </c>
    </row>
    <row r="153" spans="2:41" x14ac:dyDescent="0.3">
      <c r="B153" s="41" t="s">
        <v>1150</v>
      </c>
      <c r="C153" s="12"/>
      <c r="D153" s="12"/>
      <c r="E153" s="12"/>
      <c r="F153" s="12" t="s">
        <v>1156</v>
      </c>
      <c r="O153" s="41" t="s">
        <v>1144</v>
      </c>
      <c r="P153" s="12"/>
      <c r="Q153" s="12"/>
      <c r="R153" s="12" t="s">
        <v>1422</v>
      </c>
      <c r="S153" s="12"/>
      <c r="T153" s="12"/>
      <c r="U153" s="323"/>
      <c r="V153" s="12"/>
      <c r="W153" s="12"/>
      <c r="X153" s="12">
        <f>T155+T156</f>
        <v>32800</v>
      </c>
      <c r="Y153" s="12"/>
      <c r="AC153" s="41" t="s">
        <v>211</v>
      </c>
      <c r="AD153" s="12"/>
      <c r="AE153" s="12"/>
      <c r="AF153" s="12"/>
      <c r="AG153" s="12"/>
      <c r="AH153" s="12"/>
      <c r="AI153" s="12"/>
      <c r="AJ153" s="12"/>
      <c r="AK153" s="12"/>
      <c r="AL153" s="12"/>
    </row>
    <row r="154" spans="2:41" x14ac:dyDescent="0.3">
      <c r="C154" t="s">
        <v>1151</v>
      </c>
      <c r="E154">
        <f>SUM(F155:F175)</f>
        <v>873734.86721845192</v>
      </c>
      <c r="Q154" s="42" t="s">
        <v>5</v>
      </c>
      <c r="R154">
        <v>5</v>
      </c>
      <c r="S154" t="s">
        <v>1288</v>
      </c>
      <c r="T154" s="34">
        <f>G112/1000</f>
        <v>20</v>
      </c>
      <c r="U154">
        <v>1</v>
      </c>
      <c r="V154">
        <f>T154/R154</f>
        <v>4</v>
      </c>
      <c r="AD154" s="323" t="s">
        <v>1636</v>
      </c>
      <c r="AE154" s="323"/>
      <c r="AF154" s="323"/>
    </row>
    <row r="155" spans="2:41" x14ac:dyDescent="0.3">
      <c r="D155" t="s">
        <v>1158</v>
      </c>
      <c r="F155">
        <f>G295</f>
        <v>1240.0568181818182</v>
      </c>
      <c r="P155" s="42" t="s">
        <v>1423</v>
      </c>
      <c r="R155">
        <v>12000</v>
      </c>
      <c r="S155" t="s">
        <v>65</v>
      </c>
      <c r="T155" s="60">
        <f>R155*(1+(V154-1)*0.3)</f>
        <v>22800</v>
      </c>
      <c r="U155" t="s">
        <v>65</v>
      </c>
      <c r="V155" t="s">
        <v>1477</v>
      </c>
      <c r="AD155" s="12" t="s">
        <v>835</v>
      </c>
      <c r="AE155" s="12"/>
      <c r="AF155" s="12"/>
      <c r="AG155" s="12"/>
      <c r="AH155" s="12"/>
      <c r="AI155" s="12"/>
      <c r="AJ155" s="12"/>
      <c r="AK155" s="12"/>
      <c r="AL155" s="12"/>
      <c r="AM155" s="12"/>
      <c r="AN155" s="60">
        <f>SUM(AN156:AN165)</f>
        <v>34850</v>
      </c>
      <c r="AO155" s="60"/>
    </row>
    <row r="156" spans="2:41" x14ac:dyDescent="0.3">
      <c r="D156" t="s">
        <v>1157</v>
      </c>
      <c r="F156">
        <f>G300</f>
        <v>1947.8766950169672</v>
      </c>
      <c r="P156" s="42" t="s">
        <v>1425</v>
      </c>
      <c r="R156">
        <v>10000</v>
      </c>
      <c r="S156" t="s">
        <v>65</v>
      </c>
      <c r="T156" s="60">
        <f>R156*U154</f>
        <v>10000</v>
      </c>
      <c r="U156" t="s">
        <v>65</v>
      </c>
      <c r="V156" t="s">
        <v>1478</v>
      </c>
      <c r="AD156" s="12"/>
      <c r="AE156" s="12"/>
      <c r="AF156" s="12"/>
      <c r="AG156" s="12"/>
      <c r="AH156" s="12"/>
      <c r="AI156" s="12"/>
      <c r="AJ156" s="12"/>
      <c r="AK156" s="12"/>
      <c r="AL156" s="12"/>
      <c r="AM156" s="12"/>
      <c r="AN156" s="60">
        <v>1500</v>
      </c>
      <c r="AO156" s="60" t="s">
        <v>6</v>
      </c>
    </row>
    <row r="157" spans="2:41" x14ac:dyDescent="0.3">
      <c r="D157" t="s">
        <v>5</v>
      </c>
      <c r="F157">
        <f>G306</f>
        <v>20000</v>
      </c>
      <c r="P157" s="42" t="s">
        <v>1426</v>
      </c>
      <c r="R157">
        <v>5</v>
      </c>
      <c r="S157" t="s">
        <v>65</v>
      </c>
      <c r="T157" s="60">
        <v>5</v>
      </c>
      <c r="U157" t="s">
        <v>65</v>
      </c>
      <c r="V157" t="s">
        <v>1427</v>
      </c>
      <c r="AD157" s="12"/>
      <c r="AE157" s="12" t="s">
        <v>839</v>
      </c>
      <c r="AF157" s="12"/>
      <c r="AG157" s="12"/>
      <c r="AH157" s="12"/>
      <c r="AI157" s="12"/>
      <c r="AJ157" s="12"/>
      <c r="AK157" s="12">
        <f>AI189</f>
        <v>175000</v>
      </c>
      <c r="AL157" s="12"/>
      <c r="AM157" s="12"/>
      <c r="AN157" s="60"/>
      <c r="AO157" s="60" t="s">
        <v>1489</v>
      </c>
    </row>
    <row r="158" spans="2:41" x14ac:dyDescent="0.3">
      <c r="D158" t="s">
        <v>236</v>
      </c>
      <c r="F158">
        <f>G333+G338</f>
        <v>128106.69859521228</v>
      </c>
      <c r="P158" s="42" t="s">
        <v>138</v>
      </c>
      <c r="R158">
        <f>(R156+R155)*V158</f>
        <v>22</v>
      </c>
      <c r="T158" s="60">
        <f>(T156+T155)*V158</f>
        <v>32.799999999999997</v>
      </c>
      <c r="U158" t="s">
        <v>65</v>
      </c>
      <c r="V158" s="1">
        <v>1E-3</v>
      </c>
      <c r="W158" t="s">
        <v>1428</v>
      </c>
      <c r="AD158" s="12" t="s">
        <v>836</v>
      </c>
      <c r="AE158" s="12"/>
      <c r="AF158" s="301">
        <v>0.5</v>
      </c>
      <c r="AG158" s="12" t="s">
        <v>110</v>
      </c>
      <c r="AH158" s="12"/>
      <c r="AI158" s="12"/>
      <c r="AJ158" s="12"/>
      <c r="AK158" s="12">
        <f>AF158*$AK$157</f>
        <v>87500</v>
      </c>
      <c r="AL158" s="12"/>
      <c r="AM158" s="12"/>
      <c r="AN158" s="60">
        <v>250</v>
      </c>
      <c r="AO158" s="60" t="s">
        <v>1485</v>
      </c>
    </row>
    <row r="159" spans="2:41" x14ac:dyDescent="0.3">
      <c r="D159" t="s">
        <v>1144</v>
      </c>
      <c r="F159">
        <f>G343</f>
        <v>32800</v>
      </c>
      <c r="P159" s="42" t="s">
        <v>328</v>
      </c>
      <c r="T159" s="60"/>
      <c r="AD159" s="12"/>
      <c r="AE159" s="12"/>
      <c r="AF159" s="301">
        <v>0.3</v>
      </c>
      <c r="AG159" s="12" t="s">
        <v>114</v>
      </c>
      <c r="AH159" s="12"/>
      <c r="AI159" s="12"/>
      <c r="AJ159" s="12"/>
      <c r="AK159" s="12">
        <f t="shared" ref="AK159:AK161" si="7">AF159*$AK$157</f>
        <v>52500</v>
      </c>
      <c r="AL159" s="12"/>
      <c r="AM159" s="12"/>
      <c r="AN159" s="60"/>
      <c r="AO159" s="60" t="s">
        <v>1239</v>
      </c>
    </row>
    <row r="160" spans="2:41" x14ac:dyDescent="0.3">
      <c r="D160" t="s">
        <v>1619</v>
      </c>
      <c r="F160">
        <f>T220</f>
        <v>44460</v>
      </c>
      <c r="AD160" s="12"/>
      <c r="AE160" s="12"/>
      <c r="AF160" s="301">
        <v>0.2</v>
      </c>
      <c r="AG160" s="12" t="s">
        <v>837</v>
      </c>
      <c r="AH160" s="12"/>
      <c r="AI160" s="12"/>
      <c r="AJ160" s="12"/>
      <c r="AK160" s="12">
        <f t="shared" si="7"/>
        <v>35000</v>
      </c>
      <c r="AL160" s="12"/>
      <c r="AM160" s="12"/>
      <c r="AN160" s="60">
        <v>2000</v>
      </c>
      <c r="AO160" s="60" t="s">
        <v>1487</v>
      </c>
    </row>
    <row r="161" spans="3:41" x14ac:dyDescent="0.3">
      <c r="D161" t="s">
        <v>253</v>
      </c>
      <c r="F161">
        <f>G374</f>
        <v>22700</v>
      </c>
      <c r="P161" s="42" t="s">
        <v>1509</v>
      </c>
      <c r="AD161" s="12"/>
      <c r="AE161" s="12" t="s">
        <v>838</v>
      </c>
      <c r="AF161" s="68">
        <v>1E-3</v>
      </c>
      <c r="AG161" s="12" t="s">
        <v>138</v>
      </c>
      <c r="AH161" s="12"/>
      <c r="AI161" s="12"/>
      <c r="AJ161" s="12"/>
      <c r="AK161" s="12">
        <f t="shared" si="7"/>
        <v>175</v>
      </c>
      <c r="AL161" s="12"/>
      <c r="AM161" s="12"/>
      <c r="AN161" s="60"/>
      <c r="AO161" s="60" t="s">
        <v>1239</v>
      </c>
    </row>
    <row r="162" spans="3:41" x14ac:dyDescent="0.3">
      <c r="D162" t="s">
        <v>1152</v>
      </c>
      <c r="F162">
        <f>G396</f>
        <v>18160</v>
      </c>
      <c r="Q162" t="s">
        <v>24</v>
      </c>
      <c r="S162" s="147">
        <v>0.4</v>
      </c>
      <c r="T162">
        <f>S162*$T$156</f>
        <v>4000</v>
      </c>
      <c r="AD162" s="12"/>
      <c r="AE162" s="12"/>
      <c r="AF162" s="12"/>
      <c r="AG162" s="12"/>
      <c r="AH162" s="12"/>
      <c r="AI162" s="12"/>
      <c r="AJ162" s="12"/>
      <c r="AK162" s="12"/>
      <c r="AL162" s="12"/>
      <c r="AM162" s="12"/>
      <c r="AN162" s="60">
        <v>30000</v>
      </c>
      <c r="AO162" s="60" t="s">
        <v>1486</v>
      </c>
    </row>
    <row r="163" spans="3:41" x14ac:dyDescent="0.3">
      <c r="D163" t="s">
        <v>252</v>
      </c>
      <c r="F163">
        <f>G415</f>
        <v>0</v>
      </c>
      <c r="Q163" t="s">
        <v>1510</v>
      </c>
      <c r="S163" s="147">
        <v>0.4</v>
      </c>
      <c r="T163">
        <f t="shared" ref="T163:T167" si="8">S163*$T$156</f>
        <v>4000</v>
      </c>
      <c r="AD163" s="12"/>
      <c r="AE163" s="12"/>
      <c r="AF163" s="12"/>
      <c r="AG163" s="12"/>
      <c r="AH163" s="12"/>
      <c r="AI163" s="12"/>
      <c r="AJ163" s="12"/>
      <c r="AK163" s="12"/>
      <c r="AL163" s="12"/>
      <c r="AM163" s="12"/>
      <c r="AN163" s="60"/>
      <c r="AO163" s="60" t="s">
        <v>1239</v>
      </c>
    </row>
    <row r="164" spans="3:41" x14ac:dyDescent="0.3">
      <c r="D164" t="s">
        <v>330</v>
      </c>
      <c r="F164">
        <f>G420</f>
        <v>17491.5</v>
      </c>
      <c r="Q164" t="s">
        <v>108</v>
      </c>
      <c r="S164" s="147">
        <v>0.2</v>
      </c>
      <c r="T164">
        <f t="shared" si="8"/>
        <v>2000</v>
      </c>
      <c r="AD164" s="12" t="s">
        <v>1188</v>
      </c>
      <c r="AE164" s="12"/>
      <c r="AF164" s="12"/>
      <c r="AG164" s="12"/>
      <c r="AH164" s="12"/>
      <c r="AI164" s="12"/>
      <c r="AJ164" s="12"/>
      <c r="AK164" s="12"/>
      <c r="AL164" s="12"/>
      <c r="AM164" s="12"/>
      <c r="AN164" s="60">
        <f>275*4</f>
        <v>1100</v>
      </c>
      <c r="AO164" s="60" t="s">
        <v>1488</v>
      </c>
    </row>
    <row r="165" spans="3:41" x14ac:dyDescent="0.3">
      <c r="D165" t="s">
        <v>211</v>
      </c>
      <c r="F165">
        <f>G424</f>
        <v>34850</v>
      </c>
      <c r="Q165" t="s">
        <v>25</v>
      </c>
      <c r="S165" s="147">
        <f>S162</f>
        <v>0.4</v>
      </c>
      <c r="T165">
        <f t="shared" si="8"/>
        <v>4000</v>
      </c>
      <c r="AD165" s="12"/>
      <c r="AE165" s="12" t="s">
        <v>1189</v>
      </c>
      <c r="AF165" s="12"/>
      <c r="AG165" s="12"/>
      <c r="AH165" s="12"/>
      <c r="AI165" s="12"/>
      <c r="AJ165" s="12"/>
      <c r="AK165" s="12"/>
      <c r="AL165" s="12"/>
      <c r="AM165" s="12"/>
      <c r="AN165" s="60"/>
      <c r="AO165" s="60" t="s">
        <v>1239</v>
      </c>
    </row>
    <row r="166" spans="3:41" x14ac:dyDescent="0.3">
      <c r="D166" t="s">
        <v>358</v>
      </c>
      <c r="F166">
        <f>G445</f>
        <v>8000</v>
      </c>
      <c r="Q166" t="s">
        <v>1511</v>
      </c>
      <c r="S166" s="147">
        <f>S163</f>
        <v>0.4</v>
      </c>
      <c r="T166">
        <f t="shared" si="8"/>
        <v>4000</v>
      </c>
      <c r="AD166" s="12"/>
      <c r="AE166" s="12" t="s">
        <v>1190</v>
      </c>
      <c r="AF166" s="12"/>
      <c r="AG166" s="12"/>
      <c r="AH166" s="12"/>
      <c r="AI166" s="12"/>
      <c r="AJ166" s="12"/>
      <c r="AK166" s="12"/>
      <c r="AL166" s="12"/>
      <c r="AM166" s="12"/>
      <c r="AN166" s="60">
        <f>0.1%*AN155</f>
        <v>34.85</v>
      </c>
      <c r="AO166" s="60" t="s">
        <v>138</v>
      </c>
    </row>
    <row r="167" spans="3:41" x14ac:dyDescent="0.3">
      <c r="D167" t="s">
        <v>1060</v>
      </c>
      <c r="F167">
        <f>G458</f>
        <v>0</v>
      </c>
      <c r="Q167" t="s">
        <v>7</v>
      </c>
      <c r="S167" s="147">
        <f>S164</f>
        <v>0.2</v>
      </c>
      <c r="T167">
        <f t="shared" si="8"/>
        <v>2000</v>
      </c>
      <c r="AC167" t="s">
        <v>1192</v>
      </c>
      <c r="AD167" s="12"/>
      <c r="AE167" s="12"/>
      <c r="AF167" s="12"/>
      <c r="AG167" s="12"/>
      <c r="AH167" s="12"/>
      <c r="AI167" s="12"/>
      <c r="AJ167" s="12"/>
      <c r="AK167" s="12"/>
      <c r="AL167" s="12"/>
      <c r="AM167" s="12"/>
    </row>
    <row r="168" spans="3:41" x14ac:dyDescent="0.3">
      <c r="D168" t="s">
        <v>1153</v>
      </c>
      <c r="F168">
        <f>G462</f>
        <v>500</v>
      </c>
      <c r="AD168" s="12" t="s">
        <v>1191</v>
      </c>
      <c r="AE168" s="12"/>
      <c r="AF168" s="12"/>
      <c r="AG168" s="12"/>
      <c r="AH168" s="12"/>
      <c r="AI168" s="12"/>
      <c r="AJ168" s="12"/>
      <c r="AK168" s="12"/>
      <c r="AL168" s="12"/>
      <c r="AM168" s="12"/>
    </row>
    <row r="169" spans="3:41" x14ac:dyDescent="0.3">
      <c r="D169" t="s">
        <v>1595</v>
      </c>
      <c r="F169">
        <f>G466</f>
        <v>96789.333333333343</v>
      </c>
      <c r="AD169" s="12" t="s">
        <v>1193</v>
      </c>
      <c r="AE169" s="12"/>
      <c r="AF169" s="12"/>
      <c r="AG169" s="12">
        <v>55</v>
      </c>
      <c r="AH169" s="12"/>
      <c r="AI169" s="12"/>
      <c r="AJ169" s="12"/>
      <c r="AK169" s="12"/>
      <c r="AL169" s="12"/>
      <c r="AM169" s="12"/>
    </row>
    <row r="170" spans="3:41" x14ac:dyDescent="0.3">
      <c r="D170" s="38" t="s">
        <v>1603</v>
      </c>
      <c r="F170">
        <f>G483</f>
        <v>40000</v>
      </c>
      <c r="O170" s="41" t="s">
        <v>253</v>
      </c>
      <c r="P170" s="12"/>
      <c r="Q170" s="12"/>
      <c r="R170" s="12"/>
      <c r="S170" s="12"/>
      <c r="T170" s="12"/>
      <c r="U170" s="12"/>
      <c r="V170" s="12" t="s">
        <v>290</v>
      </c>
      <c r="W170" s="12"/>
      <c r="X170" s="12">
        <f>U175+V182+V184+U190</f>
        <v>22700</v>
      </c>
      <c r="Y170" s="12" t="s">
        <v>65</v>
      </c>
      <c r="AD170" s="12"/>
      <c r="AE170" s="12" t="s">
        <v>1194</v>
      </c>
      <c r="AF170" s="12"/>
      <c r="AG170" s="12">
        <f>AG169*P78</f>
        <v>4.0512780090178593</v>
      </c>
      <c r="AH170" s="12" t="s">
        <v>100</v>
      </c>
      <c r="AI170" s="12" t="s">
        <v>1196</v>
      </c>
      <c r="AJ170" s="12"/>
      <c r="AK170" s="12"/>
      <c r="AL170" s="12"/>
      <c r="AM170" s="12"/>
    </row>
    <row r="171" spans="3:41" x14ac:dyDescent="0.3">
      <c r="D171" t="s">
        <v>1586</v>
      </c>
      <c r="F171">
        <f>G490</f>
        <v>3384</v>
      </c>
      <c r="P171" t="s">
        <v>261</v>
      </c>
      <c r="T171" t="s">
        <v>262</v>
      </c>
      <c r="U171" t="s">
        <v>263</v>
      </c>
      <c r="W171" t="s">
        <v>264</v>
      </c>
      <c r="AD171" s="12" t="s">
        <v>1197</v>
      </c>
      <c r="AE171" s="12"/>
      <c r="AF171" s="12"/>
      <c r="AG171" s="12"/>
      <c r="AH171" s="12"/>
      <c r="AI171" s="12"/>
      <c r="AJ171" s="12"/>
      <c r="AK171" s="12"/>
      <c r="AL171" s="12"/>
      <c r="AM171" s="12"/>
    </row>
    <row r="172" spans="3:41" x14ac:dyDescent="0.3">
      <c r="D172" t="s">
        <v>1604</v>
      </c>
      <c r="F172">
        <f>G497</f>
        <v>19560.693333333333</v>
      </c>
      <c r="AD172" s="12"/>
      <c r="AE172" s="12"/>
      <c r="AF172" s="12"/>
      <c r="AG172" s="12">
        <f>N71/(PI()*AG170)</f>
        <v>23.571072052467539</v>
      </c>
      <c r="AH172" s="12">
        <f>ROUND(AG172,0)+1</f>
        <v>25</v>
      </c>
      <c r="AI172" s="12"/>
      <c r="AJ172" s="12"/>
      <c r="AK172" s="12"/>
      <c r="AL172" s="12"/>
      <c r="AM172" s="12"/>
    </row>
    <row r="173" spans="3:41" x14ac:dyDescent="0.3">
      <c r="D173" t="s">
        <v>50</v>
      </c>
      <c r="F173">
        <f>G518</f>
        <v>338165.22844337416</v>
      </c>
      <c r="P173" s="8" t="s">
        <v>1341</v>
      </c>
      <c r="Q173" s="8"/>
      <c r="R173" s="8"/>
      <c r="S173" s="8"/>
      <c r="T173" s="8"/>
      <c r="U173" s="8"/>
      <c r="V173" s="8"/>
      <c r="W173" s="8"/>
      <c r="X173" s="8"/>
      <c r="Y173" s="8"/>
      <c r="AD173" s="12" t="s">
        <v>1198</v>
      </c>
      <c r="AE173" s="12"/>
      <c r="AF173" s="12"/>
      <c r="AG173" s="12"/>
      <c r="AH173" s="12"/>
      <c r="AI173" s="12"/>
      <c r="AJ173" s="12"/>
      <c r="AK173" s="12"/>
      <c r="AL173" s="12"/>
      <c r="AM173" s="12"/>
    </row>
    <row r="174" spans="3:41" x14ac:dyDescent="0.3">
      <c r="D174" t="s">
        <v>1154</v>
      </c>
      <c r="F174">
        <f>G524</f>
        <v>7147.9800000000005</v>
      </c>
      <c r="AD174" s="12"/>
      <c r="AE174" s="12"/>
      <c r="AF174" s="12"/>
      <c r="AG174" s="12">
        <f>AH172*P78</f>
        <v>1.8414900040990267</v>
      </c>
      <c r="AH174" s="12" t="s">
        <v>100</v>
      </c>
      <c r="AI174" s="12">
        <f>AG174*1.055</f>
        <v>1.942771954324473</v>
      </c>
      <c r="AJ174" s="12"/>
      <c r="AK174" s="12"/>
      <c r="AL174" s="12"/>
      <c r="AM174" s="12"/>
    </row>
    <row r="175" spans="3:41" x14ac:dyDescent="0.3">
      <c r="D175" t="s">
        <v>1155</v>
      </c>
      <c r="F175">
        <f>G531</f>
        <v>38431.5</v>
      </c>
      <c r="Q175" t="s">
        <v>832</v>
      </c>
      <c r="U175">
        <f>4*190</f>
        <v>760</v>
      </c>
      <c r="V175" t="s">
        <v>65</v>
      </c>
      <c r="AD175" s="12" t="s">
        <v>1199</v>
      </c>
      <c r="AE175" s="12"/>
      <c r="AF175" s="12">
        <v>1.4</v>
      </c>
      <c r="AG175" s="12" t="s">
        <v>237</v>
      </c>
      <c r="AH175" s="12">
        <v>0.8</v>
      </c>
      <c r="AI175" s="12" t="s">
        <v>89</v>
      </c>
      <c r="AJ175" s="12" t="s">
        <v>1200</v>
      </c>
      <c r="AK175" s="12"/>
      <c r="AL175" s="12">
        <v>35000</v>
      </c>
      <c r="AM175" s="12" t="s">
        <v>65</v>
      </c>
    </row>
    <row r="176" spans="3:41" x14ac:dyDescent="0.3">
      <c r="C176" t="s">
        <v>51</v>
      </c>
      <c r="E176">
        <f>SUM(F177:F180)</f>
        <v>39232.63293548848</v>
      </c>
      <c r="J176">
        <f>(F155+F156)/H179</f>
        <v>0.10402864445179504</v>
      </c>
      <c r="Q176" t="s">
        <v>833</v>
      </c>
      <c r="R176" s="147">
        <v>0.5</v>
      </c>
      <c r="S176" t="s">
        <v>1483</v>
      </c>
      <c r="U176" s="60">
        <f>R176*$U$175</f>
        <v>380</v>
      </c>
      <c r="V176" t="s">
        <v>65</v>
      </c>
      <c r="AD176" s="12" t="s">
        <v>1201</v>
      </c>
      <c r="AE176" s="12"/>
      <c r="AF176" s="12"/>
      <c r="AG176" s="12"/>
      <c r="AH176" s="12"/>
      <c r="AI176" s="12"/>
      <c r="AJ176" s="12"/>
      <c r="AK176" s="12"/>
      <c r="AL176" s="12"/>
      <c r="AM176" s="12"/>
    </row>
    <row r="177" spans="2:42" x14ac:dyDescent="0.3">
      <c r="D177" t="s">
        <v>1158</v>
      </c>
      <c r="F177">
        <f>G565</f>
        <v>23561.079545454548</v>
      </c>
      <c r="H177">
        <f>F177+F155</f>
        <v>24801.136363636368</v>
      </c>
      <c r="I177" t="s">
        <v>1615</v>
      </c>
      <c r="R177" s="147">
        <v>0.25</v>
      </c>
      <c r="S177" t="s">
        <v>23</v>
      </c>
      <c r="U177" s="60">
        <f>R177*$U$175</f>
        <v>190</v>
      </c>
      <c r="V177" t="s">
        <v>65</v>
      </c>
      <c r="AD177" s="12"/>
      <c r="AE177" s="12" t="s">
        <v>1202</v>
      </c>
      <c r="AF177" s="12"/>
      <c r="AG177" s="12"/>
      <c r="AH177" s="12"/>
      <c r="AI177" s="12"/>
      <c r="AJ177" s="12"/>
      <c r="AK177" s="12"/>
      <c r="AL177" s="12"/>
      <c r="AM177" s="12"/>
    </row>
    <row r="178" spans="2:42" x14ac:dyDescent="0.3">
      <c r="D178" t="s">
        <v>1157</v>
      </c>
      <c r="F178">
        <f>G566</f>
        <v>3895.7533900339345</v>
      </c>
      <c r="H178">
        <f>F178+F156</f>
        <v>5843.6300850509015</v>
      </c>
      <c r="I178" t="s">
        <v>1615</v>
      </c>
      <c r="R178" s="147">
        <v>0.25</v>
      </c>
      <c r="S178" t="s">
        <v>1513</v>
      </c>
      <c r="U178" s="60">
        <f>R178*$U$175</f>
        <v>190</v>
      </c>
      <c r="V178" t="s">
        <v>65</v>
      </c>
      <c r="AD178" s="12"/>
      <c r="AE178" s="12" t="s">
        <v>1203</v>
      </c>
      <c r="AF178" s="12"/>
      <c r="AG178" s="12"/>
      <c r="AH178" s="12"/>
      <c r="AI178" s="12"/>
      <c r="AJ178" s="12"/>
      <c r="AK178" s="12"/>
      <c r="AL178" s="12"/>
      <c r="AM178" s="12"/>
    </row>
    <row r="179" spans="2:42" x14ac:dyDescent="0.3">
      <c r="D179" t="s">
        <v>1159</v>
      </c>
      <c r="F179">
        <f>G567</f>
        <v>3296.88</v>
      </c>
      <c r="H179">
        <f>H178+H177</f>
        <v>30644.766448687267</v>
      </c>
      <c r="I179" t="s">
        <v>1616</v>
      </c>
      <c r="R179" s="147">
        <v>0.25</v>
      </c>
      <c r="S179" t="s">
        <v>1514</v>
      </c>
      <c r="U179" s="60">
        <f>R179*$U$175</f>
        <v>190</v>
      </c>
      <c r="V179" t="s">
        <v>65</v>
      </c>
      <c r="AD179" s="12"/>
      <c r="AE179" s="12"/>
      <c r="AF179" s="12">
        <f>150*0.7</f>
        <v>105</v>
      </c>
      <c r="AG179" s="12" t="s">
        <v>1204</v>
      </c>
      <c r="AH179" s="12"/>
      <c r="AI179" s="12"/>
      <c r="AJ179" s="12"/>
      <c r="AK179" s="12"/>
      <c r="AL179" s="12"/>
      <c r="AM179" s="12"/>
    </row>
    <row r="180" spans="2:42" x14ac:dyDescent="0.3">
      <c r="D180" t="s">
        <v>1605</v>
      </c>
      <c r="F180">
        <f>G568</f>
        <v>8478.92</v>
      </c>
      <c r="I180">
        <f>H179*0.88</f>
        <v>26967.394474844794</v>
      </c>
      <c r="S180" t="s">
        <v>1571</v>
      </c>
      <c r="U180" s="60">
        <f>U179</f>
        <v>190</v>
      </c>
      <c r="V180" t="s">
        <v>65</v>
      </c>
      <c r="AD180" s="12"/>
      <c r="AE180" s="12"/>
      <c r="AF180" s="12">
        <f>AF179*9.81</f>
        <v>1030.05</v>
      </c>
      <c r="AG180" s="12" t="s">
        <v>1205</v>
      </c>
      <c r="AH180" s="12"/>
      <c r="AI180" s="12"/>
      <c r="AJ180" s="12"/>
      <c r="AK180" s="12"/>
      <c r="AL180" s="12"/>
      <c r="AM180" s="12"/>
      <c r="AP180" t="s">
        <v>1215</v>
      </c>
    </row>
    <row r="181" spans="2:42" x14ac:dyDescent="0.3">
      <c r="B181" t="s">
        <v>191</v>
      </c>
      <c r="E181">
        <f>SUM(E154:E180)</f>
        <v>912967.5001539404</v>
      </c>
      <c r="I181">
        <f>H179*0.12</f>
        <v>3677.371973842472</v>
      </c>
      <c r="AD181" s="12"/>
      <c r="AE181" s="12"/>
      <c r="AF181" s="12" t="s">
        <v>1206</v>
      </c>
      <c r="AG181" s="12"/>
      <c r="AH181" s="12">
        <v>4</v>
      </c>
      <c r="AI181" s="12" t="s">
        <v>91</v>
      </c>
      <c r="AJ181" s="12"/>
      <c r="AK181" s="12"/>
      <c r="AL181" s="12"/>
      <c r="AM181" s="12"/>
    </row>
    <row r="182" spans="2:42" x14ac:dyDescent="0.3">
      <c r="Q182" t="s">
        <v>1338</v>
      </c>
      <c r="S182" t="s">
        <v>1340</v>
      </c>
      <c r="V182" s="325">
        <v>500</v>
      </c>
      <c r="W182" t="s">
        <v>65</v>
      </c>
      <c r="X182" s="322"/>
      <c r="AD182" s="12"/>
      <c r="AE182" s="12"/>
      <c r="AF182" s="12" t="s">
        <v>1207</v>
      </c>
      <c r="AG182" s="12"/>
      <c r="AH182" s="12">
        <f>AF180/(AH181/2)</f>
        <v>515.02499999999998</v>
      </c>
      <c r="AI182" s="12" t="s">
        <v>1208</v>
      </c>
      <c r="AJ182" s="12"/>
      <c r="AK182" s="12"/>
      <c r="AL182" s="12"/>
      <c r="AM182" s="12"/>
      <c r="AP182">
        <f>PI()*0.7^2</f>
        <v>1.5393804002589984</v>
      </c>
    </row>
    <row r="183" spans="2:42" x14ac:dyDescent="0.3">
      <c r="S183" t="s">
        <v>25</v>
      </c>
      <c r="V183" s="325">
        <f>V182</f>
        <v>500</v>
      </c>
      <c r="AD183" s="12"/>
      <c r="AE183" s="12"/>
      <c r="AF183" s="12"/>
      <c r="AG183" s="12"/>
      <c r="AH183" s="12">
        <f>AH182/9.81</f>
        <v>52.499999999999993</v>
      </c>
      <c r="AI183" s="12" t="s">
        <v>1209</v>
      </c>
      <c r="AJ183" s="12"/>
      <c r="AK183" s="12"/>
      <c r="AL183" s="12"/>
      <c r="AM183" s="12"/>
      <c r="AP183">
        <f>PI()*2^2</f>
        <v>12.566370614359172</v>
      </c>
    </row>
    <row r="184" spans="2:42" x14ac:dyDescent="0.3">
      <c r="Q184" t="s">
        <v>1339</v>
      </c>
      <c r="V184" s="38">
        <v>10000</v>
      </c>
      <c r="W184" t="s">
        <v>65</v>
      </c>
      <c r="X184" s="322" t="s">
        <v>1581</v>
      </c>
      <c r="AD184" s="12"/>
      <c r="AE184" s="12"/>
      <c r="AF184" s="12"/>
      <c r="AG184" s="12" t="s">
        <v>1210</v>
      </c>
      <c r="AH184" s="12"/>
      <c r="AI184" s="12"/>
      <c r="AJ184" s="12"/>
      <c r="AK184" s="12"/>
      <c r="AL184" s="12"/>
      <c r="AM184" s="12"/>
    </row>
    <row r="185" spans="2:42" x14ac:dyDescent="0.3">
      <c r="B185" t="s">
        <v>1492</v>
      </c>
      <c r="H185" t="s">
        <v>1659</v>
      </c>
      <c r="S185" t="s">
        <v>23</v>
      </c>
      <c r="U185" s="147">
        <v>0.5</v>
      </c>
      <c r="V185" s="325">
        <f>U185*$V$184</f>
        <v>5000</v>
      </c>
      <c r="AD185" s="12"/>
      <c r="AE185" s="12"/>
      <c r="AF185" s="12"/>
      <c r="AG185" s="12"/>
      <c r="AH185" s="12"/>
      <c r="AI185" s="12"/>
      <c r="AJ185" s="12"/>
      <c r="AK185" s="12"/>
      <c r="AL185" s="12"/>
      <c r="AM185" s="12"/>
    </row>
    <row r="186" spans="2:42" x14ac:dyDescent="0.3">
      <c r="C186" t="s">
        <v>1493</v>
      </c>
      <c r="F186">
        <f>G127*(1-32.6%)</f>
        <v>1695.7839999999999</v>
      </c>
      <c r="H186">
        <f>G189+G127</f>
        <v>10994.92</v>
      </c>
      <c r="I186" t="s">
        <v>1441</v>
      </c>
      <c r="S186" t="s">
        <v>108</v>
      </c>
      <c r="U186" s="147">
        <v>0.5</v>
      </c>
      <c r="V186" s="325">
        <f>U186*$V$184</f>
        <v>5000</v>
      </c>
      <c r="AD186" s="12"/>
      <c r="AE186" s="12"/>
      <c r="AF186" s="12"/>
      <c r="AG186" s="12"/>
      <c r="AH186" s="12"/>
      <c r="AI186" s="12"/>
      <c r="AJ186" s="12"/>
      <c r="AK186" s="12"/>
      <c r="AL186" s="12"/>
      <c r="AM186" s="12"/>
    </row>
    <row r="187" spans="2:42" x14ac:dyDescent="0.3">
      <c r="B187" t="s">
        <v>1598</v>
      </c>
      <c r="F187">
        <v>371.44</v>
      </c>
      <c r="H187">
        <f>G190+G118</f>
        <v>5850.88</v>
      </c>
      <c r="I187" t="s">
        <v>42</v>
      </c>
      <c r="S187" t="s">
        <v>7</v>
      </c>
      <c r="U187" s="147">
        <f>U186</f>
        <v>0.5</v>
      </c>
      <c r="V187" s="325">
        <f>U187*$V$184</f>
        <v>5000</v>
      </c>
      <c r="AD187" s="12"/>
      <c r="AE187" s="12"/>
      <c r="AF187" s="12"/>
      <c r="AG187" s="12" t="s">
        <v>1218</v>
      </c>
      <c r="AH187" s="12"/>
      <c r="AI187" s="12"/>
      <c r="AJ187" s="12"/>
      <c r="AK187" s="12"/>
      <c r="AL187" s="12"/>
      <c r="AM187" s="12"/>
    </row>
    <row r="188" spans="2:42" x14ac:dyDescent="0.3">
      <c r="B188" t="s">
        <v>1635</v>
      </c>
      <c r="F188">
        <f>G118-F187</f>
        <v>2182.56</v>
      </c>
      <c r="S188" t="s">
        <v>1518</v>
      </c>
      <c r="V188" s="327"/>
      <c r="W188" t="s">
        <v>65</v>
      </c>
      <c r="AD188" s="12"/>
      <c r="AE188" s="12"/>
      <c r="AF188" s="12"/>
      <c r="AG188" s="12"/>
      <c r="AH188" s="12" t="s">
        <v>1216</v>
      </c>
      <c r="AI188" s="12">
        <v>5</v>
      </c>
      <c r="AJ188" s="12" t="s">
        <v>1217</v>
      </c>
      <c r="AK188" s="12"/>
      <c r="AL188" s="12"/>
      <c r="AM188" s="12"/>
    </row>
    <row r="189" spans="2:42" x14ac:dyDescent="0.3">
      <c r="F189" t="s">
        <v>1660</v>
      </c>
      <c r="G189">
        <f>G568</f>
        <v>8478.92</v>
      </c>
      <c r="H189" t="s">
        <v>1491</v>
      </c>
      <c r="AD189" s="12"/>
      <c r="AE189" s="12"/>
      <c r="AF189" s="12"/>
      <c r="AG189" s="12"/>
      <c r="AH189" s="12"/>
      <c r="AI189" s="12">
        <f>AI188*AL175</f>
        <v>175000</v>
      </c>
      <c r="AJ189" s="12" t="s">
        <v>65</v>
      </c>
      <c r="AK189" s="12" t="s">
        <v>12</v>
      </c>
      <c r="AL189" s="12"/>
      <c r="AM189" s="12"/>
    </row>
    <row r="190" spans="2:42" x14ac:dyDescent="0.3">
      <c r="G190">
        <f>G567</f>
        <v>3296.88</v>
      </c>
      <c r="H190" t="s">
        <v>42</v>
      </c>
      <c r="Q190" t="s">
        <v>1484</v>
      </c>
      <c r="U190">
        <f>X191</f>
        <v>11440</v>
      </c>
      <c r="V190" s="23"/>
      <c r="X190">
        <v>22700</v>
      </c>
      <c r="AD190" s="12"/>
      <c r="AE190" s="12"/>
      <c r="AF190" s="12"/>
      <c r="AG190" s="12"/>
      <c r="AH190" s="12"/>
      <c r="AI190" s="12"/>
      <c r="AJ190" s="12"/>
      <c r="AK190" s="12"/>
      <c r="AL190" s="12"/>
      <c r="AM190" s="12"/>
    </row>
    <row r="191" spans="2:42" x14ac:dyDescent="0.3">
      <c r="G191" t="s">
        <v>1661</v>
      </c>
      <c r="R191" s="147">
        <v>1</v>
      </c>
      <c r="S191" t="s">
        <v>1481</v>
      </c>
      <c r="V191" s="60">
        <f>U190*R191</f>
        <v>11440</v>
      </c>
      <c r="X191">
        <f>X190-U175-V182-V184</f>
        <v>11440</v>
      </c>
      <c r="AD191" s="12"/>
      <c r="AE191" s="12"/>
      <c r="AF191" s="12"/>
      <c r="AG191" s="12"/>
      <c r="AH191" s="12"/>
      <c r="AI191" s="12"/>
      <c r="AJ191" s="12"/>
      <c r="AK191" s="12"/>
      <c r="AL191" s="12"/>
      <c r="AM191" s="12"/>
    </row>
    <row r="192" spans="2:42" x14ac:dyDescent="0.3">
      <c r="R192" s="147">
        <f>R191</f>
        <v>1</v>
      </c>
      <c r="S192" t="s">
        <v>1239</v>
      </c>
      <c r="V192" s="60">
        <f>R192*U190</f>
        <v>11440</v>
      </c>
      <c r="AD192" s="12"/>
      <c r="AE192" s="12"/>
      <c r="AF192" s="12"/>
      <c r="AG192" s="12"/>
      <c r="AH192" s="12"/>
      <c r="AI192" s="12"/>
      <c r="AJ192" s="12"/>
      <c r="AK192" s="12"/>
      <c r="AL192" s="12"/>
      <c r="AM192" s="12"/>
    </row>
    <row r="193" spans="15:39" x14ac:dyDescent="0.3">
      <c r="AD193" s="12"/>
      <c r="AE193" s="12"/>
      <c r="AF193" s="12"/>
      <c r="AG193" s="12"/>
      <c r="AH193" s="12"/>
      <c r="AI193" s="12"/>
      <c r="AJ193" s="12"/>
      <c r="AK193" s="12"/>
      <c r="AL193" s="12"/>
      <c r="AM193" s="12"/>
    </row>
    <row r="194" spans="15:39" x14ac:dyDescent="0.3">
      <c r="AD194" s="12"/>
      <c r="AE194" s="12"/>
      <c r="AF194" s="12"/>
      <c r="AG194" s="12"/>
      <c r="AH194" s="12"/>
      <c r="AI194" s="12"/>
      <c r="AJ194" s="12"/>
      <c r="AK194" s="12"/>
      <c r="AL194" s="12"/>
      <c r="AM194" s="12"/>
    </row>
    <row r="195" spans="15:39" x14ac:dyDescent="0.3">
      <c r="Q195" t="s">
        <v>138</v>
      </c>
      <c r="U195" s="1">
        <v>1E-3</v>
      </c>
      <c r="V195">
        <f>U195*X170</f>
        <v>22.7</v>
      </c>
      <c r="AD195" s="12"/>
      <c r="AE195" s="12"/>
      <c r="AF195" s="12">
        <v>4</v>
      </c>
      <c r="AG195" s="12" t="s">
        <v>100</v>
      </c>
      <c r="AH195" s="12"/>
      <c r="AI195" s="12">
        <f>PI()*(AF195^2)/2</f>
        <v>25.132741228718345</v>
      </c>
      <c r="AJ195" s="12"/>
      <c r="AK195" s="12"/>
      <c r="AL195" s="12"/>
      <c r="AM195" s="12"/>
    </row>
    <row r="196" spans="15:39" x14ac:dyDescent="0.3">
      <c r="AD196" s="12"/>
      <c r="AE196" s="12"/>
      <c r="AF196" s="12">
        <v>1.4</v>
      </c>
      <c r="AG196" s="12" t="s">
        <v>100</v>
      </c>
      <c r="AH196" s="12"/>
      <c r="AI196" s="12">
        <f>PI()*(AF196^2)/2</f>
        <v>3.0787608005179967</v>
      </c>
      <c r="AJ196" s="12"/>
      <c r="AK196" s="12"/>
      <c r="AL196" s="12"/>
      <c r="AM196" s="12"/>
    </row>
    <row r="197" spans="15:39" x14ac:dyDescent="0.3">
      <c r="AD197" s="12"/>
      <c r="AE197" s="12"/>
      <c r="AF197" s="12"/>
      <c r="AG197" s="12"/>
      <c r="AH197" s="12"/>
      <c r="AI197" s="12"/>
      <c r="AJ197" s="12"/>
      <c r="AK197" s="12"/>
      <c r="AL197" s="12"/>
      <c r="AM197" s="12"/>
    </row>
    <row r="198" spans="15:39" x14ac:dyDescent="0.3">
      <c r="AD198" s="12"/>
      <c r="AE198" s="12"/>
      <c r="AF198" s="12"/>
      <c r="AG198" s="12"/>
      <c r="AH198" s="12"/>
      <c r="AI198" s="12"/>
      <c r="AJ198" s="12"/>
      <c r="AK198" s="12"/>
      <c r="AL198" s="12"/>
      <c r="AM198" s="12"/>
    </row>
    <row r="205" spans="15:39" x14ac:dyDescent="0.3">
      <c r="O205" s="41" t="s">
        <v>1429</v>
      </c>
      <c r="P205" s="12"/>
      <c r="Q205" s="12"/>
      <c r="R205" s="12" t="s">
        <v>1422</v>
      </c>
      <c r="S205" s="12"/>
      <c r="T205" s="12"/>
      <c r="U205" s="323"/>
      <c r="V205" s="12"/>
      <c r="W205" s="12"/>
      <c r="X205" s="12"/>
      <c r="Y205" s="12"/>
    </row>
    <row r="206" spans="15:39" x14ac:dyDescent="0.3">
      <c r="P206" s="8"/>
      <c r="Q206" s="8"/>
      <c r="R206" s="8"/>
      <c r="S206" s="8"/>
      <c r="T206" s="8"/>
      <c r="U206" s="8"/>
      <c r="V206" s="8"/>
      <c r="W206" s="8"/>
      <c r="X206" s="8"/>
      <c r="Y206" s="8"/>
    </row>
    <row r="207" spans="15:39" x14ac:dyDescent="0.3">
      <c r="R207" s="58">
        <v>5</v>
      </c>
      <c r="S207" t="s">
        <v>1288</v>
      </c>
      <c r="T207" s="34">
        <f>T154</f>
        <v>20</v>
      </c>
      <c r="U207" t="s">
        <v>1288</v>
      </c>
      <c r="V207">
        <f>T207/R207</f>
        <v>4</v>
      </c>
      <c r="W207">
        <f>T207/R207</f>
        <v>4</v>
      </c>
    </row>
    <row r="208" spans="15:39" x14ac:dyDescent="0.3">
      <c r="P208" t="s">
        <v>1423</v>
      </c>
      <c r="R208" s="58">
        <v>8400</v>
      </c>
      <c r="S208" t="s">
        <v>65</v>
      </c>
      <c r="T208" s="60">
        <f>R208*(1+($W$207-1)*0.3)</f>
        <v>15960</v>
      </c>
      <c r="U208" t="s">
        <v>65</v>
      </c>
      <c r="V208" t="s">
        <v>1527</v>
      </c>
    </row>
    <row r="209" spans="15:38" x14ac:dyDescent="0.3">
      <c r="P209" t="s">
        <v>1430</v>
      </c>
      <c r="R209" s="58">
        <v>2000</v>
      </c>
      <c r="S209" t="s">
        <v>65</v>
      </c>
      <c r="T209" s="60">
        <f>R209*$V$207</f>
        <v>8000</v>
      </c>
      <c r="U209" t="s">
        <v>65</v>
      </c>
      <c r="V209" t="s">
        <v>1528</v>
      </c>
    </row>
    <row r="210" spans="15:38" x14ac:dyDescent="0.3">
      <c r="P210" t="s">
        <v>1431</v>
      </c>
      <c r="R210" s="58">
        <v>400</v>
      </c>
      <c r="T210" s="60">
        <f>R210*$V$207</f>
        <v>1600</v>
      </c>
      <c r="U210" t="s">
        <v>65</v>
      </c>
      <c r="V210" t="s">
        <v>1528</v>
      </c>
    </row>
    <row r="211" spans="15:38" x14ac:dyDescent="0.3">
      <c r="Q211" t="s">
        <v>6</v>
      </c>
      <c r="S211">
        <v>0.22</v>
      </c>
      <c r="T211">
        <f>S211*$T$210</f>
        <v>352</v>
      </c>
    </row>
    <row r="212" spans="15:38" x14ac:dyDescent="0.3">
      <c r="Q212" t="s">
        <v>141</v>
      </c>
      <c r="S212">
        <v>0.48</v>
      </c>
      <c r="T212">
        <f t="shared" ref="T212:T213" si="9">S212*$T$210</f>
        <v>768</v>
      </c>
    </row>
    <row r="213" spans="15:38" x14ac:dyDescent="0.3">
      <c r="Q213" t="s">
        <v>351</v>
      </c>
      <c r="S213">
        <v>0.3</v>
      </c>
      <c r="T213">
        <f t="shared" si="9"/>
        <v>480</v>
      </c>
    </row>
    <row r="214" spans="15:38" x14ac:dyDescent="0.3">
      <c r="P214" t="s">
        <v>262</v>
      </c>
      <c r="T214" s="60">
        <v>2500</v>
      </c>
    </row>
    <row r="215" spans="15:38" x14ac:dyDescent="0.3">
      <c r="T215" s="60"/>
      <c r="X215">
        <v>100000</v>
      </c>
    </row>
    <row r="216" spans="15:38" x14ac:dyDescent="0.3">
      <c r="P216" t="s">
        <v>1629</v>
      </c>
      <c r="R216" s="58">
        <v>3000</v>
      </c>
      <c r="T216" s="60">
        <f>R216*$V$207</f>
        <v>12000</v>
      </c>
      <c r="U216" t="s">
        <v>65</v>
      </c>
      <c r="X216">
        <f>T220+X153</f>
        <v>77260</v>
      </c>
    </row>
    <row r="217" spans="15:38" x14ac:dyDescent="0.3">
      <c r="P217" t="s">
        <v>7</v>
      </c>
      <c r="T217" s="60">
        <f>T216</f>
        <v>12000</v>
      </c>
      <c r="X217">
        <f>X215-X216</f>
        <v>22740</v>
      </c>
    </row>
    <row r="218" spans="15:38" x14ac:dyDescent="0.3">
      <c r="P218" t="s">
        <v>1628</v>
      </c>
      <c r="R218" s="58">
        <v>1100</v>
      </c>
      <c r="T218" s="60">
        <f>R218*V207</f>
        <v>4400</v>
      </c>
      <c r="U218" t="s">
        <v>65</v>
      </c>
    </row>
    <row r="219" spans="15:38" x14ac:dyDescent="0.3">
      <c r="P219" t="s">
        <v>124</v>
      </c>
      <c r="T219" s="60">
        <f>T218</f>
        <v>4400</v>
      </c>
    </row>
    <row r="220" spans="15:38" x14ac:dyDescent="0.3">
      <c r="T220" s="60">
        <f>SUM(T208:T210)+T214+T216+T218</f>
        <v>44460</v>
      </c>
    </row>
    <row r="221" spans="15:38" x14ac:dyDescent="0.3">
      <c r="P221" t="s">
        <v>138</v>
      </c>
      <c r="S221" s="1">
        <v>1E-3</v>
      </c>
      <c r="T221">
        <f>S221*T220</f>
        <v>44.46</v>
      </c>
    </row>
    <row r="223" spans="15:38" x14ac:dyDescent="0.3">
      <c r="O223" s="41" t="s">
        <v>1241</v>
      </c>
      <c r="P223" s="12"/>
      <c r="Q223" s="12"/>
      <c r="R223" s="12" t="s">
        <v>1254</v>
      </c>
      <c r="S223" s="12"/>
      <c r="T223" s="12"/>
      <c r="U223" s="12">
        <f>U231+U238+U248+U259+U277</f>
        <v>140693.33333333334</v>
      </c>
      <c r="V223" s="12"/>
      <c r="W223" s="12" t="s">
        <v>1255</v>
      </c>
      <c r="X223" s="12"/>
      <c r="Y223" s="12" t="s">
        <v>1269</v>
      </c>
    </row>
    <row r="224" spans="15:38" x14ac:dyDescent="0.3">
      <c r="AC224" s="41" t="s">
        <v>26</v>
      </c>
      <c r="AD224" s="12"/>
      <c r="AE224" s="12"/>
      <c r="AF224" s="12"/>
      <c r="AG224" s="12"/>
      <c r="AH224" s="12"/>
      <c r="AI224" s="12"/>
      <c r="AJ224" s="12"/>
      <c r="AK224" s="12"/>
      <c r="AL224" s="12"/>
    </row>
    <row r="225" spans="16:38" x14ac:dyDescent="0.3">
      <c r="P225" s="8" t="s">
        <v>1242</v>
      </c>
      <c r="Q225" s="8"/>
      <c r="R225" s="8"/>
      <c r="S225" s="8"/>
      <c r="T225" s="8"/>
      <c r="U225" s="44">
        <f>U226*S226*U227</f>
        <v>9600</v>
      </c>
      <c r="V225" s="8" t="s">
        <v>65</v>
      </c>
      <c r="W225" s="8"/>
      <c r="X225" s="8"/>
      <c r="Y225" s="8"/>
    </row>
    <row r="226" spans="16:38" x14ac:dyDescent="0.3">
      <c r="R226" t="s">
        <v>239</v>
      </c>
      <c r="S226">
        <v>1.5</v>
      </c>
      <c r="T226" t="s">
        <v>777</v>
      </c>
      <c r="U226">
        <v>8</v>
      </c>
      <c r="V226" t="s">
        <v>92</v>
      </c>
      <c r="AC226" t="s">
        <v>752</v>
      </c>
    </row>
    <row r="227" spans="16:38" x14ac:dyDescent="0.3">
      <c r="R227" t="s">
        <v>1274</v>
      </c>
      <c r="U227">
        <v>800</v>
      </c>
      <c r="W227" t="s">
        <v>1275</v>
      </c>
      <c r="AC227" s="242" t="s">
        <v>753</v>
      </c>
      <c r="AD227" s="242"/>
    </row>
    <row r="228" spans="16:38" x14ac:dyDescent="0.3">
      <c r="P228" s="8" t="s">
        <v>1243</v>
      </c>
      <c r="Q228" s="8"/>
      <c r="R228" s="8"/>
      <c r="S228" s="8"/>
      <c r="T228" s="8"/>
      <c r="U228" s="44">
        <v>9300</v>
      </c>
      <c r="V228" s="8" t="s">
        <v>65</v>
      </c>
      <c r="W228" s="8"/>
      <c r="X228" s="8"/>
      <c r="Y228" s="8"/>
      <c r="AD228" t="s">
        <v>754</v>
      </c>
      <c r="AE228" t="s">
        <v>755</v>
      </c>
    </row>
    <row r="229" spans="16:38" x14ac:dyDescent="0.3">
      <c r="AD229" t="s">
        <v>756</v>
      </c>
      <c r="AE229" s="47">
        <v>1</v>
      </c>
    </row>
    <row r="230" spans="16:38" x14ac:dyDescent="0.3">
      <c r="AD230" t="s">
        <v>759</v>
      </c>
      <c r="AE230" s="244">
        <v>6.5</v>
      </c>
      <c r="AF230" t="s">
        <v>757</v>
      </c>
    </row>
    <row r="231" spans="16:38" x14ac:dyDescent="0.3">
      <c r="P231" s="8" t="s">
        <v>1244</v>
      </c>
      <c r="Q231" s="8"/>
      <c r="R231" s="8"/>
      <c r="S231" s="8"/>
      <c r="T231" s="8"/>
      <c r="U231" s="44">
        <v>40000</v>
      </c>
      <c r="V231" s="8" t="s">
        <v>65</v>
      </c>
      <c r="W231" s="8"/>
      <c r="X231" s="8"/>
      <c r="Y231" s="8"/>
      <c r="AD231" t="s">
        <v>754</v>
      </c>
      <c r="AE231" s="243">
        <f>(AE230*1000)/AE229</f>
        <v>6500</v>
      </c>
    </row>
    <row r="232" spans="16:38" x14ac:dyDescent="0.3">
      <c r="Q232" t="s">
        <v>1245</v>
      </c>
      <c r="AC232" t="s">
        <v>758</v>
      </c>
      <c r="AE232" s="16">
        <f>2.445*AE231+1599</f>
        <v>17491.5</v>
      </c>
    </row>
    <row r="233" spans="16:38" x14ac:dyDescent="0.3">
      <c r="R233" t="s">
        <v>1246</v>
      </c>
      <c r="T233" s="147">
        <v>0.5</v>
      </c>
      <c r="U233" s="60">
        <f t="shared" ref="U233:U235" si="10">T233*$U$231</f>
        <v>20000</v>
      </c>
      <c r="V233" t="s">
        <v>65</v>
      </c>
      <c r="AC233" s="44" t="s">
        <v>245</v>
      </c>
      <c r="AD233" s="44"/>
      <c r="AE233" s="44">
        <f>AE232</f>
        <v>17491.5</v>
      </c>
      <c r="AF233" s="44"/>
    </row>
    <row r="234" spans="16:38" x14ac:dyDescent="0.3">
      <c r="R234" t="s">
        <v>1247</v>
      </c>
      <c r="U234" s="60">
        <f t="shared" si="10"/>
        <v>0</v>
      </c>
      <c r="V234" t="s">
        <v>65</v>
      </c>
    </row>
    <row r="235" spans="16:38" x14ac:dyDescent="0.3">
      <c r="R235" t="s">
        <v>1248</v>
      </c>
      <c r="T235" s="147">
        <f>T233</f>
        <v>0.5</v>
      </c>
      <c r="U235" s="60">
        <f t="shared" si="10"/>
        <v>20000</v>
      </c>
      <c r="V235" t="s">
        <v>65</v>
      </c>
    </row>
    <row r="236" spans="16:38" x14ac:dyDescent="0.3">
      <c r="R236" t="s">
        <v>23</v>
      </c>
      <c r="T236" s="147">
        <v>0.5</v>
      </c>
      <c r="U236" s="60">
        <f>T236*$U$231</f>
        <v>20000</v>
      </c>
      <c r="V236" t="s">
        <v>65</v>
      </c>
    </row>
    <row r="237" spans="16:38" x14ac:dyDescent="0.3">
      <c r="R237" t="s">
        <v>1526</v>
      </c>
      <c r="U237" s="60">
        <f>U236</f>
        <v>20000</v>
      </c>
      <c r="V237" t="s">
        <v>65</v>
      </c>
    </row>
    <row r="238" spans="16:38" x14ac:dyDescent="0.3">
      <c r="P238" s="8" t="s">
        <v>1249</v>
      </c>
      <c r="Q238" s="8"/>
      <c r="R238" s="8"/>
      <c r="S238" s="8"/>
      <c r="T238" s="8"/>
      <c r="U238" s="44">
        <v>3384</v>
      </c>
      <c r="V238" s="8" t="s">
        <v>65</v>
      </c>
      <c r="W238" s="8"/>
      <c r="X238" s="8"/>
      <c r="Y238" s="8"/>
      <c r="AC238" s="41" t="s">
        <v>212</v>
      </c>
      <c r="AD238" s="12"/>
      <c r="AE238" s="12"/>
      <c r="AF238" s="12"/>
      <c r="AG238" s="12"/>
      <c r="AH238" s="12"/>
      <c r="AI238" s="12"/>
      <c r="AJ238" s="12"/>
      <c r="AK238" s="12"/>
      <c r="AL238" s="12"/>
    </row>
    <row r="239" spans="16:38" x14ac:dyDescent="0.3">
      <c r="Q239" t="s">
        <v>1250</v>
      </c>
    </row>
    <row r="240" spans="16:38" x14ac:dyDescent="0.3">
      <c r="R240" t="s">
        <v>1246</v>
      </c>
      <c r="T240" s="147">
        <v>0.5</v>
      </c>
      <c r="U240">
        <f t="shared" ref="U240:U242" si="11">T240*$U$238</f>
        <v>1692</v>
      </c>
      <c r="AD240" t="s">
        <v>855</v>
      </c>
    </row>
    <row r="241" spans="16:42" x14ac:dyDescent="0.3">
      <c r="R241" t="s">
        <v>1247</v>
      </c>
      <c r="U241">
        <f t="shared" si="11"/>
        <v>0</v>
      </c>
      <c r="AD241">
        <v>1</v>
      </c>
      <c r="AE241" t="s">
        <v>777</v>
      </c>
      <c r="AF241">
        <v>7000</v>
      </c>
      <c r="AG241" t="s">
        <v>765</v>
      </c>
    </row>
    <row r="242" spans="16:42" x14ac:dyDescent="0.3">
      <c r="R242" t="s">
        <v>1248</v>
      </c>
      <c r="T242" s="147">
        <f>T240</f>
        <v>0.5</v>
      </c>
      <c r="U242">
        <f t="shared" si="11"/>
        <v>1692</v>
      </c>
      <c r="AE242" t="s">
        <v>856</v>
      </c>
      <c r="AH242" t="s">
        <v>857</v>
      </c>
      <c r="AI242">
        <v>5.88</v>
      </c>
      <c r="AJ242" t="s">
        <v>858</v>
      </c>
      <c r="AK242" t="s">
        <v>859</v>
      </c>
      <c r="AL242">
        <f>AI242*AF241*AD241</f>
        <v>41160</v>
      </c>
      <c r="AM242" t="s">
        <v>860</v>
      </c>
    </row>
    <row r="243" spans="16:42" x14ac:dyDescent="0.3">
      <c r="R243" t="s">
        <v>23</v>
      </c>
      <c r="T243" s="147">
        <v>0.5</v>
      </c>
      <c r="U243">
        <f>T243*$U$238</f>
        <v>1692</v>
      </c>
    </row>
    <row r="244" spans="16:42" x14ac:dyDescent="0.3">
      <c r="R244" t="s">
        <v>1412</v>
      </c>
      <c r="U244">
        <f>U243</f>
        <v>1692</v>
      </c>
      <c r="AD244" s="44" t="s">
        <v>245</v>
      </c>
      <c r="AE244" s="44"/>
      <c r="AF244" s="44">
        <f>AM248</f>
        <v>8000</v>
      </c>
      <c r="AG244" s="44"/>
    </row>
    <row r="246" spans="16:42" x14ac:dyDescent="0.3">
      <c r="Q246" t="s">
        <v>1413</v>
      </c>
      <c r="AG246" t="s">
        <v>1091</v>
      </c>
      <c r="AM246">
        <v>2000</v>
      </c>
      <c r="AN246" t="s">
        <v>1092</v>
      </c>
    </row>
    <row r="247" spans="16:42" x14ac:dyDescent="0.3">
      <c r="AM247">
        <v>4</v>
      </c>
      <c r="AN247" t="s">
        <v>1093</v>
      </c>
    </row>
    <row r="248" spans="16:42" x14ac:dyDescent="0.3">
      <c r="P248" s="8" t="s">
        <v>1237</v>
      </c>
      <c r="Q248" s="8"/>
      <c r="R248" s="8"/>
      <c r="S248" s="8"/>
      <c r="T248" s="8"/>
      <c r="U248" s="31">
        <f>U251+U257</f>
        <v>52296</v>
      </c>
      <c r="V248" s="8" t="s">
        <v>65</v>
      </c>
      <c r="W248" s="8"/>
      <c r="X248" s="8"/>
      <c r="Y248" s="8"/>
      <c r="AM248">
        <f>AM246*AM247</f>
        <v>8000</v>
      </c>
      <c r="AN248" t="s">
        <v>65</v>
      </c>
    </row>
    <row r="249" spans="16:42" x14ac:dyDescent="0.3">
      <c r="Q249" t="s">
        <v>1613</v>
      </c>
      <c r="U249" s="58">
        <v>6037</v>
      </c>
      <c r="AC249" t="s">
        <v>12</v>
      </c>
      <c r="AE249" s="1">
        <v>0.51364175563463821</v>
      </c>
      <c r="AF249">
        <f t="shared" ref="AF249:AF254" si="12">AE249*$AM$248</f>
        <v>4109.1340450771058</v>
      </c>
    </row>
    <row r="250" spans="16:42" x14ac:dyDescent="0.3">
      <c r="Q250" t="s">
        <v>1614</v>
      </c>
      <c r="U250" s="58">
        <v>8</v>
      </c>
      <c r="AC250" t="s">
        <v>420</v>
      </c>
      <c r="AE250" s="1">
        <v>0.15895610913404506</v>
      </c>
      <c r="AF250">
        <f>AE250*$AM$248</f>
        <v>1271.6488730723606</v>
      </c>
      <c r="AM250">
        <v>2000</v>
      </c>
      <c r="AN250" t="s">
        <v>1569</v>
      </c>
      <c r="AP250" t="s">
        <v>1570</v>
      </c>
    </row>
    <row r="251" spans="16:42" x14ac:dyDescent="0.3">
      <c r="Q251" t="s">
        <v>1</v>
      </c>
      <c r="U251" s="44">
        <f>U250*U249</f>
        <v>48296</v>
      </c>
      <c r="AC251" t="s">
        <v>113</v>
      </c>
      <c r="AE251" s="1">
        <v>0.18149466192170818</v>
      </c>
      <c r="AF251">
        <f>AE251*$AM$248</f>
        <v>1451.9572953736654</v>
      </c>
    </row>
    <row r="252" spans="16:42" x14ac:dyDescent="0.3">
      <c r="R252" t="s">
        <v>1246</v>
      </c>
      <c r="AC252" t="s">
        <v>141</v>
      </c>
      <c r="AE252" s="1">
        <v>9.1340450771055751E-2</v>
      </c>
      <c r="AF252">
        <f t="shared" si="12"/>
        <v>730.72360616844605</v>
      </c>
    </row>
    <row r="253" spans="16:42" x14ac:dyDescent="0.3">
      <c r="R253" t="s">
        <v>1247</v>
      </c>
      <c r="AC253" t="s">
        <v>851</v>
      </c>
      <c r="AE253" s="1">
        <v>1.8979833926453145E-2</v>
      </c>
      <c r="AF253">
        <f t="shared" si="12"/>
        <v>151.83867141162517</v>
      </c>
    </row>
    <row r="254" spans="16:42" x14ac:dyDescent="0.3">
      <c r="R254" t="s">
        <v>1248</v>
      </c>
      <c r="AC254" t="s">
        <v>852</v>
      </c>
      <c r="AE254" s="1">
        <v>3.5587188612099648E-2</v>
      </c>
      <c r="AF254">
        <f t="shared" si="12"/>
        <v>284.69750889679716</v>
      </c>
    </row>
    <row r="255" spans="16:42" x14ac:dyDescent="0.3">
      <c r="AC255" t="s">
        <v>592</v>
      </c>
      <c r="AE255" s="1">
        <v>0.85053380782918153</v>
      </c>
      <c r="AF255">
        <f>AE255*$AM$248*AG255</f>
        <v>24495.373665480431</v>
      </c>
      <c r="AG255">
        <v>3.6</v>
      </c>
      <c r="AJ255">
        <f>AE255*AF244</f>
        <v>6804.2704626334526</v>
      </c>
    </row>
    <row r="256" spans="16:42" x14ac:dyDescent="0.3">
      <c r="Q256" t="s">
        <v>1611</v>
      </c>
      <c r="U256" s="58">
        <v>500</v>
      </c>
      <c r="V256" t="s">
        <v>1612</v>
      </c>
      <c r="AC256" t="s">
        <v>106</v>
      </c>
      <c r="AE256" s="1">
        <v>0.4638196915776987</v>
      </c>
      <c r="AF256">
        <f>AE256*$AM$248*AG256</f>
        <v>13358.007117437723</v>
      </c>
      <c r="AG256">
        <v>3.6</v>
      </c>
      <c r="AH256" t="s">
        <v>1094</v>
      </c>
      <c r="AJ256">
        <f>AE256*AF244</f>
        <v>3710.5575326215894</v>
      </c>
    </row>
    <row r="257" spans="5:38" x14ac:dyDescent="0.3">
      <c r="Q257" t="s">
        <v>1460</v>
      </c>
      <c r="U257" s="44">
        <f>U256*U250</f>
        <v>4000</v>
      </c>
      <c r="V257" t="s">
        <v>65</v>
      </c>
      <c r="W257" t="s">
        <v>1461</v>
      </c>
      <c r="AC257" t="s">
        <v>1088</v>
      </c>
    </row>
    <row r="258" spans="5:38" x14ac:dyDescent="0.3">
      <c r="AD258" t="s">
        <v>1089</v>
      </c>
      <c r="AE258" t="s">
        <v>1090</v>
      </c>
    </row>
    <row r="259" spans="5:38" x14ac:dyDescent="0.3">
      <c r="P259" s="8" t="s">
        <v>1251</v>
      </c>
      <c r="Q259" s="8"/>
      <c r="R259" s="8"/>
      <c r="S259" s="8"/>
      <c r="T259" s="8"/>
      <c r="U259" s="31">
        <f>U265+U267</f>
        <v>44493.333333333336</v>
      </c>
      <c r="V259" s="8" t="s">
        <v>65</v>
      </c>
      <c r="W259" s="8"/>
      <c r="X259" s="8"/>
      <c r="Y259" s="8"/>
      <c r="AC259" t="s">
        <v>298</v>
      </c>
      <c r="AE259" s="1">
        <v>1E-3</v>
      </c>
      <c r="AF259">
        <f>AE259*$AM$248</f>
        <v>8</v>
      </c>
    </row>
    <row r="260" spans="5:38" x14ac:dyDescent="0.3">
      <c r="Q260" t="s">
        <v>1</v>
      </c>
      <c r="AC260" s="41" t="s">
        <v>1060</v>
      </c>
      <c r="AD260" s="12"/>
      <c r="AE260" s="12"/>
      <c r="AF260" s="12"/>
      <c r="AG260" s="12" t="s">
        <v>290</v>
      </c>
      <c r="AH260" s="12"/>
      <c r="AI260" s="39"/>
      <c r="AJ260" s="12" t="s">
        <v>1582</v>
      </c>
      <c r="AK260" s="12"/>
      <c r="AL260" s="12"/>
    </row>
    <row r="261" spans="5:38" x14ac:dyDescent="0.3">
      <c r="R261" t="s">
        <v>1246</v>
      </c>
    </row>
    <row r="262" spans="5:38" x14ac:dyDescent="0.3">
      <c r="R262" t="s">
        <v>1247</v>
      </c>
    </row>
    <row r="263" spans="5:38" x14ac:dyDescent="0.3">
      <c r="R263" t="s">
        <v>1248</v>
      </c>
    </row>
    <row r="264" spans="5:38" x14ac:dyDescent="0.3">
      <c r="R264" t="s">
        <v>1462</v>
      </c>
      <c r="U264" s="58">
        <v>133</v>
      </c>
      <c r="V264" t="s">
        <v>65</v>
      </c>
    </row>
    <row r="265" spans="5:38" x14ac:dyDescent="0.3">
      <c r="R265">
        <v>284</v>
      </c>
      <c r="S265" t="s">
        <v>1236</v>
      </c>
      <c r="U265" s="44">
        <f>R265*U264</f>
        <v>37772</v>
      </c>
      <c r="V265" t="s">
        <v>65</v>
      </c>
      <c r="Z265" s="12"/>
    </row>
    <row r="266" spans="5:38" x14ac:dyDescent="0.3">
      <c r="R266" t="s">
        <v>1464</v>
      </c>
      <c r="U266" s="58">
        <v>284</v>
      </c>
      <c r="V266" t="s">
        <v>65</v>
      </c>
    </row>
    <row r="267" spans="5:38" x14ac:dyDescent="0.3">
      <c r="R267">
        <f>R265/12</f>
        <v>23.666666666666668</v>
      </c>
      <c r="S267" t="s">
        <v>1463</v>
      </c>
      <c r="U267" s="44">
        <f>R267*U266</f>
        <v>6721.3333333333339</v>
      </c>
      <c r="V267" t="s">
        <v>65</v>
      </c>
    </row>
    <row r="269" spans="5:38" x14ac:dyDescent="0.3">
      <c r="P269" s="12" t="s">
        <v>1256</v>
      </c>
      <c r="Q269" s="12"/>
      <c r="R269" s="12"/>
      <c r="S269" s="12"/>
      <c r="T269" s="12"/>
      <c r="U269" s="12"/>
      <c r="V269" s="12"/>
      <c r="W269" s="12"/>
      <c r="X269" s="12"/>
      <c r="Y269" s="12"/>
    </row>
    <row r="270" spans="5:38" x14ac:dyDescent="0.3">
      <c r="E270" t="s">
        <v>623</v>
      </c>
      <c r="F270" s="357">
        <f>G278</f>
        <v>0.80311074424745077</v>
      </c>
      <c r="Q270" t="s">
        <v>1259</v>
      </c>
      <c r="R270">
        <v>2.6</v>
      </c>
      <c r="S270" t="s">
        <v>1023</v>
      </c>
      <c r="T270" t="s">
        <v>1260</v>
      </c>
      <c r="U270">
        <v>350</v>
      </c>
      <c r="V270" t="s">
        <v>1261</v>
      </c>
      <c r="W270">
        <v>1.25</v>
      </c>
      <c r="X270" t="s">
        <v>1262</v>
      </c>
      <c r="Y270" t="s">
        <v>1263</v>
      </c>
    </row>
    <row r="271" spans="5:38" x14ac:dyDescent="0.3">
      <c r="E271" t="s">
        <v>567</v>
      </c>
      <c r="F271" s="357">
        <f>I297/J295</f>
        <v>3.7879340985361047E-2</v>
      </c>
      <c r="R271">
        <v>4.8</v>
      </c>
      <c r="U271">
        <v>350</v>
      </c>
      <c r="W271">
        <v>1.5</v>
      </c>
    </row>
    <row r="272" spans="5:38" x14ac:dyDescent="0.3">
      <c r="E272" t="s">
        <v>2072</v>
      </c>
      <c r="F272" s="357">
        <f>I298/J295</f>
        <v>0.1337802122102037</v>
      </c>
      <c r="R272">
        <v>2.2000000000000002</v>
      </c>
      <c r="U272">
        <v>350</v>
      </c>
      <c r="W272">
        <v>1</v>
      </c>
    </row>
    <row r="273" spans="2:23" x14ac:dyDescent="0.3">
      <c r="E273" t="s">
        <v>1917</v>
      </c>
      <c r="F273" s="357">
        <f>I299/J295</f>
        <v>2.5229702556984358E-2</v>
      </c>
      <c r="R273">
        <v>1.5</v>
      </c>
      <c r="U273">
        <v>350</v>
      </c>
      <c r="W273">
        <v>0.75</v>
      </c>
    </row>
    <row r="274" spans="2:23" x14ac:dyDescent="0.3">
      <c r="F274" s="1"/>
      <c r="P274" t="s">
        <v>1264</v>
      </c>
    </row>
    <row r="276" spans="2:23" x14ac:dyDescent="0.3">
      <c r="Q276" t="s">
        <v>1265</v>
      </c>
      <c r="U276">
        <v>200</v>
      </c>
      <c r="V276" t="s">
        <v>100</v>
      </c>
    </row>
    <row r="277" spans="2:23" x14ac:dyDescent="0.3">
      <c r="R277" t="s">
        <v>1</v>
      </c>
      <c r="U277">
        <f>U276*R270</f>
        <v>520</v>
      </c>
      <c r="V277" t="s">
        <v>65</v>
      </c>
    </row>
    <row r="278" spans="2:23" x14ac:dyDescent="0.3">
      <c r="G278">
        <f>I296/J295</f>
        <v>0.80311074424745077</v>
      </c>
      <c r="S278" t="s">
        <v>12</v>
      </c>
      <c r="U278" s="147">
        <v>0.5</v>
      </c>
      <c r="W278" s="44">
        <f>U278*U277</f>
        <v>260</v>
      </c>
    </row>
    <row r="279" spans="2:23" x14ac:dyDescent="0.3">
      <c r="G279">
        <f>L296/M295</f>
        <v>0.87577351700692463</v>
      </c>
      <c r="S279" t="s">
        <v>1257</v>
      </c>
      <c r="U279" s="147">
        <f>U278</f>
        <v>0.5</v>
      </c>
      <c r="W279" s="44">
        <f>U279*U277</f>
        <v>260</v>
      </c>
    </row>
    <row r="280" spans="2:23" x14ac:dyDescent="0.3">
      <c r="S280" t="s">
        <v>1258</v>
      </c>
      <c r="U280" s="147">
        <v>0.5</v>
      </c>
      <c r="W280" s="44">
        <f>U280*U277</f>
        <v>260</v>
      </c>
    </row>
    <row r="281" spans="2:23" x14ac:dyDescent="0.3">
      <c r="S281" t="s">
        <v>1267</v>
      </c>
      <c r="U281" s="147">
        <f>U280</f>
        <v>0.5</v>
      </c>
      <c r="W281" s="44">
        <f>U281*U277</f>
        <v>260</v>
      </c>
    </row>
    <row r="282" spans="2:23" x14ac:dyDescent="0.3">
      <c r="U282" s="147"/>
      <c r="W282" s="44"/>
    </row>
    <row r="283" spans="2:23" x14ac:dyDescent="0.3">
      <c r="P283" t="s">
        <v>138</v>
      </c>
      <c r="Q283" s="1">
        <v>1E-3</v>
      </c>
      <c r="R283">
        <f>Q283*U223</f>
        <v>140.69333333333336</v>
      </c>
      <c r="U283" s="147"/>
      <c r="W283" s="44"/>
    </row>
    <row r="284" spans="2:23" x14ac:dyDescent="0.3">
      <c r="U284" s="147"/>
    </row>
    <row r="285" spans="2:23" x14ac:dyDescent="0.3">
      <c r="U285" s="147"/>
    </row>
    <row r="286" spans="2:23" x14ac:dyDescent="0.3">
      <c r="U286" s="147"/>
    </row>
    <row r="287" spans="2:23" s="70" customFormat="1" x14ac:dyDescent="0.3">
      <c r="B287" s="71" t="s">
        <v>306</v>
      </c>
      <c r="C287" s="47"/>
      <c r="D287" s="47"/>
    </row>
    <row r="289" spans="1:55" s="27" customFormat="1" x14ac:dyDescent="0.3">
      <c r="A289"/>
      <c r="B289" s="25" t="s">
        <v>48</v>
      </c>
      <c r="C289" s="18"/>
      <c r="D289" s="18"/>
      <c r="E289" s="18"/>
      <c r="F289" s="18"/>
      <c r="G289" s="18"/>
      <c r="H289" s="18"/>
      <c r="I289" s="18"/>
      <c r="J289" s="18"/>
      <c r="K289" s="18"/>
      <c r="L289" s="18"/>
      <c r="M289" s="18"/>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row>
    <row r="290" spans="1:55" x14ac:dyDescent="0.3">
      <c r="G290" t="s">
        <v>11</v>
      </c>
      <c r="H290" s="376" t="s">
        <v>192</v>
      </c>
      <c r="I290" s="376"/>
      <c r="J290" s="376"/>
      <c r="K290" s="376"/>
      <c r="L290" s="376"/>
      <c r="M290" s="376"/>
      <c r="P290" s="376" t="s">
        <v>47</v>
      </c>
      <c r="Q290" s="376"/>
      <c r="R290" s="376"/>
      <c r="S290" s="376"/>
      <c r="T290" s="376"/>
      <c r="U290" s="376"/>
      <c r="X290" s="376" t="s">
        <v>43</v>
      </c>
      <c r="Y290" s="376"/>
      <c r="Z290" s="376"/>
      <c r="AA290" s="376"/>
      <c r="AB290" s="376"/>
      <c r="AC290" s="376"/>
      <c r="AD290" s="376"/>
      <c r="AE290" s="376"/>
      <c r="AF290" s="376"/>
      <c r="AG290" s="376"/>
      <c r="AH290" s="376"/>
      <c r="AI290" s="376"/>
      <c r="AJ290" s="376"/>
      <c r="AK290" s="376"/>
      <c r="AL290" s="376"/>
      <c r="AM290" s="376"/>
      <c r="AN290" s="376"/>
      <c r="AO290" s="376"/>
      <c r="AR290" s="376" t="s">
        <v>77</v>
      </c>
      <c r="AS290" s="376"/>
      <c r="AT290" s="376"/>
      <c r="AU290" s="376"/>
      <c r="AV290" s="376"/>
      <c r="AW290" s="376"/>
      <c r="AX290" s="376"/>
      <c r="AY290" s="376"/>
      <c r="BB290" t="s">
        <v>311</v>
      </c>
    </row>
    <row r="291" spans="1:55" x14ac:dyDescent="0.3">
      <c r="H291" s="377" t="s">
        <v>32</v>
      </c>
      <c r="I291" s="377"/>
      <c r="J291" s="377"/>
      <c r="K291" s="378" t="s">
        <v>162</v>
      </c>
      <c r="L291" s="378"/>
      <c r="M291" s="378"/>
      <c r="P291" s="377" t="s">
        <v>32</v>
      </c>
      <c r="Q291" s="377"/>
      <c r="R291" s="377"/>
      <c r="S291" s="378" t="s">
        <v>162</v>
      </c>
      <c r="T291" s="378"/>
      <c r="U291" s="378"/>
      <c r="X291" s="382" t="s">
        <v>158</v>
      </c>
      <c r="Y291" s="382"/>
      <c r="Z291" s="382"/>
      <c r="AA291" s="382"/>
      <c r="AB291" s="382"/>
      <c r="AC291" s="382"/>
      <c r="AD291" s="382"/>
      <c r="AF291" s="382" t="s">
        <v>157</v>
      </c>
      <c r="AG291" s="382"/>
      <c r="AH291" s="382"/>
      <c r="AI291" s="382"/>
      <c r="AJ291" s="382"/>
      <c r="AK291" s="382"/>
    </row>
    <row r="292" spans="1:55" x14ac:dyDescent="0.3">
      <c r="G292" t="s">
        <v>10</v>
      </c>
      <c r="H292" t="s">
        <v>9</v>
      </c>
      <c r="I292" t="s">
        <v>8</v>
      </c>
      <c r="J292" s="19" t="s">
        <v>52</v>
      </c>
      <c r="AA292" s="377" t="s">
        <v>32</v>
      </c>
      <c r="AB292" s="377"/>
      <c r="AC292" s="378" t="s">
        <v>162</v>
      </c>
      <c r="AD292" s="378"/>
      <c r="AH292" s="377" t="s">
        <v>32</v>
      </c>
      <c r="AI292" s="377"/>
      <c r="AJ292" s="378" t="s">
        <v>162</v>
      </c>
      <c r="AK292" s="378"/>
      <c r="AN292" s="47" t="s">
        <v>32</v>
      </c>
      <c r="AO292" s="34" t="s">
        <v>162</v>
      </c>
      <c r="AU292" s="380" t="s">
        <v>32</v>
      </c>
      <c r="AV292" s="380"/>
      <c r="AW292" s="378" t="s">
        <v>162</v>
      </c>
      <c r="AX292" s="378"/>
      <c r="BB292" s="72" t="s">
        <v>32</v>
      </c>
      <c r="BC292" s="49" t="s">
        <v>162</v>
      </c>
    </row>
    <row r="293" spans="1:55" x14ac:dyDescent="0.3">
      <c r="B293" t="s">
        <v>63</v>
      </c>
      <c r="G293">
        <f>G294+G305+G332+G395+G518</f>
        <v>580611.36055178521</v>
      </c>
      <c r="J293" s="19"/>
      <c r="P293" t="s">
        <v>160</v>
      </c>
      <c r="R293" s="19" t="s">
        <v>55</v>
      </c>
      <c r="X293" t="s">
        <v>1</v>
      </c>
      <c r="Y293" t="s">
        <v>57</v>
      </c>
      <c r="Z293" t="s">
        <v>156</v>
      </c>
      <c r="AA293" t="s">
        <v>54</v>
      </c>
      <c r="AB293" s="7" t="s">
        <v>55</v>
      </c>
      <c r="AC293" t="s">
        <v>54</v>
      </c>
      <c r="AD293" t="s">
        <v>55</v>
      </c>
      <c r="AF293" t="s">
        <v>59</v>
      </c>
      <c r="AG293" t="s">
        <v>156</v>
      </c>
      <c r="AH293" t="s">
        <v>54</v>
      </c>
      <c r="AI293" s="7" t="s">
        <v>58</v>
      </c>
      <c r="AJ293" t="s">
        <v>54</v>
      </c>
      <c r="AK293" t="s">
        <v>55</v>
      </c>
      <c r="AN293" s="19" t="s">
        <v>155</v>
      </c>
      <c r="AS293" t="s">
        <v>59</v>
      </c>
      <c r="AT293" t="s">
        <v>156</v>
      </c>
      <c r="AU293" t="s">
        <v>54</v>
      </c>
      <c r="AV293" t="s">
        <v>55</v>
      </c>
      <c r="AW293" t="s">
        <v>54</v>
      </c>
      <c r="AX293" t="s">
        <v>55</v>
      </c>
      <c r="BB293" s="6"/>
      <c r="BC293" s="5"/>
    </row>
    <row r="294" spans="1:55" s="12" customFormat="1" x14ac:dyDescent="0.3">
      <c r="A294"/>
      <c r="C294" s="12" t="s">
        <v>14</v>
      </c>
      <c r="G294" s="12">
        <f>G295+G300</f>
        <v>3187.9335131987855</v>
      </c>
      <c r="BB294" s="73"/>
      <c r="BC294" s="13"/>
    </row>
    <row r="295" spans="1:55" s="9" customFormat="1" x14ac:dyDescent="0.3">
      <c r="A295"/>
      <c r="D295" s="9" t="s">
        <v>1211</v>
      </c>
      <c r="G295" s="9">
        <f>N91</f>
        <v>1240.0568181818182</v>
      </c>
      <c r="J295" s="10">
        <f>SUM(I296:I299)</f>
        <v>11549.621352272728</v>
      </c>
      <c r="M295" s="10">
        <f>SUM(L296:L299)</f>
        <v>373812.39971590909</v>
      </c>
      <c r="R295" s="10">
        <f>SUM(Q296:Q299)</f>
        <v>1833.8877869318183</v>
      </c>
      <c r="U295" s="10">
        <f>SUM(T296:T299)</f>
        <v>275.30030198863636</v>
      </c>
      <c r="X295" s="9">
        <f>G295</f>
        <v>1240.0568181818182</v>
      </c>
      <c r="Y295" s="9" t="str">
        <f>$X$83</f>
        <v>ship ferry</v>
      </c>
      <c r="Z295" s="9">
        <f>$F$19</f>
        <v>2000</v>
      </c>
      <c r="AA295" s="245">
        <f>$AA$83</f>
        <v>0.109</v>
      </c>
      <c r="AB295" s="9">
        <f>AA295*Z295*X295/1000</f>
        <v>270.33238636363637</v>
      </c>
      <c r="AC295" s="9">
        <f>$AD$83</f>
        <v>1.5</v>
      </c>
      <c r="AD295" s="9">
        <f>AC295*Z295*X295/1000</f>
        <v>3720.1704545454545</v>
      </c>
      <c r="AF295" s="9" t="s">
        <v>61</v>
      </c>
      <c r="AG295" s="9">
        <f>$G$19</f>
        <v>500</v>
      </c>
      <c r="AH295" s="9">
        <f>$AA$81</f>
        <v>8.9976823999999997E-2</v>
      </c>
      <c r="AI295" s="9">
        <f>AH295*AG295*X295/1000</f>
        <v>55.788187039772723</v>
      </c>
      <c r="AJ295" s="9">
        <f>$AD$81</f>
        <v>1.52</v>
      </c>
      <c r="AK295" s="9">
        <f>AJ295*AG295*X295/1000</f>
        <v>942.44318181818187</v>
      </c>
      <c r="AN295" s="10">
        <f>AI295+AB295</f>
        <v>326.12057340340908</v>
      </c>
      <c r="AO295" s="10">
        <f>AD295+AK295</f>
        <v>4662.613636363636</v>
      </c>
      <c r="AS295" s="9" t="s">
        <v>161</v>
      </c>
      <c r="AT295" s="9">
        <f>$G$21</f>
        <v>200</v>
      </c>
      <c r="AU295" s="9">
        <f>$AA$81</f>
        <v>8.9976823999999997E-2</v>
      </c>
      <c r="AV295" s="10">
        <f>(AU295*AT295*X295)/1000</f>
        <v>22.315274815909092</v>
      </c>
      <c r="AW295" s="9">
        <f>$AD$81</f>
        <v>1.52</v>
      </c>
      <c r="AX295" s="10">
        <f>(AW295*AT295*X295)/1000</f>
        <v>376.97727272727275</v>
      </c>
      <c r="BB295" s="74">
        <f>AV295+AN295+R295+J295</f>
        <v>13731.944987423865</v>
      </c>
      <c r="BC295" s="11">
        <f>AX295+AO295+U295+M295</f>
        <v>379127.29092698864</v>
      </c>
    </row>
    <row r="296" spans="1:55" x14ac:dyDescent="0.3">
      <c r="E296" t="s">
        <v>0</v>
      </c>
      <c r="F296" s="1">
        <v>0.88</v>
      </c>
      <c r="G296">
        <f>F296*G295</f>
        <v>1091.25</v>
      </c>
      <c r="H296" s="38">
        <f>AA63</f>
        <v>8.5</v>
      </c>
      <c r="I296">
        <f>G296*H296</f>
        <v>9275.625</v>
      </c>
      <c r="J296" s="5"/>
      <c r="K296" s="38">
        <f>AD63</f>
        <v>300</v>
      </c>
      <c r="L296">
        <f>K296*G296</f>
        <v>327375</v>
      </c>
      <c r="M296" s="5"/>
      <c r="P296" s="38">
        <f>AI63</f>
        <v>1.554</v>
      </c>
      <c r="Q296">
        <f t="shared" ref="Q296:Q322" si="13">P296*G296</f>
        <v>1695.8025</v>
      </c>
      <c r="R296" s="5"/>
      <c r="S296" s="38">
        <f>AL63</f>
        <v>0.19850000000000001</v>
      </c>
      <c r="T296">
        <f>S296*G296</f>
        <v>216.613125</v>
      </c>
      <c r="U296" s="5"/>
      <c r="AN296" s="5"/>
      <c r="AO296" s="5"/>
      <c r="AV296" s="5"/>
      <c r="AX296" s="5"/>
      <c r="BB296" s="6"/>
      <c r="BC296" s="5"/>
    </row>
    <row r="297" spans="1:55" x14ac:dyDescent="0.3">
      <c r="E297" t="s">
        <v>2</v>
      </c>
      <c r="F297" s="1">
        <v>0.12</v>
      </c>
      <c r="G297">
        <f>F297*G295</f>
        <v>148.80681818181819</v>
      </c>
      <c r="H297" s="57">
        <f>AA67</f>
        <v>2.94</v>
      </c>
      <c r="I297">
        <f t="shared" ref="I297:I519" si="14">G297*H297</f>
        <v>437.49204545454546</v>
      </c>
      <c r="J297" s="5"/>
      <c r="K297" s="57">
        <f>AD67</f>
        <v>60.5</v>
      </c>
      <c r="L297">
        <f t="shared" ref="L297:L299" si="15">K297*G297</f>
        <v>9002.8125</v>
      </c>
      <c r="M297" s="5"/>
      <c r="P297" s="57">
        <f>AI67</f>
        <v>0.56899999999999995</v>
      </c>
      <c r="Q297">
        <f t="shared" si="13"/>
        <v>84.671079545454546</v>
      </c>
      <c r="R297" s="5"/>
      <c r="S297" s="57">
        <f>AL67</f>
        <v>0.34050000000000002</v>
      </c>
      <c r="T297">
        <f t="shared" ref="T297:T529" si="16">S297*G297</f>
        <v>50.668721590909094</v>
      </c>
      <c r="U297" s="5"/>
      <c r="AN297" s="5"/>
      <c r="AO297" s="5"/>
      <c r="AV297" s="5"/>
      <c r="AX297" s="5"/>
      <c r="BB297" s="6"/>
      <c r="BC297" s="5"/>
    </row>
    <row r="298" spans="1:55" x14ac:dyDescent="0.3">
      <c r="E298" s="20" t="s">
        <v>3</v>
      </c>
      <c r="F298" s="1">
        <v>1</v>
      </c>
      <c r="G298">
        <f>F298*G295</f>
        <v>1240.0568181818182</v>
      </c>
      <c r="H298" s="57">
        <f>AA64</f>
        <v>1.246</v>
      </c>
      <c r="I298">
        <f t="shared" si="14"/>
        <v>1545.1107954545455</v>
      </c>
      <c r="J298" s="6"/>
      <c r="K298" s="52">
        <f>AD64</f>
        <v>22.05</v>
      </c>
      <c r="L298">
        <f t="shared" si="15"/>
        <v>27343.252840909092</v>
      </c>
      <c r="M298" s="6"/>
      <c r="N298" s="6"/>
      <c r="P298" s="38"/>
      <c r="Q298">
        <f t="shared" si="13"/>
        <v>0</v>
      </c>
      <c r="R298" s="6"/>
      <c r="S298" s="52"/>
      <c r="T298">
        <f t="shared" si="16"/>
        <v>0</v>
      </c>
      <c r="U298" s="6"/>
      <c r="V298" s="6"/>
      <c r="AN298" s="6"/>
      <c r="AO298" s="5"/>
      <c r="AV298" s="6"/>
      <c r="AX298" s="5"/>
      <c r="BB298" s="6"/>
      <c r="BC298" s="5"/>
    </row>
    <row r="299" spans="1:55" x14ac:dyDescent="0.3">
      <c r="E299" s="20" t="s">
        <v>1489</v>
      </c>
      <c r="F299" s="1">
        <v>0.03</v>
      </c>
      <c r="G299">
        <f>F299*G295</f>
        <v>37.201704545454547</v>
      </c>
      <c r="H299" s="57">
        <f>H296*0.88+H297*0.12</f>
        <v>7.8328000000000007</v>
      </c>
      <c r="I299">
        <f t="shared" si="14"/>
        <v>291.39351136363638</v>
      </c>
      <c r="J299" s="6"/>
      <c r="K299" s="57">
        <f>K296*0.88+K297*0.12</f>
        <v>271.26</v>
      </c>
      <c r="L299">
        <f t="shared" si="15"/>
        <v>10091.334375</v>
      </c>
      <c r="M299" s="6"/>
      <c r="P299" s="57">
        <f>P296*0.88+P297*0.12</f>
        <v>1.4358</v>
      </c>
      <c r="Q299">
        <f t="shared" si="13"/>
        <v>53.414207386363636</v>
      </c>
      <c r="R299" s="6"/>
      <c r="S299" s="57">
        <f>S296*0.88+S297*0.12</f>
        <v>0.21554000000000001</v>
      </c>
      <c r="T299">
        <f t="shared" si="16"/>
        <v>8.0184553977272728</v>
      </c>
      <c r="U299" s="6"/>
      <c r="AN299" s="6"/>
      <c r="AO299" s="5"/>
      <c r="AV299" s="6"/>
      <c r="AX299" s="5"/>
      <c r="BB299" s="6"/>
      <c r="BC299" s="5"/>
    </row>
    <row r="300" spans="1:55" s="9" customFormat="1" x14ac:dyDescent="0.3">
      <c r="A300"/>
      <c r="D300" s="9" t="s">
        <v>1212</v>
      </c>
      <c r="F300" s="67"/>
      <c r="G300" s="9">
        <f>N92</f>
        <v>1947.8766950169672</v>
      </c>
      <c r="H300" s="43"/>
      <c r="J300" s="11">
        <f>SUM(I301:I304)</f>
        <v>18142.102796021911</v>
      </c>
      <c r="K300" s="43"/>
      <c r="M300" s="11">
        <f>SUM(L301:L304)</f>
        <v>587183.14438413572</v>
      </c>
      <c r="Q300" s="9">
        <f t="shared" si="13"/>
        <v>0</v>
      </c>
      <c r="R300" s="11">
        <f>SUM(Q301:Q304)</f>
        <v>2880.6641994665224</v>
      </c>
      <c r="U300" s="11">
        <f>SUM(T301:T304)</f>
        <v>432.44070312927579</v>
      </c>
      <c r="X300" s="9">
        <f>G300</f>
        <v>1947.8766950169672</v>
      </c>
      <c r="Y300" s="9" t="str">
        <f>$X$83</f>
        <v>ship ferry</v>
      </c>
      <c r="Z300" s="9">
        <f>$F$19</f>
        <v>2000</v>
      </c>
      <c r="AA300" s="9">
        <f>$AA$83</f>
        <v>0.109</v>
      </c>
      <c r="AB300" s="9">
        <f>AA300*Z300*X300/1000</f>
        <v>424.63711951369885</v>
      </c>
      <c r="AC300" s="9">
        <f>$AD$83</f>
        <v>1.5</v>
      </c>
      <c r="AD300" s="9">
        <f>AC300*Z300*X300/1000</f>
        <v>5843.6300850509015</v>
      </c>
      <c r="AF300" s="9" t="s">
        <v>61</v>
      </c>
      <c r="AG300" s="9">
        <f>$G$19</f>
        <v>500</v>
      </c>
      <c r="AH300" s="9">
        <f>$AA$81</f>
        <v>8.9976823999999997E-2</v>
      </c>
      <c r="AI300" s="9">
        <f>AH300*AG300*X300/1000</f>
        <v>87.631879280621661</v>
      </c>
      <c r="AJ300" s="9">
        <f>$AD$81</f>
        <v>1.52</v>
      </c>
      <c r="AK300" s="9">
        <f>AJ300*AG300*X300/1000</f>
        <v>1480.3862882128951</v>
      </c>
      <c r="AN300" s="11">
        <f>AI300+AB300</f>
        <v>512.26899879432051</v>
      </c>
      <c r="AO300" s="11">
        <f>AD300+AK300</f>
        <v>7324.0163732637966</v>
      </c>
      <c r="AS300" s="9" t="s">
        <v>161</v>
      </c>
      <c r="AT300" s="9">
        <f>$G$21</f>
        <v>200</v>
      </c>
      <c r="AU300" s="9">
        <f>$AA$81</f>
        <v>8.9976823999999997E-2</v>
      </c>
      <c r="AV300" s="11">
        <f>(AU300*AT300*X300)/1000</f>
        <v>35.052751712248671</v>
      </c>
      <c r="AW300" s="9">
        <f>$AD$81</f>
        <v>1.52</v>
      </c>
      <c r="AX300" s="11">
        <f>(AW300*AT300*X300)/1000</f>
        <v>592.15451528515803</v>
      </c>
      <c r="BB300" s="74">
        <f>AV300+AN300+R300+J300</f>
        <v>21570.088745995003</v>
      </c>
      <c r="BC300" s="11">
        <f>AX300+AO300+U300+M300</f>
        <v>595531.75597581395</v>
      </c>
    </row>
    <row r="301" spans="1:55" x14ac:dyDescent="0.3">
      <c r="E301" t="s">
        <v>0</v>
      </c>
      <c r="F301" s="1">
        <v>0.88</v>
      </c>
      <c r="G301">
        <f>F301*G300</f>
        <v>1714.1314916149311</v>
      </c>
      <c r="H301" s="38">
        <f>AA63</f>
        <v>8.5</v>
      </c>
      <c r="I301">
        <f>G301*H301</f>
        <v>14570.117678726914</v>
      </c>
      <c r="J301" s="5"/>
      <c r="K301" s="38">
        <f>AD63</f>
        <v>300</v>
      </c>
      <c r="L301">
        <f>K301*G301</f>
        <v>514239.44748447934</v>
      </c>
      <c r="M301" s="5"/>
      <c r="P301" s="38">
        <f>AI63</f>
        <v>1.554</v>
      </c>
      <c r="Q301">
        <f t="shared" si="13"/>
        <v>2663.7603379696029</v>
      </c>
      <c r="R301" s="5"/>
      <c r="S301" s="38">
        <f>AL63</f>
        <v>0.19850000000000001</v>
      </c>
      <c r="T301">
        <f t="shared" si="16"/>
        <v>340.25510108556381</v>
      </c>
      <c r="U301" s="5"/>
      <c r="AN301" s="5"/>
      <c r="AO301" s="5"/>
      <c r="AV301" s="5"/>
      <c r="AX301" s="5"/>
      <c r="BB301" s="6"/>
      <c r="BC301" s="5"/>
    </row>
    <row r="302" spans="1:55" x14ac:dyDescent="0.3">
      <c r="E302" t="s">
        <v>2</v>
      </c>
      <c r="F302" s="1">
        <v>0.12</v>
      </c>
      <c r="G302">
        <f>F302*G300</f>
        <v>233.74520340203605</v>
      </c>
      <c r="H302" s="57">
        <f>AA67</f>
        <v>2.94</v>
      </c>
      <c r="I302">
        <f t="shared" ref="I302:I304" si="17">G302*H302</f>
        <v>687.21089800198604</v>
      </c>
      <c r="J302" s="5"/>
      <c r="K302" s="57">
        <f>AD67</f>
        <v>60.5</v>
      </c>
      <c r="L302">
        <f t="shared" ref="L302:L304" si="18">K302*G302</f>
        <v>14141.58480582318</v>
      </c>
      <c r="M302" s="5"/>
      <c r="P302" s="57">
        <f>AI67</f>
        <v>0.56899999999999995</v>
      </c>
      <c r="Q302">
        <f t="shared" si="13"/>
        <v>133.00102073575852</v>
      </c>
      <c r="R302" s="5"/>
      <c r="S302" s="57">
        <f>AL67</f>
        <v>0.34050000000000002</v>
      </c>
      <c r="T302">
        <f t="shared" si="16"/>
        <v>79.590241758393276</v>
      </c>
      <c r="U302" s="5"/>
      <c r="AN302" s="5"/>
      <c r="AO302" s="5"/>
      <c r="AV302" s="5"/>
      <c r="AX302" s="5"/>
      <c r="BB302" s="6"/>
      <c r="BC302" s="5"/>
    </row>
    <row r="303" spans="1:55" x14ac:dyDescent="0.3">
      <c r="E303" s="20" t="s">
        <v>3</v>
      </c>
      <c r="F303" s="1">
        <v>1</v>
      </c>
      <c r="G303">
        <f>F303*G300</f>
        <v>1947.8766950169672</v>
      </c>
      <c r="H303" s="57">
        <f>AA64</f>
        <v>1.246</v>
      </c>
      <c r="I303">
        <f t="shared" si="17"/>
        <v>2427.0543619911414</v>
      </c>
      <c r="J303" s="5"/>
      <c r="K303" s="38">
        <f>AD64</f>
        <v>22.05</v>
      </c>
      <c r="L303">
        <f t="shared" si="18"/>
        <v>42950.681125124131</v>
      </c>
      <c r="M303" s="5"/>
      <c r="P303" s="38"/>
      <c r="R303" s="5"/>
      <c r="S303" s="38"/>
      <c r="U303" s="5"/>
      <c r="AN303" s="5"/>
      <c r="AO303" s="5"/>
      <c r="AV303" s="5"/>
      <c r="AX303" s="5"/>
      <c r="BB303" s="6"/>
      <c r="BC303" s="5"/>
    </row>
    <row r="304" spans="1:55" x14ac:dyDescent="0.3">
      <c r="E304" s="20" t="s">
        <v>1489</v>
      </c>
      <c r="F304" s="1">
        <v>0.03</v>
      </c>
      <c r="G304">
        <f>F304*G300</f>
        <v>58.436300850509014</v>
      </c>
      <c r="H304" s="57">
        <f>H301*0.88+H302*0.12</f>
        <v>7.8328000000000007</v>
      </c>
      <c r="I304">
        <f t="shared" si="17"/>
        <v>457.71985730186702</v>
      </c>
      <c r="J304" s="6"/>
      <c r="K304" s="57">
        <f>K301*0.88+K302*0.12</f>
        <v>271.26</v>
      </c>
      <c r="L304">
        <f t="shared" si="18"/>
        <v>15851.430968709075</v>
      </c>
      <c r="M304" s="6"/>
      <c r="P304" s="57">
        <f>P301*0.88+P302*0.12</f>
        <v>1.4358</v>
      </c>
      <c r="Q304">
        <f t="shared" ref="Q304" si="19">P304*G304</f>
        <v>83.902840761160846</v>
      </c>
      <c r="R304" s="6"/>
      <c r="S304" s="57">
        <f>S301*0.88+S302*0.12</f>
        <v>0.21554000000000001</v>
      </c>
      <c r="T304">
        <f t="shared" ref="T304" si="20">S304*G304</f>
        <v>12.595360285318714</v>
      </c>
      <c r="U304" s="6"/>
      <c r="AN304" s="5"/>
      <c r="AO304" s="5"/>
      <c r="AV304" s="5"/>
      <c r="AX304" s="5"/>
      <c r="BB304" s="6"/>
      <c r="BC304" s="5"/>
    </row>
    <row r="305" spans="1:55" s="12" customFormat="1" x14ac:dyDescent="0.3">
      <c r="A305"/>
      <c r="C305" s="12" t="s">
        <v>15</v>
      </c>
      <c r="F305" s="68"/>
      <c r="G305" s="12">
        <f>G306</f>
        <v>20000</v>
      </c>
      <c r="J305" s="13"/>
      <c r="M305" s="13"/>
      <c r="R305" s="13"/>
      <c r="U305" s="13"/>
      <c r="AN305" s="13"/>
      <c r="AO305" s="13"/>
      <c r="AV305" s="13"/>
      <c r="AX305" s="13"/>
      <c r="BB305" s="73"/>
      <c r="BC305" s="13"/>
    </row>
    <row r="306" spans="1:55" s="9" customFormat="1" x14ac:dyDescent="0.3">
      <c r="A306"/>
      <c r="D306" s="9" t="s">
        <v>5</v>
      </c>
      <c r="F306" s="67"/>
      <c r="G306" s="9">
        <f>G112</f>
        <v>20000</v>
      </c>
      <c r="J306" s="45">
        <f>SUM(I307:I331)</f>
        <v>412683.55602658965</v>
      </c>
      <c r="M306" s="45">
        <f>SUM(L307:L331)</f>
        <v>7551759.3113427823</v>
      </c>
      <c r="Q306" s="9">
        <f t="shared" si="13"/>
        <v>0</v>
      </c>
      <c r="R306" s="45">
        <f>SUM(Q307:Q331)</f>
        <v>9633.457741750386</v>
      </c>
      <c r="U306" s="45">
        <f>SUM(T307:T331)</f>
        <v>5262.7486642976401</v>
      </c>
      <c r="X306" s="9">
        <f>G306</f>
        <v>20000</v>
      </c>
      <c r="Y306" s="9" t="str">
        <f>$X$83</f>
        <v>ship ferry</v>
      </c>
      <c r="Z306" s="9">
        <f>$F$19</f>
        <v>2000</v>
      </c>
      <c r="AA306" s="9">
        <f>$AA$83</f>
        <v>0.109</v>
      </c>
      <c r="AB306" s="9">
        <f>AA306*Z306*X306/1000</f>
        <v>4360</v>
      </c>
      <c r="AC306" s="9">
        <f>$AD$83</f>
        <v>1.5</v>
      </c>
      <c r="AD306" s="9">
        <f>AC306*Z306*X306/1000</f>
        <v>60000</v>
      </c>
      <c r="AF306" s="9" t="s">
        <v>61</v>
      </c>
      <c r="AG306" s="9">
        <f>$G$19</f>
        <v>500</v>
      </c>
      <c r="AH306" s="9">
        <f>$AA$81</f>
        <v>8.9976823999999997E-2</v>
      </c>
      <c r="AI306" s="9">
        <f>AH306*AG306*X306/1000</f>
        <v>899.76823999999999</v>
      </c>
      <c r="AJ306" s="9">
        <f>$AD$81</f>
        <v>1.52</v>
      </c>
      <c r="AK306" s="9">
        <f>AJ306*AG306*X306/1000</f>
        <v>15200</v>
      </c>
      <c r="AN306" s="11">
        <f>AI306+AB306</f>
        <v>5259.7682400000003</v>
      </c>
      <c r="AO306" s="11">
        <f>AD306+AK306</f>
        <v>75200</v>
      </c>
      <c r="AS306" s="9" t="s">
        <v>161</v>
      </c>
      <c r="AT306" s="9">
        <f>$G$21</f>
        <v>200</v>
      </c>
      <c r="AU306" s="9">
        <f>$AA$81</f>
        <v>8.9976823999999997E-2</v>
      </c>
      <c r="AV306" s="11">
        <f>(AU306*AT306*X306)/1000</f>
        <v>359.90729600000003</v>
      </c>
      <c r="AW306" s="9">
        <f>$AD$81</f>
        <v>1.52</v>
      </c>
      <c r="AX306" s="11">
        <f>(AW306*AT306*X306)/1000</f>
        <v>6080</v>
      </c>
      <c r="BB306" s="74">
        <f>AV306+AN306+R306+J306</f>
        <v>427936.68930434005</v>
      </c>
      <c r="BC306" s="11">
        <f>AX306+AO306+U306+M306</f>
        <v>7638302.0600070804</v>
      </c>
    </row>
    <row r="307" spans="1:55" x14ac:dyDescent="0.3">
      <c r="E307" t="s">
        <v>123</v>
      </c>
      <c r="F307" s="69"/>
      <c r="G307">
        <f t="shared" ref="G307:G317" si="21">G114</f>
        <v>2</v>
      </c>
      <c r="H307" s="14">
        <f>AA70</f>
        <v>4.4137059762711868</v>
      </c>
      <c r="I307" s="14">
        <f t="shared" si="14"/>
        <v>8.8274119525423735</v>
      </c>
      <c r="J307" s="5"/>
      <c r="K307" s="14">
        <f>AD70</f>
        <v>88.429673480225972</v>
      </c>
      <c r="L307">
        <f>K307*G307</f>
        <v>176.85934696045194</v>
      </c>
      <c r="M307" s="5"/>
      <c r="P307" s="14">
        <f>AI70</f>
        <v>0.62</v>
      </c>
      <c r="Q307">
        <f t="shared" si="13"/>
        <v>1.24</v>
      </c>
      <c r="R307" s="5"/>
      <c r="S307" s="14">
        <f>AL70</f>
        <v>0.31900000000000001</v>
      </c>
      <c r="T307">
        <f t="shared" si="16"/>
        <v>0.63800000000000001</v>
      </c>
      <c r="U307" s="5"/>
      <c r="AN307" s="5"/>
      <c r="AO307" s="5"/>
      <c r="AV307" s="5"/>
      <c r="AX307" s="5"/>
      <c r="BB307" s="6"/>
      <c r="BC307" s="5"/>
    </row>
    <row r="308" spans="1:55" x14ac:dyDescent="0.3">
      <c r="E308" t="s">
        <v>6</v>
      </c>
      <c r="F308" s="69"/>
      <c r="G308">
        <f t="shared" si="21"/>
        <v>9458</v>
      </c>
      <c r="H308">
        <f>AA69</f>
        <v>23.61956697627118</v>
      </c>
      <c r="I308">
        <f t="shared" si="14"/>
        <v>223393.86446157281</v>
      </c>
      <c r="J308" s="5"/>
      <c r="K308">
        <f>AD69</f>
        <v>473.73135881355932</v>
      </c>
      <c r="L308">
        <f t="shared" ref="L308" si="22">K308*G308</f>
        <v>4480551.191658644</v>
      </c>
      <c r="M308" s="5"/>
      <c r="P308">
        <f>AI69</f>
        <v>0.62</v>
      </c>
      <c r="Q308">
        <f t="shared" si="13"/>
        <v>5863.96</v>
      </c>
      <c r="R308" s="5"/>
      <c r="S308">
        <f>AL69</f>
        <v>0.31900000000000001</v>
      </c>
      <c r="T308">
        <f t="shared" si="16"/>
        <v>3017.1019999999999</v>
      </c>
      <c r="U308" s="5"/>
      <c r="AN308" s="5"/>
      <c r="AO308" s="5"/>
      <c r="AV308" s="5"/>
      <c r="AX308" s="5"/>
      <c r="BB308" s="6"/>
      <c r="BC308" s="5"/>
    </row>
    <row r="309" spans="1:55" x14ac:dyDescent="0.3">
      <c r="E309" t="s">
        <v>293</v>
      </c>
      <c r="F309" s="69"/>
      <c r="G309">
        <f t="shared" si="21"/>
        <v>2726</v>
      </c>
      <c r="H309">
        <f>AA9</f>
        <v>12.7</v>
      </c>
      <c r="I309">
        <f t="shared" si="14"/>
        <v>34620.199999999997</v>
      </c>
      <c r="J309" s="5"/>
      <c r="K309">
        <f>AD9</f>
        <v>149</v>
      </c>
      <c r="L309">
        <f>K309*G309</f>
        <v>406174</v>
      </c>
      <c r="M309" s="5"/>
      <c r="P309">
        <f>AI9</f>
        <v>1.1280000000000001E-3</v>
      </c>
      <c r="Q309">
        <f t="shared" si="13"/>
        <v>3.0749280000000003</v>
      </c>
      <c r="R309" s="5"/>
      <c r="S309">
        <f>AL9</f>
        <v>3.1760000000000004E-2</v>
      </c>
      <c r="T309">
        <f t="shared" si="16"/>
        <v>86.577760000000012</v>
      </c>
      <c r="U309" s="5"/>
      <c r="AN309" s="5"/>
      <c r="AO309" s="5"/>
      <c r="AV309" s="5"/>
      <c r="AX309" s="5"/>
      <c r="BB309" s="6"/>
      <c r="BC309" s="5"/>
    </row>
    <row r="310" spans="1:55" x14ac:dyDescent="0.3">
      <c r="E310" t="s">
        <v>294</v>
      </c>
      <c r="F310" s="69"/>
      <c r="G310">
        <f t="shared" si="21"/>
        <v>328</v>
      </c>
      <c r="H310">
        <f>AA7</f>
        <v>4.37</v>
      </c>
      <c r="I310">
        <f t="shared" si="14"/>
        <v>1433.3600000000001</v>
      </c>
      <c r="J310" s="5"/>
      <c r="K310">
        <f>AD7</f>
        <v>63.8</v>
      </c>
      <c r="L310">
        <f t="shared" ref="L310:L312" si="23">K310*G310</f>
        <v>20926.399999999998</v>
      </c>
      <c r="M310" s="5"/>
      <c r="P310">
        <f>AI7</f>
        <v>3.368E-4</v>
      </c>
      <c r="Q310">
        <f t="shared" si="13"/>
        <v>0.1104704</v>
      </c>
      <c r="R310" s="5"/>
      <c r="S310">
        <f>AL7</f>
        <v>1.192E-2</v>
      </c>
      <c r="T310">
        <f t="shared" si="16"/>
        <v>3.9097599999999999</v>
      </c>
      <c r="U310" s="5"/>
      <c r="AN310" s="5"/>
      <c r="AO310" s="5"/>
      <c r="AV310" s="5"/>
      <c r="AX310" s="5"/>
      <c r="BB310" s="6"/>
      <c r="BC310" s="5"/>
    </row>
    <row r="311" spans="1:55" x14ac:dyDescent="0.3">
      <c r="E311" t="s">
        <v>134</v>
      </c>
      <c r="F311" s="69"/>
      <c r="G311">
        <f t="shared" si="21"/>
        <v>2554</v>
      </c>
      <c r="H311">
        <f>AA46</f>
        <v>7.72</v>
      </c>
      <c r="I311">
        <f t="shared" si="14"/>
        <v>19716.88</v>
      </c>
      <c r="J311" s="5"/>
      <c r="K311">
        <f>AD46</f>
        <v>123</v>
      </c>
      <c r="L311">
        <f t="shared" si="23"/>
        <v>314142</v>
      </c>
      <c r="M311" s="5"/>
      <c r="P311">
        <f>AI46</f>
        <v>0.31</v>
      </c>
      <c r="Q311">
        <f t="shared" si="13"/>
        <v>791.74</v>
      </c>
      <c r="R311" s="5"/>
      <c r="S311">
        <f>AL46</f>
        <v>0.1595</v>
      </c>
      <c r="T311">
        <f t="shared" si="16"/>
        <v>407.363</v>
      </c>
      <c r="U311" s="5"/>
      <c r="AN311" s="5"/>
      <c r="AO311" s="5"/>
      <c r="AV311" s="5"/>
      <c r="AX311" s="5"/>
      <c r="BB311" s="6"/>
      <c r="BC311" s="5"/>
    </row>
    <row r="312" spans="1:55" x14ac:dyDescent="0.3">
      <c r="E312" t="s">
        <v>295</v>
      </c>
      <c r="F312" s="69"/>
      <c r="G312">
        <f t="shared" si="21"/>
        <v>540</v>
      </c>
      <c r="H312">
        <f>AA13</f>
        <v>29.7</v>
      </c>
      <c r="I312">
        <f t="shared" si="14"/>
        <v>16038</v>
      </c>
      <c r="J312" s="5"/>
      <c r="K312">
        <f>AD13</f>
        <v>434</v>
      </c>
      <c r="L312">
        <f t="shared" si="23"/>
        <v>234360</v>
      </c>
      <c r="M312" s="5"/>
      <c r="P312">
        <f>AI13</f>
        <v>4.9599999999999998E-2</v>
      </c>
      <c r="Q312">
        <f t="shared" si="13"/>
        <v>26.783999999999999</v>
      </c>
      <c r="R312" s="5"/>
      <c r="S312">
        <f>AL13</f>
        <v>2.5520000000000001E-2</v>
      </c>
      <c r="T312">
        <f t="shared" si="16"/>
        <v>13.780800000000001</v>
      </c>
      <c r="U312" s="5"/>
      <c r="AN312" s="5"/>
      <c r="AO312" s="5"/>
      <c r="AV312" s="5"/>
      <c r="AX312" s="5"/>
      <c r="BB312" s="6"/>
      <c r="BC312" s="5"/>
    </row>
    <row r="313" spans="1:55" x14ac:dyDescent="0.3">
      <c r="E313" t="s">
        <v>296</v>
      </c>
      <c r="F313" s="69"/>
      <c r="G313">
        <f t="shared" si="21"/>
        <v>126</v>
      </c>
      <c r="H313" s="14">
        <f>AA71</f>
        <v>4.7699999999999996</v>
      </c>
      <c r="I313" s="14">
        <f t="shared" si="14"/>
        <v>601.02</v>
      </c>
      <c r="J313" s="5"/>
      <c r="K313" s="14">
        <f>AD71</f>
        <v>109.33333333333333</v>
      </c>
      <c r="L313">
        <f>K313*G313</f>
        <v>13776</v>
      </c>
      <c r="M313" s="5"/>
      <c r="P313" s="14">
        <f>AI71</f>
        <v>0.62</v>
      </c>
      <c r="Q313">
        <f t="shared" si="13"/>
        <v>78.12</v>
      </c>
      <c r="R313" s="5"/>
      <c r="S313" s="14">
        <f>AL71</f>
        <v>0.31900000000000001</v>
      </c>
      <c r="T313">
        <f t="shared" si="16"/>
        <v>40.194000000000003</v>
      </c>
      <c r="U313" s="5"/>
      <c r="AN313" s="5"/>
      <c r="AO313" s="5"/>
      <c r="AV313" s="5"/>
      <c r="AX313" s="5"/>
      <c r="BB313" s="6"/>
      <c r="BC313" s="5"/>
    </row>
    <row r="314" spans="1:55" x14ac:dyDescent="0.3">
      <c r="E314" t="s">
        <v>297</v>
      </c>
      <c r="F314" s="69"/>
      <c r="G314">
        <f t="shared" si="21"/>
        <v>828</v>
      </c>
      <c r="H314">
        <f>AA14</f>
        <v>4.37</v>
      </c>
      <c r="I314">
        <f t="shared" si="14"/>
        <v>3618.36</v>
      </c>
      <c r="J314" s="5"/>
      <c r="K314">
        <f>AD14</f>
        <v>63.8</v>
      </c>
      <c r="L314">
        <f t="shared" ref="L314" si="24">K314*G314</f>
        <v>52826.399999999994</v>
      </c>
      <c r="M314" s="5"/>
      <c r="P314">
        <f>AI14</f>
        <v>3.368E-4</v>
      </c>
      <c r="Q314">
        <f t="shared" si="13"/>
        <v>0.27887040000000002</v>
      </c>
      <c r="R314" s="5"/>
      <c r="S314">
        <f>AL14</f>
        <v>1.192E-2</v>
      </c>
      <c r="T314">
        <f t="shared" si="16"/>
        <v>9.8697599999999994</v>
      </c>
      <c r="U314" s="5"/>
      <c r="AN314" s="5"/>
      <c r="AO314" s="5"/>
      <c r="AV314" s="5"/>
      <c r="AX314" s="5"/>
      <c r="BB314" s="6"/>
      <c r="BC314" s="5"/>
    </row>
    <row r="315" spans="1:55" x14ac:dyDescent="0.3">
      <c r="E315" t="s">
        <v>298</v>
      </c>
      <c r="F315" s="69"/>
      <c r="G315">
        <f t="shared" si="21"/>
        <v>52</v>
      </c>
      <c r="H315" s="14">
        <f>AA74</f>
        <v>3.88</v>
      </c>
      <c r="I315">
        <f t="shared" si="14"/>
        <v>201.76</v>
      </c>
      <c r="J315" s="5"/>
      <c r="K315" s="14">
        <f>AD74</f>
        <v>78.5</v>
      </c>
      <c r="L315">
        <f>K315*G315</f>
        <v>4082</v>
      </c>
      <c r="M315" s="5"/>
      <c r="P315" s="14">
        <f>AI74</f>
        <v>0.62</v>
      </c>
      <c r="Q315">
        <f t="shared" si="13"/>
        <v>32.24</v>
      </c>
      <c r="R315" s="5"/>
      <c r="S315" s="14">
        <f>AL74</f>
        <v>0.31900000000000001</v>
      </c>
      <c r="T315">
        <f t="shared" si="16"/>
        <v>16.588000000000001</v>
      </c>
      <c r="U315" s="5"/>
      <c r="AN315" s="5"/>
      <c r="AO315" s="5"/>
      <c r="AV315" s="5"/>
      <c r="AX315" s="5"/>
      <c r="BB315" s="6"/>
      <c r="BC315" s="5"/>
    </row>
    <row r="316" spans="1:55" x14ac:dyDescent="0.3">
      <c r="E316" t="s">
        <v>133</v>
      </c>
      <c r="F316" s="69"/>
      <c r="G316">
        <f t="shared" si="21"/>
        <v>250</v>
      </c>
      <c r="H316">
        <f>AA45</f>
        <v>36.6</v>
      </c>
      <c r="I316">
        <f t="shared" si="14"/>
        <v>9150</v>
      </c>
      <c r="J316" s="5"/>
      <c r="K316">
        <f>AD45</f>
        <v>570</v>
      </c>
      <c r="L316">
        <f t="shared" ref="L316:L317" si="25">K316*G316</f>
        <v>142500</v>
      </c>
      <c r="M316" s="5"/>
      <c r="P316">
        <f>AI45</f>
        <v>0.31</v>
      </c>
      <c r="Q316">
        <f t="shared" si="13"/>
        <v>77.5</v>
      </c>
      <c r="R316" s="5"/>
      <c r="S316">
        <f>AL45</f>
        <v>0.1595</v>
      </c>
      <c r="T316">
        <f t="shared" si="16"/>
        <v>39.875</v>
      </c>
      <c r="U316" s="5"/>
      <c r="AN316" s="5"/>
      <c r="AO316" s="5"/>
      <c r="AV316" s="5"/>
      <c r="AX316" s="5"/>
      <c r="BB316" s="6"/>
      <c r="BC316" s="5"/>
    </row>
    <row r="317" spans="1:55" x14ac:dyDescent="0.3">
      <c r="E317" t="s">
        <v>68</v>
      </c>
      <c r="F317" s="69"/>
      <c r="G317">
        <f t="shared" si="21"/>
        <v>47.999999999999993</v>
      </c>
      <c r="H317">
        <f>AA39</f>
        <v>4.46</v>
      </c>
      <c r="I317">
        <f t="shared" si="14"/>
        <v>214.07999999999996</v>
      </c>
      <c r="J317" s="5"/>
      <c r="K317">
        <f>AD39</f>
        <v>82.8</v>
      </c>
      <c r="L317">
        <f t="shared" si="25"/>
        <v>3974.3999999999992</v>
      </c>
      <c r="M317" s="5"/>
      <c r="P317">
        <f>AI39</f>
        <v>0.31</v>
      </c>
      <c r="Q317">
        <f t="shared" si="13"/>
        <v>14.879999999999997</v>
      </c>
      <c r="R317" s="5"/>
      <c r="S317">
        <f>AL39</f>
        <v>0.1595</v>
      </c>
      <c r="T317">
        <f t="shared" si="16"/>
        <v>7.6559999999999988</v>
      </c>
      <c r="U317" s="5"/>
      <c r="AN317" s="5"/>
      <c r="AO317" s="5"/>
      <c r="AV317" s="5"/>
      <c r="AX317" s="5"/>
      <c r="BB317" s="6"/>
      <c r="BC317" s="5"/>
    </row>
    <row r="318" spans="1:55" x14ac:dyDescent="0.3">
      <c r="F318" s="1"/>
      <c r="J318" s="5"/>
      <c r="M318" s="5"/>
      <c r="R318" s="5"/>
      <c r="U318" s="5"/>
      <c r="AN318" s="5"/>
      <c r="AO318" s="5"/>
      <c r="AV318" s="5"/>
      <c r="AX318" s="5"/>
      <c r="BB318" s="6"/>
      <c r="BC318" s="5"/>
    </row>
    <row r="319" spans="1:55" x14ac:dyDescent="0.3">
      <c r="E319" t="s">
        <v>115</v>
      </c>
      <c r="F319" s="69"/>
      <c r="G319">
        <f>G126</f>
        <v>10</v>
      </c>
      <c r="H319" s="14">
        <f>AA40</f>
        <v>378</v>
      </c>
      <c r="I319" s="14">
        <f t="shared" si="14"/>
        <v>3780</v>
      </c>
      <c r="J319" s="5"/>
      <c r="K319" s="14">
        <f>AD40</f>
        <v>5670</v>
      </c>
      <c r="L319">
        <f>K319*G319</f>
        <v>56700</v>
      </c>
      <c r="M319" s="5"/>
      <c r="P319" s="14">
        <f>AI40</f>
        <v>0.31</v>
      </c>
      <c r="Q319">
        <f t="shared" si="13"/>
        <v>3.1</v>
      </c>
      <c r="R319" s="5"/>
      <c r="S319" s="14">
        <f>AL40</f>
        <v>0.1595</v>
      </c>
      <c r="T319">
        <f t="shared" si="16"/>
        <v>1.595</v>
      </c>
      <c r="U319" s="5"/>
      <c r="AN319" s="5"/>
      <c r="AO319" s="5"/>
      <c r="AV319" s="5"/>
      <c r="AX319" s="5"/>
      <c r="BB319" s="6"/>
      <c r="BC319" s="5"/>
    </row>
    <row r="320" spans="1:55" x14ac:dyDescent="0.3">
      <c r="E320" t="s">
        <v>132</v>
      </c>
      <c r="F320" s="69"/>
      <c r="G320">
        <f>G127</f>
        <v>2516</v>
      </c>
      <c r="H320">
        <f>AA43</f>
        <v>7.96</v>
      </c>
      <c r="I320">
        <f t="shared" si="14"/>
        <v>20027.36</v>
      </c>
      <c r="J320" s="5"/>
      <c r="K320">
        <f>AD43</f>
        <v>108</v>
      </c>
      <c r="L320">
        <f t="shared" ref="L320" si="26">K320*G320</f>
        <v>271728</v>
      </c>
      <c r="M320" s="5"/>
      <c r="P320">
        <f>AI43</f>
        <v>6.2E-2</v>
      </c>
      <c r="Q320">
        <f t="shared" si="13"/>
        <v>155.99199999999999</v>
      </c>
      <c r="R320" s="5"/>
      <c r="S320">
        <f>AL43</f>
        <v>3.1900000000000005E-2</v>
      </c>
      <c r="T320">
        <f t="shared" si="16"/>
        <v>80.260400000000018</v>
      </c>
      <c r="U320" s="5"/>
      <c r="AN320" s="5"/>
      <c r="AO320" s="5"/>
      <c r="AV320" s="5"/>
      <c r="AX320" s="5"/>
      <c r="BB320" s="6"/>
      <c r="BC320" s="5"/>
    </row>
    <row r="321" spans="1:55" x14ac:dyDescent="0.3">
      <c r="E321" t="s">
        <v>301</v>
      </c>
      <c r="F321" s="69"/>
      <c r="G321">
        <f>G128</f>
        <v>406</v>
      </c>
      <c r="H321">
        <f>AA5</f>
        <v>1.57</v>
      </c>
      <c r="I321">
        <f t="shared" si="14"/>
        <v>637.42000000000007</v>
      </c>
      <c r="J321" s="5"/>
      <c r="K321">
        <f>AD5</f>
        <v>20.9</v>
      </c>
      <c r="L321">
        <f>K321*G321</f>
        <v>8485.4</v>
      </c>
      <c r="M321" s="5"/>
      <c r="P321">
        <f>AI5</f>
        <v>3.368E-4</v>
      </c>
      <c r="Q321">
        <f t="shared" si="13"/>
        <v>0.1367408</v>
      </c>
      <c r="R321" s="5"/>
      <c r="S321">
        <f>AL5</f>
        <v>1.192E-2</v>
      </c>
      <c r="T321">
        <f t="shared" si="16"/>
        <v>4.8395200000000003</v>
      </c>
      <c r="U321" s="5"/>
      <c r="AN321" s="5"/>
      <c r="AO321" s="5"/>
      <c r="AV321" s="5"/>
      <c r="AX321" s="5"/>
      <c r="BB321" s="6"/>
      <c r="BC321" s="5"/>
    </row>
    <row r="322" spans="1:55" x14ac:dyDescent="0.3">
      <c r="E322" t="s">
        <v>300</v>
      </c>
      <c r="F322" s="69"/>
      <c r="G322">
        <f>G129</f>
        <v>10</v>
      </c>
      <c r="H322">
        <f>AA38</f>
        <v>4.18</v>
      </c>
      <c r="I322">
        <f t="shared" si="14"/>
        <v>41.8</v>
      </c>
      <c r="J322" s="5"/>
      <c r="K322">
        <f>AD38</f>
        <v>98.8</v>
      </c>
      <c r="L322">
        <f t="shared" ref="L322:L324" si="27">K322*G322</f>
        <v>988</v>
      </c>
      <c r="M322" s="5"/>
      <c r="P322">
        <f>AI38</f>
        <v>1.6628169827586208</v>
      </c>
      <c r="Q322">
        <f t="shared" si="13"/>
        <v>16.628169827586209</v>
      </c>
      <c r="R322" s="5"/>
      <c r="S322">
        <f>AL38</f>
        <v>0.38900000000000001</v>
      </c>
      <c r="T322">
        <f t="shared" si="16"/>
        <v>3.89</v>
      </c>
      <c r="U322" s="5"/>
      <c r="AN322" s="5"/>
      <c r="AO322" s="5"/>
      <c r="AV322" s="5"/>
      <c r="AX322" s="5"/>
      <c r="BB322" s="6"/>
      <c r="BC322" s="5"/>
    </row>
    <row r="323" spans="1:55" x14ac:dyDescent="0.3">
      <c r="F323" s="1"/>
      <c r="J323" s="5"/>
      <c r="M323" s="5"/>
      <c r="R323" s="5"/>
      <c r="U323" s="5"/>
      <c r="AN323" s="5"/>
      <c r="AO323" s="5"/>
      <c r="AV323" s="5"/>
      <c r="AX323" s="5"/>
      <c r="BB323" s="6"/>
      <c r="BC323" s="5"/>
    </row>
    <row r="324" spans="1:55" x14ac:dyDescent="0.3">
      <c r="E324" s="250" t="s">
        <v>304</v>
      </c>
      <c r="F324" s="69"/>
      <c r="G324">
        <f>G312</f>
        <v>540</v>
      </c>
      <c r="H324" s="14">
        <f>AA31</f>
        <v>7.92</v>
      </c>
      <c r="I324">
        <f t="shared" ref="I324:I330" si="28">G324*H324</f>
        <v>4276.8</v>
      </c>
      <c r="J324" s="5"/>
      <c r="K324" s="14">
        <f>AD31</f>
        <v>121</v>
      </c>
      <c r="L324">
        <f t="shared" si="27"/>
        <v>65340</v>
      </c>
      <c r="M324" s="5"/>
      <c r="R324" s="5"/>
      <c r="U324" s="5"/>
      <c r="AN324" s="5"/>
      <c r="AO324" s="5"/>
      <c r="AV324" s="5"/>
      <c r="AX324" s="5"/>
      <c r="BB324" s="6"/>
      <c r="BC324" s="5"/>
    </row>
    <row r="325" spans="1:55" x14ac:dyDescent="0.3">
      <c r="E325" s="250" t="s">
        <v>25</v>
      </c>
      <c r="F325" s="69"/>
      <c r="G325">
        <f>G310+G314</f>
        <v>1156</v>
      </c>
      <c r="H325" s="14">
        <f>AA25</f>
        <v>2.23</v>
      </c>
      <c r="I325">
        <f t="shared" si="28"/>
        <v>2577.88</v>
      </c>
      <c r="J325" s="5"/>
      <c r="K325" s="14">
        <f>AD25</f>
        <v>37.6</v>
      </c>
      <c r="L325">
        <f>K325*G325</f>
        <v>43465.599999999999</v>
      </c>
      <c r="M325" s="5"/>
      <c r="R325" s="5"/>
      <c r="U325" s="5"/>
      <c r="AN325" s="5"/>
      <c r="AO325" s="5"/>
      <c r="AV325" s="5"/>
      <c r="AX325" s="5"/>
      <c r="BB325" s="6"/>
      <c r="BC325" s="5"/>
    </row>
    <row r="326" spans="1:55" x14ac:dyDescent="0.3">
      <c r="E326" s="250" t="s">
        <v>7</v>
      </c>
      <c r="F326" s="69"/>
      <c r="G326">
        <f>G321</f>
        <v>406</v>
      </c>
      <c r="H326" s="14">
        <f>AA24</f>
        <v>1.6</v>
      </c>
      <c r="I326">
        <f t="shared" si="28"/>
        <v>649.6</v>
      </c>
      <c r="J326" s="5"/>
      <c r="K326" s="14">
        <f>AD24</f>
        <v>27.8</v>
      </c>
      <c r="L326">
        <f t="shared" ref="L326:L330" si="29">K326*G326</f>
        <v>11286.800000000001</v>
      </c>
      <c r="M326" s="5"/>
      <c r="R326" s="5"/>
      <c r="U326" s="5"/>
      <c r="AN326" s="5"/>
      <c r="AO326" s="5"/>
      <c r="AV326" s="5"/>
      <c r="AX326" s="5"/>
      <c r="BB326" s="6"/>
      <c r="BC326" s="5"/>
    </row>
    <row r="327" spans="1:55" x14ac:dyDescent="0.3">
      <c r="E327" s="250" t="s">
        <v>1329</v>
      </c>
      <c r="F327" s="69"/>
      <c r="G327">
        <f>G309</f>
        <v>2726</v>
      </c>
      <c r="H327" s="14">
        <f>AA30</f>
        <v>3.53</v>
      </c>
      <c r="I327">
        <f t="shared" si="28"/>
        <v>9622.7799999999988</v>
      </c>
      <c r="J327" s="5"/>
      <c r="K327" s="14">
        <f>AD30</f>
        <v>49.7</v>
      </c>
      <c r="L327">
        <f t="shared" si="29"/>
        <v>135482.20000000001</v>
      </c>
      <c r="M327" s="5"/>
      <c r="R327" s="5"/>
      <c r="U327" s="5"/>
      <c r="AN327" s="5"/>
      <c r="AO327" s="5"/>
      <c r="AV327" s="5"/>
      <c r="AX327" s="5"/>
      <c r="BB327" s="6"/>
      <c r="BC327" s="5"/>
    </row>
    <row r="328" spans="1:55" x14ac:dyDescent="0.3">
      <c r="E328" s="38" t="s">
        <v>1316</v>
      </c>
      <c r="F328" s="69"/>
      <c r="G328">
        <f>G308</f>
        <v>9458</v>
      </c>
      <c r="H328" s="14">
        <f>AA76</f>
        <v>5.1665818409084743</v>
      </c>
      <c r="I328">
        <f t="shared" si="28"/>
        <v>48865.531051312348</v>
      </c>
      <c r="J328" s="5"/>
      <c r="K328" s="14">
        <f>AD76</f>
        <v>104.25763350542371</v>
      </c>
      <c r="L328">
        <f t="shared" si="29"/>
        <v>986068.69769429741</v>
      </c>
      <c r="M328" s="5"/>
      <c r="P328" s="14">
        <f>AI76</f>
        <v>9.845247839999996E-2</v>
      </c>
      <c r="Q328">
        <f t="shared" ref="Q328" si="30">P328*G328</f>
        <v>931.16354070719967</v>
      </c>
      <c r="R328" s="5"/>
      <c r="S328" s="14">
        <f>AL76</f>
        <v>5.0655388079999981E-2</v>
      </c>
      <c r="T328">
        <f t="shared" si="16"/>
        <v>479.09866046063985</v>
      </c>
      <c r="U328" s="5"/>
      <c r="AN328" s="5"/>
      <c r="AO328" s="5"/>
      <c r="AV328" s="5"/>
      <c r="AX328" s="5"/>
      <c r="BB328" s="6"/>
      <c r="BC328" s="5"/>
    </row>
    <row r="329" spans="1:55" x14ac:dyDescent="0.3">
      <c r="E329" s="38"/>
      <c r="F329" s="69"/>
      <c r="H329" s="14"/>
      <c r="J329" s="5"/>
      <c r="K329" s="14"/>
      <c r="M329" s="5"/>
      <c r="P329" s="14"/>
      <c r="R329" s="5"/>
      <c r="S329" s="14"/>
      <c r="U329" s="5"/>
      <c r="AN329" s="5"/>
      <c r="AO329" s="5"/>
      <c r="AV329" s="5"/>
      <c r="AX329" s="5"/>
      <c r="BB329" s="6"/>
      <c r="BC329" s="5"/>
    </row>
    <row r="330" spans="1:55" x14ac:dyDescent="0.3">
      <c r="E330" s="38" t="s">
        <v>276</v>
      </c>
      <c r="F330" s="69"/>
      <c r="G330">
        <f>G328</f>
        <v>9458</v>
      </c>
      <c r="H330" s="14">
        <f>AA75</f>
        <v>1.396493244</v>
      </c>
      <c r="I330">
        <f t="shared" si="28"/>
        <v>13208.033101752</v>
      </c>
      <c r="J330" s="5"/>
      <c r="K330" s="14">
        <f>AD75</f>
        <v>31.584411360000001</v>
      </c>
      <c r="L330">
        <f t="shared" si="29"/>
        <v>298725.36264288001</v>
      </c>
      <c r="M330" s="5"/>
      <c r="P330" s="14">
        <f>AI75</f>
        <v>0.17302907820000002</v>
      </c>
      <c r="Q330">
        <f t="shared" ref="Q330" si="31">P330*G330</f>
        <v>1636.5090216156002</v>
      </c>
      <c r="R330" s="5"/>
      <c r="S330" s="14">
        <f>AL75</f>
        <v>0.11096542650000001</v>
      </c>
      <c r="T330">
        <f>S330*G330</f>
        <v>1049.5110038370001</v>
      </c>
      <c r="U330" s="5"/>
      <c r="AN330" s="5"/>
      <c r="AO330" s="5"/>
      <c r="AV330" s="5"/>
      <c r="AX330" s="5"/>
      <c r="BB330" s="6"/>
      <c r="BC330" s="5"/>
    </row>
    <row r="331" spans="1:55" x14ac:dyDescent="0.3">
      <c r="F331" s="1"/>
      <c r="J331" s="5"/>
      <c r="M331" s="5"/>
      <c r="R331" s="5"/>
      <c r="U331" s="5"/>
      <c r="AN331" s="5"/>
      <c r="AO331" s="5"/>
      <c r="AV331" s="5"/>
      <c r="AX331" s="5"/>
      <c r="BB331" s="6"/>
      <c r="BC331" s="5"/>
    </row>
    <row r="332" spans="1:55" s="12" customFormat="1" x14ac:dyDescent="0.3">
      <c r="A332"/>
      <c r="C332" s="12" t="s">
        <v>16</v>
      </c>
      <c r="F332" s="68"/>
      <c r="G332" s="12">
        <f>G333+G338+G343+G374</f>
        <v>183606.69859521228</v>
      </c>
      <c r="J332" s="13"/>
      <c r="M332" s="13"/>
      <c r="R332" s="13"/>
      <c r="U332" s="13"/>
      <c r="AN332" s="13"/>
      <c r="AO332" s="13"/>
      <c r="AV332" s="13"/>
      <c r="AX332" s="13"/>
      <c r="BB332" s="73"/>
      <c r="BC332" s="13"/>
    </row>
    <row r="333" spans="1:55" s="9" customFormat="1" x14ac:dyDescent="0.3">
      <c r="A333"/>
      <c r="D333" s="9" t="s">
        <v>305</v>
      </c>
      <c r="F333" s="67"/>
      <c r="G333" s="9">
        <f>S125</f>
        <v>25600.859031817003</v>
      </c>
      <c r="J333" s="11">
        <f>SUM(I334:I337)</f>
        <v>82889.436191252054</v>
      </c>
      <c r="M333" s="11">
        <f>SUM(L334:L337)</f>
        <v>1198154.9522099691</v>
      </c>
      <c r="R333" s="11">
        <f>SUM(Q334:Q337)</f>
        <v>8.6223693219159667</v>
      </c>
      <c r="U333" s="11">
        <f>SUM(T334:T337)</f>
        <v>305.16223965925866</v>
      </c>
      <c r="X333" s="9">
        <f>G333</f>
        <v>25600.859031817003</v>
      </c>
      <c r="Y333" s="9" t="str">
        <f>$X$83</f>
        <v>ship ferry</v>
      </c>
      <c r="Z333" s="9">
        <f>$F$19</f>
        <v>2000</v>
      </c>
      <c r="AA333" s="9">
        <f>$AA$83</f>
        <v>0.109</v>
      </c>
      <c r="AB333" s="9">
        <f>AA333*Z333*X333/1000</f>
        <v>5580.9872689361073</v>
      </c>
      <c r="AC333" s="9">
        <f>$AD$83</f>
        <v>1.5</v>
      </c>
      <c r="AD333" s="9">
        <f>AC333*Z333*X333/1000</f>
        <v>76802.577095451008</v>
      </c>
      <c r="AF333" s="9" t="s">
        <v>61</v>
      </c>
      <c r="AG333" s="9">
        <f>$G$19</f>
        <v>500</v>
      </c>
      <c r="AH333" s="9">
        <f>$AA$81</f>
        <v>8.9976823999999997E-2</v>
      </c>
      <c r="AI333" s="9">
        <f>AH333*AG333*X333/1000</f>
        <v>1151.7419936773044</v>
      </c>
      <c r="AJ333" s="9">
        <f>$AD$81</f>
        <v>1.52</v>
      </c>
      <c r="AK333" s="9">
        <f>AJ333*AG333*X333/1000</f>
        <v>19456.652864180924</v>
      </c>
      <c r="AN333" s="11">
        <f>AI333+AB333</f>
        <v>6732.7292626134113</v>
      </c>
      <c r="AO333" s="11">
        <f>AD333+AK333</f>
        <v>96259.229959631935</v>
      </c>
      <c r="AS333" s="9" t="s">
        <v>161</v>
      </c>
      <c r="AT333" s="9">
        <f>$G$21</f>
        <v>200</v>
      </c>
      <c r="AU333" s="9">
        <f>$AA$81</f>
        <v>8.9976823999999997E-2</v>
      </c>
      <c r="AV333" s="11">
        <f>(AU333*AT333*X333)/1000</f>
        <v>460.69679747092175</v>
      </c>
      <c r="AW333" s="9">
        <f>$AD$81</f>
        <v>1.52</v>
      </c>
      <c r="AX333" s="11">
        <f>(AW333*AT333*X333)/1000</f>
        <v>7782.6611456723685</v>
      </c>
      <c r="BB333" s="74">
        <f>AV333+AN333+R333+J333</f>
        <v>90091.484620658302</v>
      </c>
      <c r="BC333" s="11">
        <f>AX333+AO333+U333+M333</f>
        <v>1302502.0055549326</v>
      </c>
    </row>
    <row r="334" spans="1:55" x14ac:dyDescent="0.3">
      <c r="E334" t="s">
        <v>114</v>
      </c>
      <c r="F334" s="1">
        <v>1</v>
      </c>
      <c r="G334">
        <f>F334*G333</f>
        <v>25600.859031817003</v>
      </c>
      <c r="H334">
        <f>AA10</f>
        <v>2.02</v>
      </c>
      <c r="I334">
        <f t="shared" si="14"/>
        <v>51713.735244270349</v>
      </c>
      <c r="J334" s="5"/>
      <c r="K334">
        <f>AD10</f>
        <v>25.2</v>
      </c>
      <c r="L334">
        <f>K334*G334</f>
        <v>645141.6476017884</v>
      </c>
      <c r="M334" s="5"/>
      <c r="P334">
        <f>AI10</f>
        <v>3.368E-4</v>
      </c>
      <c r="Q334">
        <f t="shared" ref="Q334:Q393" si="32">P334*G334</f>
        <v>8.6223693219159667</v>
      </c>
      <c r="R334" s="5"/>
      <c r="S334">
        <f>AL10</f>
        <v>1.192E-2</v>
      </c>
      <c r="T334">
        <f t="shared" si="16"/>
        <v>305.16223965925866</v>
      </c>
      <c r="U334" s="5"/>
      <c r="AN334" s="5"/>
      <c r="AO334" s="5"/>
      <c r="AV334" s="5"/>
      <c r="AX334" s="5"/>
      <c r="BB334" s="6"/>
      <c r="BC334" s="5"/>
    </row>
    <row r="335" spans="1:55" x14ac:dyDescent="0.3">
      <c r="E335" t="s">
        <v>109</v>
      </c>
      <c r="F335" s="1" t="s">
        <v>834</v>
      </c>
      <c r="G335">
        <f>R129</f>
        <v>1277.7794171479227</v>
      </c>
      <c r="H335" s="14">
        <f>AA28</f>
        <v>5.0999999999999996</v>
      </c>
      <c r="I335">
        <f t="shared" ref="I335" si="33">G335*H335</f>
        <v>6516.6750274544056</v>
      </c>
      <c r="J335" s="5"/>
      <c r="K335" s="14">
        <f>AD28</f>
        <v>89.3</v>
      </c>
      <c r="L335">
        <f>K335*G335</f>
        <v>114105.70195130949</v>
      </c>
      <c r="M335" s="5"/>
      <c r="P335" s="14">
        <f>AI28</f>
        <v>0</v>
      </c>
      <c r="Q335">
        <f t="shared" si="32"/>
        <v>0</v>
      </c>
      <c r="R335" s="5"/>
      <c r="S335" s="14">
        <f>AL28</f>
        <v>0</v>
      </c>
      <c r="T335">
        <f t="shared" si="16"/>
        <v>0</v>
      </c>
      <c r="U335" s="5"/>
      <c r="AN335" s="5"/>
      <c r="AO335" s="5"/>
      <c r="AV335" s="5"/>
      <c r="AX335" s="5"/>
      <c r="BB335" s="6"/>
      <c r="BC335" s="5"/>
    </row>
    <row r="336" spans="1:55" x14ac:dyDescent="0.3">
      <c r="E336" t="s">
        <v>1343</v>
      </c>
      <c r="F336" s="1" t="s">
        <v>834</v>
      </c>
      <c r="G336">
        <f>G335</f>
        <v>1277.7794171479227</v>
      </c>
      <c r="H336" s="14">
        <f>AA29</f>
        <v>3.27</v>
      </c>
      <c r="I336">
        <f t="shared" si="14"/>
        <v>4178.3386940737073</v>
      </c>
      <c r="J336" s="5"/>
      <c r="K336" s="14">
        <f>AD29</f>
        <v>65</v>
      </c>
      <c r="L336">
        <f t="shared" ref="L336:L337" si="34">K336*G336</f>
        <v>83055.66211461497</v>
      </c>
      <c r="M336" s="5"/>
      <c r="P336" s="14">
        <f>AI29</f>
        <v>0</v>
      </c>
      <c r="Q336">
        <f t="shared" si="32"/>
        <v>0</v>
      </c>
      <c r="R336" s="5"/>
      <c r="S336" s="14">
        <f>AL29</f>
        <v>0</v>
      </c>
      <c r="T336">
        <f t="shared" si="16"/>
        <v>0</v>
      </c>
      <c r="U336" s="5"/>
      <c r="AN336" s="5"/>
      <c r="AO336" s="5"/>
      <c r="AV336" s="5"/>
      <c r="AX336" s="5"/>
      <c r="BB336" s="6"/>
      <c r="BC336" s="5"/>
    </row>
    <row r="337" spans="1:55" x14ac:dyDescent="0.3">
      <c r="E337" t="s">
        <v>1556</v>
      </c>
      <c r="F337" s="1"/>
      <c r="G337">
        <f>G334/2</f>
        <v>12800.429515908501</v>
      </c>
      <c r="H337" s="14">
        <f>AA24</f>
        <v>1.6</v>
      </c>
      <c r="I337">
        <f t="shared" si="14"/>
        <v>20480.687225453603</v>
      </c>
      <c r="J337" s="5"/>
      <c r="K337" s="14">
        <f>AD24</f>
        <v>27.8</v>
      </c>
      <c r="L337">
        <f t="shared" si="34"/>
        <v>355851.94054225634</v>
      </c>
      <c r="M337" s="5"/>
      <c r="P337" s="14">
        <f>AI24</f>
        <v>0</v>
      </c>
      <c r="Q337">
        <f t="shared" si="32"/>
        <v>0</v>
      </c>
      <c r="R337" s="5"/>
      <c r="S337" s="14">
        <f>AL24</f>
        <v>0</v>
      </c>
      <c r="T337">
        <f t="shared" si="16"/>
        <v>0</v>
      </c>
      <c r="U337" s="5"/>
      <c r="AN337" s="5"/>
      <c r="AO337" s="5"/>
      <c r="AV337" s="5"/>
      <c r="AX337" s="5"/>
      <c r="BB337" s="6"/>
      <c r="BC337" s="5"/>
    </row>
    <row r="338" spans="1:55" s="9" customFormat="1" x14ac:dyDescent="0.3">
      <c r="A338"/>
      <c r="D338" s="9" t="s">
        <v>13</v>
      </c>
      <c r="F338" s="67"/>
      <c r="G338" s="9">
        <f>T139+T141</f>
        <v>102505.83956339528</v>
      </c>
      <c r="J338" s="11">
        <f>SUM(I339:I342)</f>
        <v>387607.24608532211</v>
      </c>
      <c r="M338" s="11">
        <f>SUM(L339:L342)</f>
        <v>5615087.6131664868</v>
      </c>
      <c r="R338" s="11">
        <f>SUM(Q339:Q342)</f>
        <v>44.217803719754329</v>
      </c>
      <c r="U338" s="11">
        <f>SUM(T339:T342)</f>
        <v>1246.1474142327243</v>
      </c>
      <c r="X338" s="9">
        <f>G338</f>
        <v>102505.83956339528</v>
      </c>
      <c r="Y338" s="9" t="str">
        <f>$X$83</f>
        <v>ship ferry</v>
      </c>
      <c r="Z338" s="9">
        <f>$F$19</f>
        <v>2000</v>
      </c>
      <c r="AA338" s="9">
        <f>$AA$83</f>
        <v>0.109</v>
      </c>
      <c r="AB338" s="9">
        <f>AA338*Z338*X338/1000</f>
        <v>22346.27302482017</v>
      </c>
      <c r="AC338" s="9">
        <f>$AD$83</f>
        <v>1.5</v>
      </c>
      <c r="AD338" s="9">
        <f>AC338*Z338*X338/1000</f>
        <v>307517.51869018585</v>
      </c>
      <c r="AF338" s="9" t="s">
        <v>61</v>
      </c>
      <c r="AG338" s="9">
        <f>$G$19</f>
        <v>500</v>
      </c>
      <c r="AH338" s="9">
        <f>$AA$81</f>
        <v>8.9976823999999997E-2</v>
      </c>
      <c r="AI338" s="9">
        <f>AH338*AG338*X338/1000</f>
        <v>4611.5749426839266</v>
      </c>
      <c r="AJ338" s="9">
        <f>$AD$81</f>
        <v>1.52</v>
      </c>
      <c r="AK338" s="9">
        <f>AJ338*AG338*X338/1000</f>
        <v>77904.438068180418</v>
      </c>
      <c r="AN338" s="11">
        <f>AI338+AB338</f>
        <v>26957.847967504094</v>
      </c>
      <c r="AO338" s="11">
        <f>AD338+AK338</f>
        <v>385421.95675836626</v>
      </c>
      <c r="AS338" s="9" t="s">
        <v>161</v>
      </c>
      <c r="AT338" s="9">
        <f>$G$21</f>
        <v>200</v>
      </c>
      <c r="AU338" s="9">
        <f>$AA$81</f>
        <v>8.9976823999999997E-2</v>
      </c>
      <c r="AV338" s="11">
        <f>(AU338*AT338*X338)/1000</f>
        <v>1844.6299770735707</v>
      </c>
      <c r="AW338" s="9">
        <f>$AD$81</f>
        <v>1.52</v>
      </c>
      <c r="AX338" s="11">
        <f>(AW338*AT338*X338)/1000</f>
        <v>31161.775227272163</v>
      </c>
      <c r="BB338" s="74">
        <f>AV338+AN338+R338+J338</f>
        <v>416453.94183361955</v>
      </c>
      <c r="BC338" s="11">
        <f>AX338+AO338+U338+M338</f>
        <v>6032917.4925663583</v>
      </c>
    </row>
    <row r="339" spans="1:55" x14ac:dyDescent="0.3">
      <c r="E339" t="s">
        <v>110</v>
      </c>
      <c r="F339" s="1"/>
      <c r="G339">
        <f>T139</f>
        <v>102403.43612726801</v>
      </c>
      <c r="H339" s="14">
        <f>AA12</f>
        <v>2.1795</v>
      </c>
      <c r="I339">
        <f t="shared" si="14"/>
        <v>223188.28903938062</v>
      </c>
      <c r="J339" s="5"/>
      <c r="K339" s="14">
        <f>AD12</f>
        <v>26.945</v>
      </c>
      <c r="L339">
        <f>K339*G339</f>
        <v>2759260.5864492366</v>
      </c>
      <c r="M339" s="5"/>
      <c r="P339" s="14">
        <f>AI12</f>
        <v>3.368E-4</v>
      </c>
      <c r="Q339">
        <f t="shared" si="32"/>
        <v>34.489477287663867</v>
      </c>
      <c r="R339" s="5"/>
      <c r="S339" s="14">
        <f>AL12</f>
        <v>1.192E-2</v>
      </c>
      <c r="T339">
        <f t="shared" si="16"/>
        <v>1220.6489586370346</v>
      </c>
      <c r="U339" s="5"/>
      <c r="AN339" s="5"/>
      <c r="AO339" s="5"/>
      <c r="AV339" s="5"/>
      <c r="AX339" s="5"/>
      <c r="BB339" s="6"/>
      <c r="BC339" s="5"/>
    </row>
    <row r="340" spans="1:55" x14ac:dyDescent="0.3">
      <c r="E340" t="s">
        <v>138</v>
      </c>
      <c r="F340" s="1"/>
      <c r="G340">
        <f>T141</f>
        <v>102.40343612726801</v>
      </c>
      <c r="H340" s="14">
        <f>AA37</f>
        <v>5.6</v>
      </c>
      <c r="I340">
        <f t="shared" ref="I340" si="35">G340*H340</f>
        <v>573.45924231270078</v>
      </c>
      <c r="J340" s="5"/>
      <c r="K340" s="14">
        <f>AD37</f>
        <v>88</v>
      </c>
      <c r="L340">
        <f>K340*G340</f>
        <v>9011.5023791995845</v>
      </c>
      <c r="M340" s="5"/>
      <c r="P340" s="14">
        <f>AI37</f>
        <v>9.5000000000000001E-2</v>
      </c>
      <c r="Q340">
        <f t="shared" ref="Q340" si="36">P340*G340</f>
        <v>9.7283264320904603</v>
      </c>
      <c r="R340" s="5"/>
      <c r="S340" s="14">
        <f>AL37</f>
        <v>0.249</v>
      </c>
      <c r="T340">
        <f t="shared" ref="T340" si="37">S340*G340</f>
        <v>25.498455595689734</v>
      </c>
      <c r="U340" s="5"/>
      <c r="AN340" s="5"/>
      <c r="AO340" s="5"/>
      <c r="AV340" s="5"/>
      <c r="AX340" s="5"/>
      <c r="BB340" s="6"/>
      <c r="BC340" s="5"/>
    </row>
    <row r="341" spans="1:55" x14ac:dyDescent="0.3">
      <c r="E341" t="s">
        <v>636</v>
      </c>
      <c r="F341" s="1"/>
      <c r="G341">
        <f>T142</f>
        <v>0</v>
      </c>
      <c r="H341" s="14">
        <f>AA27</f>
        <v>0.14899999999999999</v>
      </c>
      <c r="I341">
        <f>G341*H341</f>
        <v>0</v>
      </c>
      <c r="J341" s="5"/>
      <c r="K341" s="14">
        <f>AD27</f>
        <v>2.58</v>
      </c>
      <c r="L341">
        <f>K341*G341</f>
        <v>0</v>
      </c>
      <c r="M341" s="5"/>
      <c r="P341" s="14"/>
      <c r="R341" s="5"/>
      <c r="S341" s="14"/>
      <c r="U341" s="5"/>
      <c r="AN341" s="5"/>
      <c r="AO341" s="5"/>
      <c r="AV341" s="5"/>
      <c r="AX341" s="5"/>
      <c r="BB341" s="6"/>
      <c r="BC341" s="5"/>
    </row>
    <row r="342" spans="1:55" x14ac:dyDescent="0.3">
      <c r="E342" t="s">
        <v>1508</v>
      </c>
      <c r="F342" s="1"/>
      <c r="G342">
        <f>T143</f>
        <v>102403.43612726801</v>
      </c>
      <c r="H342" s="14">
        <f>AA24</f>
        <v>1.6</v>
      </c>
      <c r="I342">
        <f>G342*H342</f>
        <v>163845.49780362882</v>
      </c>
      <c r="J342" s="5"/>
      <c r="K342" s="14">
        <f>AD24</f>
        <v>27.8</v>
      </c>
      <c r="L342">
        <f>K342*G342</f>
        <v>2846815.5243380507</v>
      </c>
      <c r="M342" s="5"/>
      <c r="P342" s="14"/>
      <c r="R342" s="5"/>
      <c r="S342" s="14"/>
      <c r="U342" s="5"/>
      <c r="AN342" s="5"/>
      <c r="AO342" s="5"/>
      <c r="AV342" s="5"/>
      <c r="AX342" s="5"/>
      <c r="BB342" s="6"/>
      <c r="BC342" s="5"/>
    </row>
    <row r="343" spans="1:55" s="9" customFormat="1" x14ac:dyDescent="0.3">
      <c r="A343"/>
      <c r="D343" s="9" t="s">
        <v>17</v>
      </c>
      <c r="F343" s="67"/>
      <c r="G343" s="9">
        <f>X153</f>
        <v>32800</v>
      </c>
      <c r="J343" s="11">
        <f>SUM(I344:I355)</f>
        <v>132296.28</v>
      </c>
      <c r="M343" s="11">
        <f>SUM(L344:L355)</f>
        <v>1953272.4</v>
      </c>
      <c r="R343" s="11">
        <f>SUM(Q344:Q355)</f>
        <v>211.21584000000001</v>
      </c>
      <c r="U343" s="11">
        <f>SUM(T344:T355)</f>
        <v>453.54319999999996</v>
      </c>
      <c r="X343" s="9">
        <f>G343</f>
        <v>32800</v>
      </c>
      <c r="Y343" s="9" t="str">
        <f>$X$83</f>
        <v>ship ferry</v>
      </c>
      <c r="Z343" s="9">
        <f>$F$19</f>
        <v>2000</v>
      </c>
      <c r="AA343" s="9">
        <f>$AA$83</f>
        <v>0.109</v>
      </c>
      <c r="AB343" s="9">
        <f>AA343*Z343*X343/1000</f>
        <v>7150.4</v>
      </c>
      <c r="AC343" s="9">
        <f>$AD$83</f>
        <v>1.5</v>
      </c>
      <c r="AD343" s="9">
        <f>AC343*Z343*X343/1000</f>
        <v>98400</v>
      </c>
      <c r="AF343" s="9" t="s">
        <v>61</v>
      </c>
      <c r="AG343" s="9">
        <f>$G$19</f>
        <v>500</v>
      </c>
      <c r="AH343" s="9">
        <f>$AA$81</f>
        <v>8.9976823999999997E-2</v>
      </c>
      <c r="AI343" s="9">
        <f>AH343*AG343*X343/1000</f>
        <v>1475.6199135999998</v>
      </c>
      <c r="AJ343" s="9">
        <f>$AD$81</f>
        <v>1.52</v>
      </c>
      <c r="AK343" s="9">
        <f>AJ343*AG343*X343/1000</f>
        <v>24928</v>
      </c>
      <c r="AN343" s="11">
        <f>AI343+AB343</f>
        <v>8626.0199135999992</v>
      </c>
      <c r="AO343" s="11">
        <f>AD343+AK343</f>
        <v>123328</v>
      </c>
      <c r="AS343" s="9" t="s">
        <v>161</v>
      </c>
      <c r="AT343" s="9">
        <f>$G$21</f>
        <v>200</v>
      </c>
      <c r="AU343" s="9">
        <f>$AA$81</f>
        <v>8.9976823999999997E-2</v>
      </c>
      <c r="AV343" s="11">
        <f>(AU343*AT343*X343)/1000</f>
        <v>590.24796544000003</v>
      </c>
      <c r="AW343" s="9">
        <f>$AD$81</f>
        <v>1.52</v>
      </c>
      <c r="AX343" s="11">
        <f>(AW343*AT343*X343)/1000</f>
        <v>9971.2000000000007</v>
      </c>
      <c r="BB343" s="74">
        <f>AV343+AN343+R343+J343</f>
        <v>141723.76371904</v>
      </c>
      <c r="BC343" s="11">
        <f>AX343+AO343+U343+M343</f>
        <v>2087025.1431999998</v>
      </c>
    </row>
    <row r="344" spans="1:55" x14ac:dyDescent="0.3">
      <c r="D344" t="s">
        <v>399</v>
      </c>
      <c r="E344" t="s">
        <v>1481</v>
      </c>
      <c r="F344" s="1"/>
      <c r="G344">
        <f>T155</f>
        <v>22800</v>
      </c>
      <c r="H344" s="14">
        <f>AA12</f>
        <v>2.1795</v>
      </c>
      <c r="I344">
        <f>G344*H344</f>
        <v>49692.6</v>
      </c>
      <c r="J344" s="5"/>
      <c r="K344" s="14">
        <f>AD12</f>
        <v>26.945</v>
      </c>
      <c r="L344">
        <f>K344*G344</f>
        <v>614346</v>
      </c>
      <c r="M344" s="5"/>
      <c r="P344" s="14">
        <f>AI12</f>
        <v>3.368E-4</v>
      </c>
      <c r="Q344">
        <f t="shared" ref="Q344:Q373" si="38">P344*G344</f>
        <v>7.6790399999999996</v>
      </c>
      <c r="R344" s="5"/>
      <c r="S344" s="14">
        <f>AL12</f>
        <v>1.192E-2</v>
      </c>
      <c r="T344">
        <f>S344*G344</f>
        <v>271.77600000000001</v>
      </c>
      <c r="U344" s="5"/>
      <c r="AN344" s="5"/>
      <c r="AO344" s="5"/>
      <c r="AV344" s="5"/>
      <c r="AX344" s="5"/>
      <c r="BB344" s="6"/>
      <c r="BC344" s="5"/>
    </row>
    <row r="345" spans="1:55" x14ac:dyDescent="0.3">
      <c r="E345" s="326" t="s">
        <v>120</v>
      </c>
      <c r="F345" s="1"/>
      <c r="G345">
        <f>G344</f>
        <v>22800</v>
      </c>
      <c r="H345" s="14">
        <f>AA24</f>
        <v>1.6</v>
      </c>
      <c r="I345">
        <f t="shared" ref="I345:I355" si="39">G345*H345</f>
        <v>36480</v>
      </c>
      <c r="J345" s="5"/>
      <c r="K345" s="14">
        <f>AD24</f>
        <v>27.8</v>
      </c>
      <c r="L345">
        <f t="shared" ref="L345:L373" si="40">K345*G345</f>
        <v>633840</v>
      </c>
      <c r="M345" s="5"/>
      <c r="P345" s="14">
        <f>AI24</f>
        <v>0</v>
      </c>
      <c r="Q345">
        <f t="shared" si="38"/>
        <v>0</v>
      </c>
      <c r="R345" s="5"/>
      <c r="S345" s="14">
        <f>AL24</f>
        <v>0</v>
      </c>
      <c r="T345">
        <f t="shared" ref="T345:T373" si="41">S345*G345</f>
        <v>0</v>
      </c>
      <c r="U345" s="5"/>
      <c r="AN345" s="5"/>
      <c r="AO345" s="5"/>
      <c r="AV345" s="5"/>
      <c r="AX345" s="5"/>
      <c r="BB345" s="6"/>
      <c r="BC345" s="5"/>
    </row>
    <row r="346" spans="1:55" x14ac:dyDescent="0.3">
      <c r="E346" s="38"/>
      <c r="F346" s="1"/>
      <c r="H346" s="14"/>
      <c r="J346" s="5"/>
      <c r="K346" s="14"/>
      <c r="M346" s="5"/>
      <c r="P346" s="14"/>
      <c r="R346" s="5"/>
      <c r="S346" s="14"/>
      <c r="U346" s="5"/>
      <c r="AN346" s="5"/>
      <c r="AO346" s="5"/>
      <c r="AV346" s="5"/>
      <c r="AX346" s="5"/>
      <c r="BB346" s="6"/>
      <c r="BC346" s="5"/>
    </row>
    <row r="347" spans="1:55" x14ac:dyDescent="0.3">
      <c r="D347" t="s">
        <v>1512</v>
      </c>
      <c r="F347" s="1"/>
      <c r="I347">
        <f t="shared" si="39"/>
        <v>0</v>
      </c>
      <c r="J347" s="5"/>
      <c r="L347">
        <f t="shared" si="40"/>
        <v>0</v>
      </c>
      <c r="M347" s="5"/>
      <c r="Q347">
        <f t="shared" si="38"/>
        <v>0</v>
      </c>
      <c r="R347" s="5"/>
      <c r="T347">
        <f t="shared" si="41"/>
        <v>0</v>
      </c>
      <c r="U347" s="5"/>
      <c r="AN347" s="5"/>
      <c r="AO347" s="5"/>
      <c r="AV347" s="5"/>
      <c r="AX347" s="5"/>
      <c r="BB347" s="6"/>
      <c r="BC347" s="5"/>
    </row>
    <row r="348" spans="1:55" x14ac:dyDescent="0.3">
      <c r="E348" t="s">
        <v>24</v>
      </c>
      <c r="F348" s="1"/>
      <c r="G348">
        <f t="shared" ref="G348:G353" si="42">T162</f>
        <v>4000</v>
      </c>
      <c r="H348" s="14">
        <f>AA7</f>
        <v>4.37</v>
      </c>
      <c r="I348">
        <f t="shared" si="39"/>
        <v>17480</v>
      </c>
      <c r="J348" s="5"/>
      <c r="K348" s="14">
        <f>AD7</f>
        <v>63.8</v>
      </c>
      <c r="L348">
        <f t="shared" si="40"/>
        <v>255200</v>
      </c>
      <c r="M348" s="5"/>
      <c r="P348" s="14">
        <f>AI7</f>
        <v>3.368E-4</v>
      </c>
      <c r="Q348">
        <f t="shared" si="38"/>
        <v>1.3472</v>
      </c>
      <c r="R348" s="5"/>
      <c r="S348" s="14">
        <f>AL7</f>
        <v>1.192E-2</v>
      </c>
      <c r="T348">
        <f t="shared" si="41"/>
        <v>47.68</v>
      </c>
      <c r="U348" s="5"/>
      <c r="AN348" s="5"/>
      <c r="AO348" s="5"/>
      <c r="AV348" s="5"/>
      <c r="AX348" s="5"/>
      <c r="BB348" s="6"/>
      <c r="BC348" s="5"/>
    </row>
    <row r="349" spans="1:55" x14ac:dyDescent="0.3">
      <c r="E349" t="s">
        <v>23</v>
      </c>
      <c r="F349" s="1"/>
      <c r="G349">
        <f t="shared" si="42"/>
        <v>4000</v>
      </c>
      <c r="H349" s="14">
        <f>AA6</f>
        <v>1.7</v>
      </c>
      <c r="I349">
        <f t="shared" si="39"/>
        <v>6800</v>
      </c>
      <c r="J349" s="5"/>
      <c r="K349" s="14">
        <f>AD6</f>
        <v>22</v>
      </c>
      <c r="L349">
        <f t="shared" si="40"/>
        <v>88000</v>
      </c>
      <c r="M349" s="5"/>
      <c r="P349" s="14">
        <f>AI6</f>
        <v>4.9599999999999998E-2</v>
      </c>
      <c r="Q349">
        <f t="shared" si="38"/>
        <v>198.4</v>
      </c>
      <c r="R349" s="5"/>
      <c r="S349" s="14">
        <f>AL6</f>
        <v>2.5520000000000001E-2</v>
      </c>
      <c r="T349">
        <f t="shared" si="41"/>
        <v>102.08</v>
      </c>
      <c r="U349" s="5"/>
      <c r="AN349" s="5"/>
      <c r="AO349" s="5"/>
      <c r="AV349" s="5"/>
      <c r="AX349" s="5"/>
      <c r="BB349" s="6"/>
      <c r="BC349" s="5"/>
    </row>
    <row r="350" spans="1:55" x14ac:dyDescent="0.3">
      <c r="E350" t="s">
        <v>108</v>
      </c>
      <c r="F350" s="1"/>
      <c r="G350">
        <f t="shared" si="42"/>
        <v>2000</v>
      </c>
      <c r="H350" s="14">
        <f>AA5</f>
        <v>1.57</v>
      </c>
      <c r="I350">
        <f t="shared" si="39"/>
        <v>3140</v>
      </c>
      <c r="J350" s="5"/>
      <c r="K350" s="14">
        <f>AD5</f>
        <v>20.9</v>
      </c>
      <c r="L350">
        <f t="shared" si="40"/>
        <v>41800</v>
      </c>
      <c r="M350" s="5"/>
      <c r="P350" s="14">
        <f>AI5</f>
        <v>3.368E-4</v>
      </c>
      <c r="Q350">
        <f t="shared" si="38"/>
        <v>0.67359999999999998</v>
      </c>
      <c r="R350" s="5"/>
      <c r="S350" s="14">
        <f>AL5</f>
        <v>1.192E-2</v>
      </c>
      <c r="T350">
        <f t="shared" si="41"/>
        <v>23.84</v>
      </c>
      <c r="U350" s="5"/>
      <c r="AN350" s="5"/>
      <c r="AO350" s="5"/>
      <c r="AV350" s="5"/>
      <c r="AX350" s="5"/>
      <c r="BB350" s="6"/>
      <c r="BC350" s="5"/>
    </row>
    <row r="351" spans="1:55" x14ac:dyDescent="0.3">
      <c r="E351" s="326" t="s">
        <v>25</v>
      </c>
      <c r="F351" s="1"/>
      <c r="G351">
        <f t="shared" si="42"/>
        <v>4000</v>
      </c>
      <c r="H351" s="14">
        <f>AA25</f>
        <v>2.23</v>
      </c>
      <c r="I351">
        <f t="shared" si="39"/>
        <v>8920</v>
      </c>
      <c r="J351" s="5"/>
      <c r="K351" s="14">
        <f>AD25</f>
        <v>37.6</v>
      </c>
      <c r="L351">
        <f t="shared" si="40"/>
        <v>150400</v>
      </c>
      <c r="M351" s="5"/>
      <c r="P351" s="14">
        <f>AI25</f>
        <v>0</v>
      </c>
      <c r="Q351">
        <f t="shared" si="38"/>
        <v>0</v>
      </c>
      <c r="R351" s="5"/>
      <c r="S351" s="14">
        <f>AL25</f>
        <v>0</v>
      </c>
      <c r="T351">
        <f t="shared" si="41"/>
        <v>0</v>
      </c>
      <c r="U351" s="5"/>
      <c r="AN351" s="5"/>
      <c r="AO351" s="5"/>
      <c r="AV351" s="5"/>
      <c r="AX351" s="5"/>
      <c r="BB351" s="6"/>
      <c r="BC351" s="5"/>
    </row>
    <row r="352" spans="1:55" x14ac:dyDescent="0.3">
      <c r="E352" s="326" t="s">
        <v>1511</v>
      </c>
      <c r="F352" s="1"/>
      <c r="G352">
        <f t="shared" si="42"/>
        <v>4000</v>
      </c>
      <c r="H352" s="14">
        <f>AA32</f>
        <v>1.6</v>
      </c>
      <c r="I352">
        <f t="shared" si="39"/>
        <v>6400</v>
      </c>
      <c r="J352" s="5"/>
      <c r="K352" s="14">
        <f>AD32</f>
        <v>27.8</v>
      </c>
      <c r="L352">
        <f t="shared" si="40"/>
        <v>111200</v>
      </c>
      <c r="M352" s="5"/>
      <c r="P352" s="14">
        <f>AI32</f>
        <v>0</v>
      </c>
      <c r="Q352">
        <f t="shared" si="38"/>
        <v>0</v>
      </c>
      <c r="R352" s="5"/>
      <c r="S352" s="14">
        <f>AL32</f>
        <v>0</v>
      </c>
      <c r="T352">
        <f t="shared" si="41"/>
        <v>0</v>
      </c>
      <c r="U352" s="5"/>
      <c r="AN352" s="5"/>
      <c r="AO352" s="5"/>
      <c r="AV352" s="5"/>
      <c r="AX352" s="5"/>
      <c r="BB352" s="6"/>
      <c r="BC352" s="5"/>
    </row>
    <row r="353" spans="2:55" x14ac:dyDescent="0.3">
      <c r="E353" s="326" t="s">
        <v>7</v>
      </c>
      <c r="F353" s="1"/>
      <c r="G353">
        <f t="shared" si="42"/>
        <v>2000</v>
      </c>
      <c r="H353" s="14">
        <f>AA24</f>
        <v>1.6</v>
      </c>
      <c r="I353">
        <f t="shared" si="39"/>
        <v>3200</v>
      </c>
      <c r="J353" s="5"/>
      <c r="K353" s="14">
        <f>AD24</f>
        <v>27.8</v>
      </c>
      <c r="L353">
        <f t="shared" si="40"/>
        <v>55600</v>
      </c>
      <c r="M353" s="5"/>
      <c r="P353" s="14">
        <f>AI24</f>
        <v>0</v>
      </c>
      <c r="Q353">
        <f t="shared" si="38"/>
        <v>0</v>
      </c>
      <c r="R353" s="5"/>
      <c r="S353" s="14">
        <f>AL24</f>
        <v>0</v>
      </c>
      <c r="T353">
        <f t="shared" si="41"/>
        <v>0</v>
      </c>
      <c r="U353" s="5"/>
      <c r="AN353" s="5"/>
      <c r="AO353" s="5"/>
      <c r="AV353" s="5"/>
      <c r="AX353" s="5"/>
      <c r="BB353" s="6"/>
      <c r="BC353" s="5"/>
    </row>
    <row r="354" spans="2:55" x14ac:dyDescent="0.3">
      <c r="D354" t="s">
        <v>138</v>
      </c>
      <c r="F354" s="1"/>
      <c r="G354">
        <f>T158</f>
        <v>32.799999999999997</v>
      </c>
      <c r="H354" s="14">
        <f>AA37</f>
        <v>5.6</v>
      </c>
      <c r="I354">
        <f t="shared" si="39"/>
        <v>183.67999999999998</v>
      </c>
      <c r="J354" s="5"/>
      <c r="K354" s="14">
        <f>AD37</f>
        <v>88</v>
      </c>
      <c r="L354">
        <f t="shared" si="40"/>
        <v>2886.3999999999996</v>
      </c>
      <c r="M354" s="5"/>
      <c r="P354" s="14">
        <f>AI37</f>
        <v>9.5000000000000001E-2</v>
      </c>
      <c r="Q354">
        <f t="shared" si="38"/>
        <v>3.1159999999999997</v>
      </c>
      <c r="R354" s="5"/>
      <c r="S354" s="14">
        <f>AL37</f>
        <v>0.249</v>
      </c>
      <c r="T354">
        <f t="shared" si="41"/>
        <v>8.1671999999999993</v>
      </c>
      <c r="U354" s="5"/>
      <c r="AN354" s="5"/>
      <c r="AO354" s="5"/>
      <c r="AV354" s="5"/>
      <c r="AX354" s="5"/>
      <c r="BB354" s="6"/>
      <c r="BC354" s="5"/>
    </row>
    <row r="355" spans="2:55" x14ac:dyDescent="0.3">
      <c r="B355" s="368" t="s">
        <v>2100</v>
      </c>
      <c r="C355" s="368"/>
      <c r="D355" s="368" t="s">
        <v>1520</v>
      </c>
      <c r="E355" s="368"/>
      <c r="F355" s="1"/>
      <c r="G355" s="367"/>
      <c r="H355" s="14">
        <f>AA45</f>
        <v>36.6</v>
      </c>
      <c r="I355">
        <f t="shared" si="39"/>
        <v>0</v>
      </c>
      <c r="J355" s="5"/>
      <c r="K355" s="14">
        <f>AD45</f>
        <v>570</v>
      </c>
      <c r="L355">
        <f t="shared" si="40"/>
        <v>0</v>
      </c>
      <c r="M355" s="5"/>
      <c r="P355" s="14">
        <f>AI45</f>
        <v>0.31</v>
      </c>
      <c r="Q355">
        <f t="shared" si="38"/>
        <v>0</v>
      </c>
      <c r="R355" s="5"/>
      <c r="S355" s="14">
        <f>AL45</f>
        <v>0.1595</v>
      </c>
      <c r="T355">
        <f t="shared" si="41"/>
        <v>0</v>
      </c>
      <c r="U355" s="5"/>
      <c r="AN355" s="5"/>
      <c r="AO355" s="5"/>
      <c r="AV355" s="5"/>
      <c r="AX355" s="5"/>
      <c r="BB355" s="6"/>
      <c r="BC355" s="5"/>
    </row>
    <row r="356" spans="2:55" s="9" customFormat="1" x14ac:dyDescent="0.3">
      <c r="D356" s="9" t="s">
        <v>1619</v>
      </c>
      <c r="F356" s="67"/>
      <c r="G356" s="9">
        <f>T220</f>
        <v>44460</v>
      </c>
      <c r="H356" s="245"/>
      <c r="J356" s="11">
        <f>SUM(I357:I373)</f>
        <v>198322.30600553524</v>
      </c>
      <c r="K356" s="245"/>
      <c r="M356" s="11">
        <f>SUM(L357:L373)</f>
        <v>2842213.918302373</v>
      </c>
      <c r="P356" s="245"/>
      <c r="R356" s="11">
        <f>SUM(Q357:Q373)</f>
        <v>260.73125200000004</v>
      </c>
      <c r="S356" s="245"/>
      <c r="U356" s="11">
        <f>SUM(T357:T373)</f>
        <v>641.09101999999996</v>
      </c>
      <c r="X356" s="9">
        <f>G356</f>
        <v>44460</v>
      </c>
      <c r="Y356" s="9" t="str">
        <f>$X$83</f>
        <v>ship ferry</v>
      </c>
      <c r="Z356" s="9">
        <f>$F$19</f>
        <v>2000</v>
      </c>
      <c r="AA356" s="9">
        <f>$AA$83</f>
        <v>0.109</v>
      </c>
      <c r="AB356" s="9">
        <f>AA356*Z356*X356/1000</f>
        <v>9692.2800000000007</v>
      </c>
      <c r="AC356" s="9">
        <f>$AD$83</f>
        <v>1.5</v>
      </c>
      <c r="AD356" s="9">
        <f>AC356*Z356*X356/1000</f>
        <v>133380</v>
      </c>
      <c r="AF356" s="9" t="s">
        <v>61</v>
      </c>
      <c r="AG356" s="9">
        <f>$G$19</f>
        <v>500</v>
      </c>
      <c r="AH356" s="9">
        <f>$AA$81</f>
        <v>8.9976823999999997E-2</v>
      </c>
      <c r="AI356" s="9">
        <f>AH356*AG356*X356/1000</f>
        <v>2000.1847975199998</v>
      </c>
      <c r="AJ356" s="9">
        <f>$AD$81</f>
        <v>1.52</v>
      </c>
      <c r="AK356" s="9">
        <f>AJ356*AG356*X356/1000</f>
        <v>33789.599999999999</v>
      </c>
      <c r="AN356" s="11">
        <f>AI356+AB356</f>
        <v>11692.464797520001</v>
      </c>
      <c r="AO356" s="11">
        <f>AD356+AK356</f>
        <v>167169.60000000001</v>
      </c>
      <c r="AS356" s="9" t="s">
        <v>161</v>
      </c>
      <c r="AT356" s="9">
        <f>$G$21</f>
        <v>200</v>
      </c>
      <c r="AU356" s="9">
        <f>$AA$81</f>
        <v>8.9976823999999997E-2</v>
      </c>
      <c r="AV356" s="11">
        <f>(AU356*AT356*X356)/1000</f>
        <v>800.07391900800008</v>
      </c>
      <c r="AW356" s="9">
        <f>$AD$81</f>
        <v>1.52</v>
      </c>
      <c r="AX356" s="11">
        <f>(AW356*AT356*X356)/1000</f>
        <v>13515.84</v>
      </c>
      <c r="BB356" s="74">
        <f>AV356+AN356+R356+J356</f>
        <v>211075.57597406325</v>
      </c>
      <c r="BC356" s="11">
        <f>AX356+AO356+U356+M356</f>
        <v>3023540.4493223731</v>
      </c>
    </row>
    <row r="357" spans="2:55" x14ac:dyDescent="0.3">
      <c r="D357" t="s">
        <v>399</v>
      </c>
      <c r="E357" t="s">
        <v>110</v>
      </c>
      <c r="F357" s="1"/>
      <c r="G357">
        <f>T208</f>
        <v>15960</v>
      </c>
      <c r="H357" s="14">
        <f>AA10</f>
        <v>2.02</v>
      </c>
      <c r="I357">
        <f>G357*H357</f>
        <v>32239.200000000001</v>
      </c>
      <c r="J357" s="5"/>
      <c r="K357" s="14">
        <f>AD10</f>
        <v>25.2</v>
      </c>
      <c r="L357">
        <f t="shared" si="40"/>
        <v>402192</v>
      </c>
      <c r="M357" s="5"/>
      <c r="P357" s="14">
        <f>AI10</f>
        <v>3.368E-4</v>
      </c>
      <c r="Q357">
        <f t="shared" si="38"/>
        <v>5.3753279999999997</v>
      </c>
      <c r="R357" s="5"/>
      <c r="S357" s="14">
        <f>AL10</f>
        <v>1.192E-2</v>
      </c>
      <c r="T357">
        <f t="shared" si="41"/>
        <v>190.2432</v>
      </c>
      <c r="U357" s="5"/>
      <c r="AN357" s="5"/>
      <c r="AO357" s="5"/>
      <c r="AV357" s="5"/>
      <c r="AX357" s="5"/>
      <c r="BB357" s="6"/>
      <c r="BC357" s="5"/>
    </row>
    <row r="358" spans="2:55" x14ac:dyDescent="0.3">
      <c r="E358" t="s">
        <v>120</v>
      </c>
      <c r="F358" s="1"/>
      <c r="G358">
        <f>G357</f>
        <v>15960</v>
      </c>
      <c r="H358" s="14">
        <f>AA24</f>
        <v>1.6</v>
      </c>
      <c r="I358">
        <f t="shared" ref="I358:I373" si="43">G358*H358</f>
        <v>25536</v>
      </c>
      <c r="J358" s="5"/>
      <c r="K358" s="14">
        <f>AD24</f>
        <v>27.8</v>
      </c>
      <c r="L358">
        <f t="shared" si="40"/>
        <v>443688</v>
      </c>
      <c r="M358" s="5"/>
      <c r="P358" s="14">
        <f>AI24</f>
        <v>0</v>
      </c>
      <c r="Q358">
        <f t="shared" si="38"/>
        <v>0</v>
      </c>
      <c r="R358" s="5"/>
      <c r="S358" s="14">
        <f>AL24</f>
        <v>0</v>
      </c>
      <c r="T358">
        <f t="shared" si="41"/>
        <v>0</v>
      </c>
      <c r="U358" s="5"/>
      <c r="AN358" s="5"/>
      <c r="AO358" s="5"/>
      <c r="AV358" s="5"/>
      <c r="AX358" s="5"/>
      <c r="BB358" s="6"/>
      <c r="BC358" s="5"/>
    </row>
    <row r="359" spans="2:55" x14ac:dyDescent="0.3">
      <c r="D359" t="s">
        <v>1512</v>
      </c>
      <c r="E359" t="s">
        <v>1630</v>
      </c>
      <c r="F359" s="1" t="s">
        <v>24</v>
      </c>
      <c r="G359">
        <f>T209</f>
        <v>8000</v>
      </c>
      <c r="H359" s="14">
        <f>AA7</f>
        <v>4.37</v>
      </c>
      <c r="I359">
        <f t="shared" si="43"/>
        <v>34960</v>
      </c>
      <c r="J359" s="5"/>
      <c r="K359" s="14">
        <f>AD7</f>
        <v>63.8</v>
      </c>
      <c r="L359">
        <f t="shared" si="40"/>
        <v>510400</v>
      </c>
      <c r="M359" s="5"/>
      <c r="P359" s="14">
        <f>AI7</f>
        <v>3.368E-4</v>
      </c>
      <c r="Q359">
        <f t="shared" si="38"/>
        <v>2.6943999999999999</v>
      </c>
      <c r="R359" s="5"/>
      <c r="S359" s="14">
        <f>AL7</f>
        <v>1.192E-2</v>
      </c>
      <c r="T359">
        <f t="shared" si="41"/>
        <v>95.36</v>
      </c>
      <c r="U359" s="5"/>
      <c r="AN359" s="5"/>
      <c r="AO359" s="5"/>
      <c r="AV359" s="5"/>
      <c r="AX359" s="5"/>
      <c r="BB359" s="6"/>
      <c r="BC359" s="5"/>
    </row>
    <row r="360" spans="2:55" x14ac:dyDescent="0.3">
      <c r="F360" s="1" t="s">
        <v>1631</v>
      </c>
      <c r="G360">
        <f>G359</f>
        <v>8000</v>
      </c>
      <c r="H360" s="14">
        <f>AA25</f>
        <v>2.23</v>
      </c>
      <c r="I360">
        <f t="shared" si="43"/>
        <v>17840</v>
      </c>
      <c r="J360" s="5"/>
      <c r="K360" s="14">
        <f>AD25</f>
        <v>37.6</v>
      </c>
      <c r="L360">
        <f t="shared" si="40"/>
        <v>300800</v>
      </c>
      <c r="M360" s="5"/>
      <c r="P360" s="14">
        <f>AI25</f>
        <v>0</v>
      </c>
      <c r="Q360">
        <f t="shared" si="38"/>
        <v>0</v>
      </c>
      <c r="R360" s="5"/>
      <c r="S360" s="14">
        <f>AL25</f>
        <v>0</v>
      </c>
      <c r="T360">
        <f t="shared" si="41"/>
        <v>0</v>
      </c>
      <c r="U360" s="5"/>
      <c r="AN360" s="5"/>
      <c r="AO360" s="5"/>
      <c r="AV360" s="5"/>
      <c r="AX360" s="5"/>
      <c r="BB360" s="6"/>
      <c r="BC360" s="5"/>
    </row>
    <row r="361" spans="2:55" x14ac:dyDescent="0.3">
      <c r="E361" t="s">
        <v>1257</v>
      </c>
      <c r="F361" s="1" t="s">
        <v>12</v>
      </c>
      <c r="G361">
        <f>T218</f>
        <v>4400</v>
      </c>
      <c r="H361" s="14">
        <f>AA5</f>
        <v>1.57</v>
      </c>
      <c r="I361">
        <f t="shared" si="43"/>
        <v>6908</v>
      </c>
      <c r="J361" s="5"/>
      <c r="K361" s="14">
        <f>AD5</f>
        <v>20.9</v>
      </c>
      <c r="L361">
        <f t="shared" si="40"/>
        <v>91960</v>
      </c>
      <c r="M361" s="5"/>
      <c r="P361" s="14">
        <f>AI5</f>
        <v>3.368E-4</v>
      </c>
      <c r="Q361">
        <f t="shared" si="38"/>
        <v>1.4819199999999999</v>
      </c>
      <c r="R361" s="5"/>
      <c r="S361" s="14">
        <f>AL5</f>
        <v>1.192E-2</v>
      </c>
      <c r="T361">
        <f t="shared" si="41"/>
        <v>52.448</v>
      </c>
      <c r="U361" s="5"/>
      <c r="AN361" s="5"/>
      <c r="AO361" s="5"/>
      <c r="AV361" s="5"/>
      <c r="AX361" s="5"/>
      <c r="BB361" s="6"/>
      <c r="BC361" s="5"/>
    </row>
    <row r="362" spans="2:55" x14ac:dyDescent="0.3">
      <c r="F362" s="1" t="s">
        <v>1257</v>
      </c>
      <c r="G362">
        <f>T219</f>
        <v>4400</v>
      </c>
      <c r="H362" s="14">
        <f>AA26</f>
        <v>0.31900000000000001</v>
      </c>
      <c r="I362">
        <f t="shared" si="43"/>
        <v>1403.6000000000001</v>
      </c>
      <c r="J362" s="5"/>
      <c r="K362" s="14">
        <f>AD26</f>
        <v>3.49</v>
      </c>
      <c r="L362">
        <f t="shared" si="40"/>
        <v>15356.000000000002</v>
      </c>
      <c r="M362" s="5"/>
      <c r="P362" s="14">
        <f>AI26</f>
        <v>0</v>
      </c>
      <c r="Q362">
        <f t="shared" si="38"/>
        <v>0</v>
      </c>
      <c r="R362" s="5"/>
      <c r="S362" s="14">
        <f>AL26</f>
        <v>0</v>
      </c>
      <c r="T362">
        <f t="shared" si="41"/>
        <v>0</v>
      </c>
      <c r="U362" s="5"/>
      <c r="AN362" s="5"/>
      <c r="AO362" s="5"/>
      <c r="AV362" s="5"/>
      <c r="AX362" s="5"/>
      <c r="BB362" s="6"/>
      <c r="BC362" s="5"/>
    </row>
    <row r="363" spans="2:55" x14ac:dyDescent="0.3">
      <c r="E363" t="s">
        <v>12</v>
      </c>
      <c r="F363" s="1"/>
      <c r="G363">
        <f>T216</f>
        <v>12000</v>
      </c>
      <c r="H363" s="14">
        <f>AA5</f>
        <v>1.57</v>
      </c>
      <c r="I363">
        <f t="shared" si="43"/>
        <v>18840</v>
      </c>
      <c r="J363" s="5"/>
      <c r="K363" s="14">
        <f>AD5</f>
        <v>20.9</v>
      </c>
      <c r="L363">
        <f t="shared" si="40"/>
        <v>250799.99999999997</v>
      </c>
      <c r="M363" s="5"/>
      <c r="P363" s="14">
        <f>AI5</f>
        <v>3.368E-4</v>
      </c>
      <c r="Q363">
        <f t="shared" si="38"/>
        <v>4.0415999999999999</v>
      </c>
      <c r="R363" s="5"/>
      <c r="S363" s="14">
        <f>AL5</f>
        <v>1.192E-2</v>
      </c>
      <c r="T363">
        <f t="shared" si="41"/>
        <v>143.04</v>
      </c>
      <c r="U363" s="5"/>
      <c r="AN363" s="5"/>
      <c r="AO363" s="5"/>
      <c r="AV363" s="5"/>
      <c r="AX363" s="5"/>
      <c r="BB363" s="6"/>
      <c r="BC363" s="5"/>
    </row>
    <row r="364" spans="2:55" x14ac:dyDescent="0.3">
      <c r="E364" t="s">
        <v>7</v>
      </c>
      <c r="F364" s="1"/>
      <c r="G364">
        <f>T217</f>
        <v>12000</v>
      </c>
      <c r="H364" s="14">
        <f>AA24</f>
        <v>1.6</v>
      </c>
      <c r="I364">
        <f t="shared" si="43"/>
        <v>19200</v>
      </c>
      <c r="J364" s="5"/>
      <c r="K364" s="14">
        <f>AD24</f>
        <v>27.8</v>
      </c>
      <c r="L364">
        <f t="shared" si="40"/>
        <v>333600</v>
      </c>
      <c r="M364" s="5"/>
      <c r="P364" s="14">
        <f>AI24</f>
        <v>0</v>
      </c>
      <c r="Q364">
        <f t="shared" si="38"/>
        <v>0</v>
      </c>
      <c r="R364" s="5"/>
      <c r="S364" s="14">
        <f>AL24</f>
        <v>0</v>
      </c>
      <c r="T364">
        <f t="shared" si="41"/>
        <v>0</v>
      </c>
      <c r="U364" s="5"/>
      <c r="AN364" s="5"/>
      <c r="AO364" s="5"/>
      <c r="AV364" s="5"/>
      <c r="AX364" s="5"/>
      <c r="BB364" s="6"/>
      <c r="BC364" s="5"/>
    </row>
    <row r="365" spans="2:55" x14ac:dyDescent="0.3">
      <c r="E365" t="s">
        <v>1431</v>
      </c>
      <c r="F365" s="1"/>
      <c r="H365" s="14"/>
      <c r="I365">
        <f t="shared" si="43"/>
        <v>0</v>
      </c>
      <c r="J365" s="5"/>
      <c r="K365" s="14"/>
      <c r="L365">
        <f t="shared" si="40"/>
        <v>0</v>
      </c>
      <c r="M365" s="5"/>
      <c r="P365" s="14"/>
      <c r="Q365">
        <f t="shared" si="38"/>
        <v>0</v>
      </c>
      <c r="R365" s="5"/>
      <c r="S365" s="14"/>
      <c r="T365">
        <f t="shared" si="41"/>
        <v>0</v>
      </c>
      <c r="U365" s="5"/>
      <c r="AN365" s="5"/>
      <c r="AO365" s="5"/>
      <c r="AV365" s="5"/>
      <c r="AX365" s="5"/>
      <c r="BB365" s="6"/>
      <c r="BC365" s="5"/>
    </row>
    <row r="366" spans="2:55" x14ac:dyDescent="0.3">
      <c r="F366" s="1" t="s">
        <v>6</v>
      </c>
      <c r="G366">
        <f>T211</f>
        <v>352</v>
      </c>
      <c r="H366" s="14">
        <f>AA69</f>
        <v>23.61956697627118</v>
      </c>
      <c r="I366">
        <f t="shared" si="43"/>
        <v>8314.0875756474561</v>
      </c>
      <c r="J366" s="5"/>
      <c r="K366" s="14">
        <f>AD69</f>
        <v>473.73135881355932</v>
      </c>
      <c r="L366">
        <f t="shared" si="40"/>
        <v>166753.43830237287</v>
      </c>
      <c r="M366" s="5"/>
      <c r="P366" s="14">
        <f>AI69</f>
        <v>0.62</v>
      </c>
      <c r="Q366">
        <f t="shared" si="38"/>
        <v>218.24</v>
      </c>
      <c r="R366" s="5"/>
      <c r="S366" s="14">
        <f>AL69</f>
        <v>0.31900000000000001</v>
      </c>
      <c r="T366">
        <f t="shared" si="41"/>
        <v>112.288</v>
      </c>
      <c r="U366" s="5"/>
      <c r="AN366" s="5"/>
      <c r="AO366" s="5"/>
      <c r="AV366" s="5"/>
      <c r="AX366" s="5"/>
      <c r="BB366" s="6"/>
      <c r="BC366" s="5"/>
    </row>
    <row r="367" spans="2:55" x14ac:dyDescent="0.3">
      <c r="F367" s="1" t="s">
        <v>1552</v>
      </c>
      <c r="G367">
        <f>G366</f>
        <v>352</v>
      </c>
      <c r="H367">
        <f>AA75</f>
        <v>1.396493244</v>
      </c>
      <c r="I367">
        <f t="shared" si="43"/>
        <v>491.56562188800001</v>
      </c>
      <c r="J367" s="5"/>
      <c r="K367">
        <f>AD75</f>
        <v>31.584411360000001</v>
      </c>
      <c r="M367" s="5"/>
      <c r="P367">
        <f>AI75</f>
        <v>0.17302907820000002</v>
      </c>
      <c r="R367" s="5"/>
      <c r="S367">
        <f>AL75</f>
        <v>0.11096542650000001</v>
      </c>
      <c r="U367" s="5"/>
      <c r="AN367" s="5"/>
      <c r="AO367" s="5"/>
      <c r="AV367" s="5"/>
      <c r="AX367" s="5"/>
      <c r="BB367" s="6"/>
      <c r="BC367" s="5"/>
    </row>
    <row r="368" spans="2:55" x14ac:dyDescent="0.3">
      <c r="F368" s="1" t="s">
        <v>1489</v>
      </c>
      <c r="G368">
        <f>G366</f>
        <v>352</v>
      </c>
      <c r="H368">
        <f>AA76</f>
        <v>5.1665818409084743</v>
      </c>
      <c r="I368">
        <f t="shared" si="43"/>
        <v>1818.6368079997828</v>
      </c>
      <c r="J368" s="5"/>
      <c r="K368">
        <f>AD76</f>
        <v>104.25763350542371</v>
      </c>
      <c r="M368" s="5"/>
      <c r="P368">
        <f>AI76</f>
        <v>9.845247839999996E-2</v>
      </c>
      <c r="R368" s="5"/>
      <c r="S368">
        <f>AL76</f>
        <v>5.0655388079999981E-2</v>
      </c>
      <c r="U368" s="5"/>
      <c r="AN368" s="5"/>
      <c r="AO368" s="5"/>
      <c r="AV368" s="5"/>
      <c r="AX368" s="5"/>
      <c r="BB368" s="6"/>
      <c r="BC368" s="5"/>
    </row>
    <row r="369" spans="1:55" x14ac:dyDescent="0.3">
      <c r="F369" s="1" t="s">
        <v>141</v>
      </c>
      <c r="G369">
        <f>T212</f>
        <v>768</v>
      </c>
      <c r="H369" s="14">
        <f>AA9</f>
        <v>12.7</v>
      </c>
      <c r="I369">
        <f t="shared" si="43"/>
        <v>9753.5999999999985</v>
      </c>
      <c r="J369" s="5"/>
      <c r="K369" s="14">
        <f>AD9</f>
        <v>149</v>
      </c>
      <c r="L369">
        <f t="shared" si="40"/>
        <v>114432</v>
      </c>
      <c r="M369" s="5"/>
      <c r="P369" s="14">
        <f>AI9</f>
        <v>1.1280000000000001E-3</v>
      </c>
      <c r="Q369">
        <f t="shared" si="38"/>
        <v>0.86630400000000007</v>
      </c>
      <c r="R369" s="5"/>
      <c r="S369" s="14">
        <f>AL9</f>
        <v>3.1760000000000004E-2</v>
      </c>
      <c r="T369">
        <f t="shared" si="41"/>
        <v>24.391680000000001</v>
      </c>
      <c r="U369" s="5"/>
      <c r="AN369" s="5"/>
      <c r="AO369" s="5"/>
      <c r="AV369" s="5"/>
      <c r="AX369" s="5"/>
      <c r="BB369" s="6"/>
      <c r="BC369" s="5"/>
    </row>
    <row r="370" spans="1:55" x14ac:dyDescent="0.3">
      <c r="F370" s="1" t="s">
        <v>351</v>
      </c>
      <c r="G370">
        <f>T213</f>
        <v>480</v>
      </c>
      <c r="H370" s="14">
        <f>AA13</f>
        <v>29.7</v>
      </c>
      <c r="I370">
        <f t="shared" si="43"/>
        <v>14256</v>
      </c>
      <c r="J370" s="5"/>
      <c r="K370" s="14">
        <f>AD13</f>
        <v>434</v>
      </c>
      <c r="L370">
        <f t="shared" si="40"/>
        <v>208320</v>
      </c>
      <c r="M370" s="5"/>
      <c r="P370" s="14">
        <f>AI13</f>
        <v>4.9599999999999998E-2</v>
      </c>
      <c r="Q370">
        <f t="shared" si="38"/>
        <v>23.808</v>
      </c>
      <c r="R370" s="5"/>
      <c r="S370" s="14">
        <f>AL13</f>
        <v>2.5520000000000001E-2</v>
      </c>
      <c r="T370">
        <f t="shared" si="41"/>
        <v>12.249600000000001</v>
      </c>
      <c r="U370" s="5"/>
      <c r="AN370" s="5"/>
      <c r="AO370" s="5"/>
      <c r="AV370" s="5"/>
      <c r="AX370" s="5"/>
      <c r="BB370" s="6"/>
      <c r="BC370" s="5"/>
    </row>
    <row r="371" spans="1:55" x14ac:dyDescent="0.3">
      <c r="F371" s="1" t="s">
        <v>1538</v>
      </c>
      <c r="G371">
        <f>G369</f>
        <v>768</v>
      </c>
      <c r="H371" s="14">
        <f>AA30</f>
        <v>3.53</v>
      </c>
      <c r="I371">
        <f t="shared" si="43"/>
        <v>2711.04</v>
      </c>
      <c r="J371" s="5"/>
      <c r="K371" s="14">
        <f>AD30</f>
        <v>49.7</v>
      </c>
      <c r="M371" s="5"/>
      <c r="P371" s="14">
        <f>AI30</f>
        <v>0</v>
      </c>
      <c r="R371" s="5"/>
      <c r="S371" s="14">
        <f>AL30</f>
        <v>0</v>
      </c>
      <c r="U371" s="5"/>
      <c r="AN371" s="5"/>
      <c r="AO371" s="5"/>
      <c r="AV371" s="5"/>
      <c r="AX371" s="5"/>
      <c r="BB371" s="6"/>
      <c r="BC371" s="5"/>
    </row>
    <row r="372" spans="1:55" x14ac:dyDescent="0.3">
      <c r="F372" s="1" t="s">
        <v>1632</v>
      </c>
      <c r="G372">
        <f>G370</f>
        <v>480</v>
      </c>
      <c r="H372" s="14">
        <f>AA31</f>
        <v>7.92</v>
      </c>
      <c r="I372">
        <f t="shared" si="43"/>
        <v>3801.6</v>
      </c>
      <c r="J372" s="5"/>
      <c r="K372" s="14">
        <f>AD31</f>
        <v>121</v>
      </c>
      <c r="M372" s="5"/>
      <c r="P372" s="14">
        <f>AI31</f>
        <v>0</v>
      </c>
      <c r="R372" s="5"/>
      <c r="S372" s="14">
        <f>AL31</f>
        <v>0</v>
      </c>
      <c r="U372" s="5"/>
      <c r="AN372" s="5"/>
      <c r="AO372" s="5"/>
      <c r="AV372" s="5"/>
      <c r="AX372" s="5"/>
      <c r="BB372" s="6"/>
      <c r="BC372" s="5"/>
    </row>
    <row r="373" spans="1:55" x14ac:dyDescent="0.3">
      <c r="D373" t="s">
        <v>138</v>
      </c>
      <c r="F373" s="1"/>
      <c r="G373">
        <f>T221</f>
        <v>44.46</v>
      </c>
      <c r="H373" s="14">
        <f>AA37</f>
        <v>5.6</v>
      </c>
      <c r="I373">
        <f t="shared" si="43"/>
        <v>248.976</v>
      </c>
      <c r="J373" s="5"/>
      <c r="K373" s="14">
        <f>AD37</f>
        <v>88</v>
      </c>
      <c r="L373">
        <f t="shared" si="40"/>
        <v>3912.48</v>
      </c>
      <c r="M373" s="5"/>
      <c r="P373" s="14">
        <f>AI37</f>
        <v>9.5000000000000001E-2</v>
      </c>
      <c r="Q373">
        <f t="shared" si="38"/>
        <v>4.2237</v>
      </c>
      <c r="R373" s="5"/>
      <c r="S373" s="14">
        <f>AL37</f>
        <v>0.249</v>
      </c>
      <c r="T373">
        <f t="shared" si="41"/>
        <v>11.070539999999999</v>
      </c>
      <c r="U373" s="5"/>
      <c r="AN373" s="5"/>
      <c r="AO373" s="5"/>
      <c r="AV373" s="5"/>
      <c r="AX373" s="5"/>
      <c r="BB373" s="6"/>
      <c r="BC373" s="5"/>
    </row>
    <row r="374" spans="1:55" s="9" customFormat="1" x14ac:dyDescent="0.3">
      <c r="A374"/>
      <c r="D374" s="9" t="s">
        <v>18</v>
      </c>
      <c r="F374" s="67"/>
      <c r="G374" s="60">
        <f>X170</f>
        <v>22700</v>
      </c>
      <c r="J374" s="11">
        <f>SUM(I376:I394)</f>
        <v>74095.72</v>
      </c>
      <c r="M374" s="11">
        <f>SUM(L376:L394)</f>
        <v>1082285.6000000001</v>
      </c>
      <c r="R374" s="11">
        <f>SUM(Q376:Q394)</f>
        <v>288.90988399999998</v>
      </c>
      <c r="U374" s="11">
        <f>SUM(T376:T394)</f>
        <v>354.41270000000003</v>
      </c>
      <c r="X374" s="9">
        <f>G374</f>
        <v>22700</v>
      </c>
      <c r="Y374" s="9" t="str">
        <f>$X$83</f>
        <v>ship ferry</v>
      </c>
      <c r="Z374" s="9">
        <f>$F$19</f>
        <v>2000</v>
      </c>
      <c r="AA374" s="245">
        <f>$AA$83</f>
        <v>0.109</v>
      </c>
      <c r="AB374" s="9">
        <f>AA374*Z374*X374/1000</f>
        <v>4948.6000000000004</v>
      </c>
      <c r="AC374" s="9">
        <f>$AD$83</f>
        <v>1.5</v>
      </c>
      <c r="AD374" s="9">
        <f>AC374*Z374*X374/1000</f>
        <v>68100</v>
      </c>
      <c r="AF374" s="9" t="s">
        <v>61</v>
      </c>
      <c r="AG374" s="9">
        <f>$G$19</f>
        <v>500</v>
      </c>
      <c r="AH374" s="9">
        <f>$AA$81</f>
        <v>8.9976823999999997E-2</v>
      </c>
      <c r="AI374" s="9">
        <f>AH374*AG374*X374/1000</f>
        <v>1021.2369524</v>
      </c>
      <c r="AJ374" s="9">
        <f>$AD$81</f>
        <v>1.52</v>
      </c>
      <c r="AK374" s="9">
        <f>AJ374*AG374*X374/1000</f>
        <v>17252</v>
      </c>
      <c r="AN374" s="11">
        <f>AI374+AB374</f>
        <v>5969.8369524</v>
      </c>
      <c r="AO374" s="11">
        <f>AD374+AK374</f>
        <v>85352</v>
      </c>
      <c r="AS374" s="9" t="s">
        <v>161</v>
      </c>
      <c r="AT374" s="9">
        <f>$G$21</f>
        <v>200</v>
      </c>
      <c r="AU374" s="9">
        <f>$AA$81</f>
        <v>8.9976823999999997E-2</v>
      </c>
      <c r="AV374" s="11">
        <f>(AU374*AT374*X374)/1000</f>
        <v>408.49478096000001</v>
      </c>
      <c r="AW374" s="9">
        <f>$AD$81</f>
        <v>1.52</v>
      </c>
      <c r="AX374" s="11">
        <f>(AW374*AT374*X374)/1000</f>
        <v>6900.8</v>
      </c>
      <c r="BB374" s="74">
        <f>AV374+AN374+R374+J374</f>
        <v>80762.961617360008</v>
      </c>
      <c r="BC374" s="11">
        <f>AX374+AO374+U374+M374</f>
        <v>1174892.8127000001</v>
      </c>
    </row>
    <row r="375" spans="1:55" x14ac:dyDescent="0.3">
      <c r="D375" t="s">
        <v>1516</v>
      </c>
      <c r="F375" s="1"/>
      <c r="J375" s="5"/>
      <c r="M375" s="5"/>
      <c r="R375" s="5"/>
      <c r="U375" s="5"/>
      <c r="AA375" s="14"/>
      <c r="AN375" s="5"/>
      <c r="AO375" s="5"/>
      <c r="AV375" s="5"/>
      <c r="AX375" s="5"/>
      <c r="BB375" s="6"/>
      <c r="BC375" s="5"/>
    </row>
    <row r="376" spans="1:55" x14ac:dyDescent="0.3">
      <c r="E376" t="s">
        <v>19</v>
      </c>
      <c r="F376" s="69"/>
      <c r="G376">
        <f>U176</f>
        <v>380</v>
      </c>
      <c r="H376" s="14">
        <f>AA43</f>
        <v>7.96</v>
      </c>
      <c r="I376">
        <f>G376*H376</f>
        <v>3024.8</v>
      </c>
      <c r="J376" s="5"/>
      <c r="K376" s="14">
        <f>AD43</f>
        <v>108</v>
      </c>
      <c r="L376">
        <f t="shared" ref="L376:L393" si="44">K376*G376</f>
        <v>41040</v>
      </c>
      <c r="M376" s="5"/>
      <c r="P376" s="14">
        <f>AI43</f>
        <v>6.2E-2</v>
      </c>
      <c r="Q376">
        <f t="shared" si="32"/>
        <v>23.56</v>
      </c>
      <c r="R376" s="5"/>
      <c r="S376" s="14">
        <f>AL43</f>
        <v>3.1900000000000005E-2</v>
      </c>
      <c r="T376">
        <f t="shared" si="16"/>
        <v>12.122000000000002</v>
      </c>
      <c r="U376" s="5"/>
      <c r="AN376" s="5"/>
      <c r="AO376" s="5"/>
      <c r="AV376" s="5"/>
      <c r="AX376" s="5"/>
      <c r="BB376" s="6"/>
      <c r="BC376" s="5"/>
    </row>
    <row r="377" spans="1:55" x14ac:dyDescent="0.3">
      <c r="E377" s="38" t="s">
        <v>24</v>
      </c>
      <c r="F377" s="69"/>
      <c r="G377">
        <f>U178</f>
        <v>190</v>
      </c>
      <c r="H377" s="14">
        <f>AA7</f>
        <v>4.37</v>
      </c>
      <c r="I377">
        <f t="shared" ref="I377:I393" si="45">G377*H377</f>
        <v>830.30000000000007</v>
      </c>
      <c r="J377" s="5"/>
      <c r="K377" s="14">
        <f>AD7</f>
        <v>63.8</v>
      </c>
      <c r="L377">
        <f t="shared" si="44"/>
        <v>12122</v>
      </c>
      <c r="M377" s="5"/>
      <c r="P377" s="14">
        <f>AI7</f>
        <v>3.368E-4</v>
      </c>
      <c r="Q377">
        <f t="shared" si="32"/>
        <v>6.3991999999999993E-2</v>
      </c>
      <c r="R377" s="5"/>
      <c r="S377" s="14">
        <f>AL7</f>
        <v>1.192E-2</v>
      </c>
      <c r="T377">
        <f t="shared" si="16"/>
        <v>2.2648000000000001</v>
      </c>
      <c r="U377" s="5"/>
      <c r="AN377" s="5"/>
      <c r="AO377" s="5"/>
      <c r="AV377" s="5"/>
      <c r="AX377" s="5"/>
      <c r="BB377" s="6"/>
      <c r="BC377" s="5"/>
    </row>
    <row r="378" spans="1:55" x14ac:dyDescent="0.3">
      <c r="E378" s="326" t="s">
        <v>25</v>
      </c>
      <c r="F378" s="69"/>
      <c r="G378">
        <f>U179</f>
        <v>190</v>
      </c>
      <c r="H378" s="14">
        <f>AA25</f>
        <v>2.23</v>
      </c>
      <c r="I378">
        <f t="shared" si="45"/>
        <v>423.7</v>
      </c>
      <c r="J378" s="5"/>
      <c r="K378" s="14">
        <f>AD25</f>
        <v>37.6</v>
      </c>
      <c r="L378">
        <f t="shared" si="44"/>
        <v>7144</v>
      </c>
      <c r="M378" s="5"/>
      <c r="P378" s="14">
        <f>AI25</f>
        <v>0</v>
      </c>
      <c r="Q378">
        <f t="shared" si="32"/>
        <v>0</v>
      </c>
      <c r="R378" s="5"/>
      <c r="S378" s="14">
        <f>AL25</f>
        <v>0</v>
      </c>
      <c r="T378">
        <f t="shared" si="16"/>
        <v>0</v>
      </c>
      <c r="U378" s="5"/>
      <c r="AN378" s="5"/>
      <c r="AO378" s="5"/>
      <c r="AV378" s="5"/>
      <c r="AX378" s="5"/>
      <c r="BB378" s="6"/>
      <c r="BC378" s="5"/>
    </row>
    <row r="379" spans="1:55" x14ac:dyDescent="0.3">
      <c r="E379" s="38" t="s">
        <v>23</v>
      </c>
      <c r="F379" s="69"/>
      <c r="G379">
        <f>U177</f>
        <v>190</v>
      </c>
      <c r="H379" s="14">
        <f>AA6</f>
        <v>1.7</v>
      </c>
      <c r="I379">
        <f t="shared" si="45"/>
        <v>323</v>
      </c>
      <c r="J379" s="5"/>
      <c r="K379" s="14">
        <f>AD6</f>
        <v>22</v>
      </c>
      <c r="L379">
        <f t="shared" si="44"/>
        <v>4180</v>
      </c>
      <c r="M379" s="5"/>
      <c r="P379" s="14">
        <f>AI6</f>
        <v>4.9599999999999998E-2</v>
      </c>
      <c r="Q379">
        <f t="shared" si="32"/>
        <v>9.4239999999999995</v>
      </c>
      <c r="R379" s="5"/>
      <c r="S379" s="14">
        <f>AL6</f>
        <v>2.5520000000000001E-2</v>
      </c>
      <c r="T379">
        <f t="shared" si="16"/>
        <v>4.8487999999999998</v>
      </c>
      <c r="U379" s="5"/>
      <c r="AN379" s="5"/>
      <c r="AO379" s="5"/>
      <c r="AV379" s="5"/>
      <c r="AX379" s="5"/>
      <c r="BB379" s="6"/>
      <c r="BC379" s="5"/>
    </row>
    <row r="380" spans="1:55" x14ac:dyDescent="0.3">
      <c r="E380" s="326" t="s">
        <v>1515</v>
      </c>
      <c r="F380" s="69"/>
      <c r="G380">
        <f>U180</f>
        <v>190</v>
      </c>
      <c r="H380" s="14">
        <f>AA32</f>
        <v>1.6</v>
      </c>
      <c r="I380">
        <f t="shared" si="45"/>
        <v>304</v>
      </c>
      <c r="J380" s="5"/>
      <c r="K380" s="14">
        <f>AD32</f>
        <v>27.8</v>
      </c>
      <c r="L380">
        <f t="shared" si="44"/>
        <v>5282</v>
      </c>
      <c r="M380" s="5"/>
      <c r="P380" s="14">
        <f>AI32</f>
        <v>0</v>
      </c>
      <c r="Q380">
        <f t="shared" si="32"/>
        <v>0</v>
      </c>
      <c r="R380" s="5"/>
      <c r="S380" s="14">
        <f>AL32</f>
        <v>0</v>
      </c>
      <c r="T380">
        <f t="shared" si="16"/>
        <v>0</v>
      </c>
      <c r="U380" s="5"/>
      <c r="AN380" s="5"/>
      <c r="AO380" s="5"/>
      <c r="AV380" s="5"/>
      <c r="AX380" s="5"/>
      <c r="BB380" s="6"/>
      <c r="BC380" s="5"/>
    </row>
    <row r="381" spans="1:55" x14ac:dyDescent="0.3">
      <c r="D381" t="s">
        <v>1342</v>
      </c>
      <c r="E381" s="326"/>
      <c r="F381" s="69"/>
      <c r="H381" s="14"/>
      <c r="I381">
        <f t="shared" si="45"/>
        <v>0</v>
      </c>
      <c r="J381" s="5"/>
      <c r="K381" s="14"/>
      <c r="L381">
        <f t="shared" si="44"/>
        <v>0</v>
      </c>
      <c r="M381" s="5"/>
      <c r="P381" s="14"/>
      <c r="Q381">
        <f t="shared" si="32"/>
        <v>0</v>
      </c>
      <c r="R381" s="5"/>
      <c r="S381" s="14"/>
      <c r="T381">
        <f t="shared" si="16"/>
        <v>0</v>
      </c>
      <c r="U381" s="5"/>
      <c r="AN381" s="5"/>
      <c r="AO381" s="5"/>
      <c r="AV381" s="5"/>
      <c r="AX381" s="5"/>
      <c r="BB381" s="6"/>
      <c r="BC381" s="5"/>
    </row>
    <row r="382" spans="1:55" x14ac:dyDescent="0.3">
      <c r="E382" s="38" t="s">
        <v>24</v>
      </c>
      <c r="F382" s="69"/>
      <c r="G382">
        <f>V182</f>
        <v>500</v>
      </c>
      <c r="H382" s="14">
        <f>AA7</f>
        <v>4.37</v>
      </c>
      <c r="I382">
        <f t="shared" si="45"/>
        <v>2185</v>
      </c>
      <c r="J382" s="5"/>
      <c r="K382" s="14">
        <f>AD7</f>
        <v>63.8</v>
      </c>
      <c r="L382">
        <f t="shared" si="44"/>
        <v>31900</v>
      </c>
      <c r="M382" s="5"/>
      <c r="P382" s="14">
        <f>AI7</f>
        <v>3.368E-4</v>
      </c>
      <c r="Q382">
        <f t="shared" si="32"/>
        <v>0.16839999999999999</v>
      </c>
      <c r="R382" s="5"/>
      <c r="S382" s="14">
        <f>AL7</f>
        <v>1.192E-2</v>
      </c>
      <c r="T382">
        <f t="shared" si="16"/>
        <v>5.96</v>
      </c>
      <c r="U382" s="5"/>
      <c r="AN382" s="5"/>
      <c r="AO382" s="5"/>
      <c r="AV382" s="5"/>
      <c r="AX382" s="5"/>
      <c r="BB382" s="6"/>
      <c r="BC382" s="5"/>
    </row>
    <row r="383" spans="1:55" x14ac:dyDescent="0.3">
      <c r="E383" s="250" t="s">
        <v>25</v>
      </c>
      <c r="F383" s="69"/>
      <c r="G383">
        <f>V183</f>
        <v>500</v>
      </c>
      <c r="H383" s="14">
        <f>AA25</f>
        <v>2.23</v>
      </c>
      <c r="I383">
        <f t="shared" si="45"/>
        <v>1115</v>
      </c>
      <c r="J383" s="5"/>
      <c r="K383" s="14">
        <f>AD25</f>
        <v>37.6</v>
      </c>
      <c r="L383">
        <f t="shared" si="44"/>
        <v>18800</v>
      </c>
      <c r="M383" s="5"/>
      <c r="P383" s="14">
        <f>AI25</f>
        <v>0</v>
      </c>
      <c r="Q383">
        <f t="shared" si="32"/>
        <v>0</v>
      </c>
      <c r="R383" s="5"/>
      <c r="S383" s="14">
        <f>AL25</f>
        <v>0</v>
      </c>
      <c r="T383">
        <f t="shared" si="16"/>
        <v>0</v>
      </c>
      <c r="U383" s="5"/>
      <c r="AN383" s="5"/>
      <c r="AO383" s="5"/>
      <c r="AV383" s="5"/>
      <c r="AX383" s="5"/>
      <c r="BB383" s="6"/>
      <c r="BC383" s="5"/>
    </row>
    <row r="384" spans="1:55" x14ac:dyDescent="0.3">
      <c r="D384" t="s">
        <v>1517</v>
      </c>
      <c r="E384" s="38"/>
      <c r="F384" s="69"/>
      <c r="H384" s="14"/>
      <c r="I384">
        <f t="shared" si="45"/>
        <v>0</v>
      </c>
      <c r="J384" s="5"/>
      <c r="K384" s="14"/>
      <c r="L384">
        <f t="shared" si="44"/>
        <v>0</v>
      </c>
      <c r="M384" s="5"/>
      <c r="P384" s="14"/>
      <c r="Q384">
        <f t="shared" si="32"/>
        <v>0</v>
      </c>
      <c r="R384" s="5"/>
      <c r="S384" s="14"/>
      <c r="T384">
        <f t="shared" si="16"/>
        <v>0</v>
      </c>
      <c r="U384" s="5"/>
      <c r="AN384" s="5"/>
      <c r="AO384" s="5"/>
      <c r="AV384" s="5"/>
      <c r="AX384" s="5"/>
      <c r="BB384" s="6"/>
      <c r="BC384" s="5"/>
    </row>
    <row r="385" spans="1:55" x14ac:dyDescent="0.3">
      <c r="E385" s="38" t="s">
        <v>23</v>
      </c>
      <c r="F385" s="69"/>
      <c r="G385">
        <f>V185</f>
        <v>5000</v>
      </c>
      <c r="H385" s="14">
        <f>AA6</f>
        <v>1.7</v>
      </c>
      <c r="I385">
        <f t="shared" si="45"/>
        <v>8500</v>
      </c>
      <c r="J385" s="5"/>
      <c r="K385" s="14">
        <f>AD6</f>
        <v>22</v>
      </c>
      <c r="L385">
        <f t="shared" si="44"/>
        <v>110000</v>
      </c>
      <c r="M385" s="5"/>
      <c r="P385" s="14">
        <f>AI6</f>
        <v>4.9599999999999998E-2</v>
      </c>
      <c r="Q385">
        <f t="shared" si="32"/>
        <v>248</v>
      </c>
      <c r="R385" s="5"/>
      <c r="S385" s="14">
        <f>AL6</f>
        <v>2.5520000000000001E-2</v>
      </c>
      <c r="T385">
        <f t="shared" si="16"/>
        <v>127.60000000000001</v>
      </c>
      <c r="U385" s="5"/>
      <c r="AN385" s="5"/>
      <c r="AO385" s="5"/>
      <c r="AV385" s="5"/>
      <c r="AX385" s="5"/>
      <c r="BB385" s="6"/>
      <c r="BC385" s="5"/>
    </row>
    <row r="386" spans="1:55" x14ac:dyDescent="0.3">
      <c r="E386" s="38" t="s">
        <v>108</v>
      </c>
      <c r="F386" s="69"/>
      <c r="G386">
        <f>V186</f>
        <v>5000</v>
      </c>
      <c r="H386" s="14">
        <f>AA5</f>
        <v>1.57</v>
      </c>
      <c r="I386">
        <f t="shared" si="45"/>
        <v>7850</v>
      </c>
      <c r="J386" s="5"/>
      <c r="K386" s="14">
        <f>AD5</f>
        <v>20.9</v>
      </c>
      <c r="L386">
        <f t="shared" si="44"/>
        <v>104500</v>
      </c>
      <c r="M386" s="5"/>
      <c r="P386" s="14">
        <f>AI5</f>
        <v>3.368E-4</v>
      </c>
      <c r="Q386">
        <f t="shared" si="32"/>
        <v>1.6839999999999999</v>
      </c>
      <c r="R386" s="5"/>
      <c r="S386" s="14">
        <f>AL5</f>
        <v>1.192E-2</v>
      </c>
      <c r="T386">
        <f t="shared" si="16"/>
        <v>59.6</v>
      </c>
      <c r="U386" s="5"/>
      <c r="AN386" s="5"/>
      <c r="AO386" s="5"/>
      <c r="AV386" s="5"/>
      <c r="AX386" s="5"/>
      <c r="BB386" s="6"/>
      <c r="BC386" s="5"/>
    </row>
    <row r="387" spans="1:55" x14ac:dyDescent="0.3">
      <c r="E387" s="250" t="s">
        <v>7</v>
      </c>
      <c r="F387" s="69"/>
      <c r="G387">
        <f>V187</f>
        <v>5000</v>
      </c>
      <c r="H387" s="14">
        <f>AA24</f>
        <v>1.6</v>
      </c>
      <c r="I387">
        <f t="shared" si="45"/>
        <v>8000</v>
      </c>
      <c r="J387" s="5"/>
      <c r="K387" s="14">
        <f>AD24</f>
        <v>27.8</v>
      </c>
      <c r="L387">
        <f t="shared" si="44"/>
        <v>139000</v>
      </c>
      <c r="M387" s="5"/>
      <c r="P387" s="14">
        <f>AI24</f>
        <v>0</v>
      </c>
      <c r="Q387">
        <f t="shared" si="32"/>
        <v>0</v>
      </c>
      <c r="R387" s="5"/>
      <c r="S387" s="14">
        <f>AL24</f>
        <v>0</v>
      </c>
      <c r="T387">
        <f t="shared" si="16"/>
        <v>0</v>
      </c>
      <c r="U387" s="5"/>
      <c r="AN387" s="5"/>
      <c r="AO387" s="5"/>
      <c r="AV387" s="5"/>
      <c r="AX387" s="5"/>
      <c r="BB387" s="6"/>
      <c r="BC387" s="5"/>
    </row>
    <row r="388" spans="1:55" x14ac:dyDescent="0.3">
      <c r="E388" s="250" t="s">
        <v>1515</v>
      </c>
      <c r="F388" s="69"/>
      <c r="G388">
        <f>V188</f>
        <v>0</v>
      </c>
      <c r="H388" s="14">
        <f>AA32</f>
        <v>1.6</v>
      </c>
      <c r="I388">
        <f t="shared" si="45"/>
        <v>0</v>
      </c>
      <c r="J388" s="5"/>
      <c r="K388" s="14">
        <f>AD32</f>
        <v>27.8</v>
      </c>
      <c r="L388">
        <f t="shared" si="44"/>
        <v>0</v>
      </c>
      <c r="M388" s="5"/>
      <c r="P388" s="14">
        <f>AI32</f>
        <v>0</v>
      </c>
      <c r="Q388">
        <f t="shared" si="32"/>
        <v>0</v>
      </c>
      <c r="R388" s="5"/>
      <c r="S388" s="14">
        <f>AL32</f>
        <v>0</v>
      </c>
      <c r="T388">
        <f t="shared" si="16"/>
        <v>0</v>
      </c>
      <c r="U388" s="5"/>
      <c r="AN388" s="5"/>
      <c r="AO388" s="5"/>
      <c r="AV388" s="5"/>
      <c r="AX388" s="5"/>
      <c r="BB388" s="6"/>
      <c r="BC388" s="5"/>
    </row>
    <row r="389" spans="1:55" x14ac:dyDescent="0.3">
      <c r="D389" t="s">
        <v>1519</v>
      </c>
      <c r="E389" s="250"/>
      <c r="F389" s="69"/>
      <c r="H389" s="14"/>
      <c r="I389">
        <f t="shared" si="45"/>
        <v>0</v>
      </c>
      <c r="J389" s="5"/>
      <c r="K389" s="14"/>
      <c r="L389">
        <f t="shared" si="44"/>
        <v>0</v>
      </c>
      <c r="M389" s="5"/>
      <c r="P389" s="14"/>
      <c r="Q389">
        <f t="shared" si="32"/>
        <v>0</v>
      </c>
      <c r="R389" s="5"/>
      <c r="S389" s="14"/>
      <c r="T389">
        <f t="shared" si="16"/>
        <v>0</v>
      </c>
      <c r="U389" s="5"/>
      <c r="AN389" s="5"/>
      <c r="AO389" s="5"/>
      <c r="AV389" s="5"/>
      <c r="AX389" s="5"/>
      <c r="BB389" s="6"/>
      <c r="BC389" s="5"/>
    </row>
    <row r="390" spans="1:55" x14ac:dyDescent="0.3">
      <c r="E390" t="s">
        <v>110</v>
      </c>
      <c r="F390" s="69"/>
      <c r="G390">
        <f>V191</f>
        <v>11440</v>
      </c>
      <c r="H390">
        <f>AA10</f>
        <v>2.02</v>
      </c>
      <c r="I390">
        <f t="shared" si="45"/>
        <v>23108.799999999999</v>
      </c>
      <c r="J390" s="5"/>
      <c r="K390">
        <f>AD10</f>
        <v>25.2</v>
      </c>
      <c r="L390">
        <f t="shared" si="44"/>
        <v>288288</v>
      </c>
      <c r="M390" s="5"/>
      <c r="P390">
        <f>AI10</f>
        <v>3.368E-4</v>
      </c>
      <c r="Q390">
        <f t="shared" si="32"/>
        <v>3.852992</v>
      </c>
      <c r="R390" s="5"/>
      <c r="S390">
        <f>AL10</f>
        <v>1.192E-2</v>
      </c>
      <c r="T390">
        <f t="shared" si="16"/>
        <v>136.3648</v>
      </c>
      <c r="U390" s="5"/>
      <c r="AN390" s="5"/>
      <c r="AO390" s="5"/>
      <c r="AV390" s="5"/>
      <c r="AX390" s="5"/>
      <c r="BB390" s="6"/>
      <c r="BC390" s="5"/>
    </row>
    <row r="391" spans="1:55" x14ac:dyDescent="0.3">
      <c r="E391" s="20" t="s">
        <v>7</v>
      </c>
      <c r="F391" s="69"/>
      <c r="G391">
        <f>V192</f>
        <v>11440</v>
      </c>
      <c r="H391">
        <f>AA24</f>
        <v>1.6</v>
      </c>
      <c r="I391">
        <f t="shared" si="45"/>
        <v>18304</v>
      </c>
      <c r="J391" s="5"/>
      <c r="K391">
        <f>AD24</f>
        <v>27.8</v>
      </c>
      <c r="L391">
        <f t="shared" si="44"/>
        <v>318032</v>
      </c>
      <c r="M391" s="5"/>
      <c r="P391">
        <f>AI24</f>
        <v>0</v>
      </c>
      <c r="Q391">
        <f t="shared" si="32"/>
        <v>0</v>
      </c>
      <c r="R391" s="5"/>
      <c r="S391">
        <f>AL24</f>
        <v>0</v>
      </c>
      <c r="T391">
        <f t="shared" si="16"/>
        <v>0</v>
      </c>
      <c r="U391" s="5"/>
      <c r="AN391" s="5"/>
      <c r="AO391" s="5"/>
      <c r="AV391" s="5"/>
      <c r="AX391" s="5"/>
      <c r="BB391" s="6"/>
      <c r="BC391" s="5"/>
    </row>
    <row r="392" spans="1:55" x14ac:dyDescent="0.3">
      <c r="B392" s="368" t="s">
        <v>2100</v>
      </c>
      <c r="C392" s="368"/>
      <c r="D392" s="368" t="s">
        <v>1520</v>
      </c>
      <c r="E392" s="368"/>
      <c r="F392" s="1"/>
      <c r="I392">
        <f t="shared" si="45"/>
        <v>0</v>
      </c>
      <c r="J392" s="5"/>
      <c r="L392">
        <f t="shared" si="44"/>
        <v>0</v>
      </c>
      <c r="M392" s="5"/>
      <c r="Q392">
        <f t="shared" si="32"/>
        <v>0</v>
      </c>
      <c r="R392" s="5"/>
      <c r="T392">
        <f t="shared" si="16"/>
        <v>0</v>
      </c>
      <c r="U392" s="5"/>
      <c r="AN392" s="5"/>
      <c r="AO392" s="5"/>
      <c r="AV392" s="5"/>
      <c r="AX392" s="5"/>
      <c r="BB392" s="6"/>
      <c r="BC392" s="5"/>
    </row>
    <row r="393" spans="1:55" x14ac:dyDescent="0.3">
      <c r="D393" t="s">
        <v>138</v>
      </c>
      <c r="F393" s="1"/>
      <c r="G393">
        <f>V195</f>
        <v>22.7</v>
      </c>
      <c r="H393" s="14">
        <f>AA37</f>
        <v>5.6</v>
      </c>
      <c r="I393">
        <f t="shared" si="45"/>
        <v>127.11999999999999</v>
      </c>
      <c r="J393" s="5"/>
      <c r="K393" s="14">
        <f>AD37</f>
        <v>88</v>
      </c>
      <c r="L393">
        <f t="shared" si="44"/>
        <v>1997.6</v>
      </c>
      <c r="M393" s="5"/>
      <c r="P393" s="14">
        <f>AI37</f>
        <v>9.5000000000000001E-2</v>
      </c>
      <c r="Q393">
        <f t="shared" si="32"/>
        <v>2.1564999999999999</v>
      </c>
      <c r="R393" s="5"/>
      <c r="S393" s="14">
        <f>AL37</f>
        <v>0.249</v>
      </c>
      <c r="T393">
        <f t="shared" si="16"/>
        <v>5.6522999999999994</v>
      </c>
      <c r="U393" s="5"/>
      <c r="AN393" s="5"/>
      <c r="AO393" s="5"/>
      <c r="AV393" s="5"/>
      <c r="AX393" s="5"/>
      <c r="BB393" s="6"/>
      <c r="BC393" s="5"/>
    </row>
    <row r="394" spans="1:55" x14ac:dyDescent="0.3">
      <c r="F394" s="1"/>
      <c r="J394" s="5"/>
      <c r="M394" s="5"/>
      <c r="R394" s="5"/>
      <c r="U394" s="5"/>
      <c r="AN394" s="5"/>
      <c r="AO394" s="5"/>
      <c r="AV394" s="5"/>
      <c r="AX394" s="5"/>
      <c r="BB394" s="6"/>
      <c r="BC394" s="5"/>
    </row>
    <row r="395" spans="1:55" s="12" customFormat="1" x14ac:dyDescent="0.3">
      <c r="A395"/>
      <c r="C395" s="12" t="s">
        <v>20</v>
      </c>
      <c r="F395" s="68"/>
      <c r="G395" s="12">
        <f>G396+G415+G420</f>
        <v>35651.5</v>
      </c>
      <c r="I395" s="12">
        <f t="shared" si="14"/>
        <v>0</v>
      </c>
      <c r="J395" s="13"/>
      <c r="M395" s="13"/>
      <c r="Q395" s="12">
        <f t="shared" ref="Q395:Q443" si="46">P395*G395</f>
        <v>0</v>
      </c>
      <c r="R395" s="13"/>
      <c r="U395" s="13"/>
      <c r="AN395" s="13"/>
      <c r="AO395" s="13"/>
      <c r="AV395" s="13"/>
      <c r="AX395" s="13"/>
      <c r="BB395" s="73"/>
      <c r="BC395" s="13"/>
    </row>
    <row r="396" spans="1:55" s="9" customFormat="1" x14ac:dyDescent="0.3">
      <c r="A396"/>
      <c r="D396" s="9" t="s">
        <v>21</v>
      </c>
      <c r="F396" s="67"/>
      <c r="G396" s="43">
        <f>AF122</f>
        <v>18160</v>
      </c>
      <c r="I396" s="9">
        <f t="shared" si="14"/>
        <v>0</v>
      </c>
      <c r="J396" s="11">
        <f>SUM(I397:I414)</f>
        <v>69937.890992530345</v>
      </c>
      <c r="M396" s="11">
        <f>SUM(L397:L414)</f>
        <v>1050779.3883367174</v>
      </c>
      <c r="Q396" s="9">
        <f t="shared" si="46"/>
        <v>0</v>
      </c>
      <c r="R396" s="11">
        <f>SUM(Q397:Q414)</f>
        <v>127.74797172731317</v>
      </c>
      <c r="U396" s="11">
        <f>SUM(T397:T414)</f>
        <v>277.2473688554436</v>
      </c>
      <c r="X396" s="9">
        <f>G396</f>
        <v>18160</v>
      </c>
      <c r="Y396" s="9" t="str">
        <f>$X$83</f>
        <v>ship ferry</v>
      </c>
      <c r="Z396" s="9">
        <f>$F$19</f>
        <v>2000</v>
      </c>
      <c r="AA396" s="9">
        <f>$AA$83</f>
        <v>0.109</v>
      </c>
      <c r="AB396" s="9">
        <f>AA396*Z396*X396/1000</f>
        <v>3958.88</v>
      </c>
      <c r="AC396" s="9">
        <f>$AD$83</f>
        <v>1.5</v>
      </c>
      <c r="AD396" s="9">
        <f>AC396*Z396*X396/1000</f>
        <v>54480</v>
      </c>
      <c r="AF396" s="9" t="s">
        <v>61</v>
      </c>
      <c r="AG396" s="9">
        <f>$G$19</f>
        <v>500</v>
      </c>
      <c r="AH396" s="9">
        <f>$AA$81</f>
        <v>8.9976823999999997E-2</v>
      </c>
      <c r="AI396" s="9">
        <f>AH396*AG396*X396/1000</f>
        <v>816.98956191999991</v>
      </c>
      <c r="AJ396" s="9">
        <f>$AD$81</f>
        <v>1.52</v>
      </c>
      <c r="AK396" s="9">
        <f>AJ396*AG396*X396/1000</f>
        <v>13801.6</v>
      </c>
      <c r="AN396" s="11">
        <f>AI396+AB396</f>
        <v>4775.8695619199998</v>
      </c>
      <c r="AO396" s="11">
        <f>AD396+AK396</f>
        <v>68281.600000000006</v>
      </c>
      <c r="AS396" s="9" t="s">
        <v>161</v>
      </c>
      <c r="AT396" s="9">
        <f>$G$21</f>
        <v>200</v>
      </c>
      <c r="AU396" s="9">
        <f>$AA$81</f>
        <v>8.9976823999999997E-2</v>
      </c>
      <c r="AV396" s="11">
        <f>(AU396*AT396*X396)/1000</f>
        <v>326.79582476799999</v>
      </c>
      <c r="AW396" s="9">
        <f>$AD$81</f>
        <v>1.52</v>
      </c>
      <c r="AX396" s="11">
        <f>(AW396*AT396*X396)/1000</f>
        <v>5520.64</v>
      </c>
      <c r="BB396" s="74">
        <f>AV396+AN396+R396+J396</f>
        <v>75168.304350945662</v>
      </c>
      <c r="BC396" s="11">
        <f>AX396+AO396+U396+M396</f>
        <v>1124858.8757055728</v>
      </c>
    </row>
    <row r="397" spans="1:55" x14ac:dyDescent="0.3">
      <c r="E397" s="27" t="s">
        <v>19</v>
      </c>
      <c r="F397" s="310"/>
      <c r="G397">
        <v>0</v>
      </c>
      <c r="H397">
        <f>AA43</f>
        <v>7.96</v>
      </c>
      <c r="I397">
        <f t="shared" ref="I397:I409" si="47">G397*H397</f>
        <v>0</v>
      </c>
      <c r="J397" s="5"/>
      <c r="K397">
        <f>AD43</f>
        <v>108</v>
      </c>
      <c r="L397">
        <f t="shared" ref="L397:L409" si="48">K397*G397</f>
        <v>0</v>
      </c>
      <c r="M397" s="5"/>
      <c r="P397">
        <f>AI43</f>
        <v>6.2E-2</v>
      </c>
      <c r="Q397">
        <f t="shared" si="46"/>
        <v>0</v>
      </c>
      <c r="R397" s="5"/>
      <c r="S397">
        <f>AL43</f>
        <v>3.1900000000000005E-2</v>
      </c>
      <c r="T397">
        <f t="shared" si="16"/>
        <v>0</v>
      </c>
      <c r="U397" s="5"/>
      <c r="AN397" s="5"/>
      <c r="AO397" s="5"/>
      <c r="AV397" s="5"/>
      <c r="AX397" s="5"/>
      <c r="BB397" s="6"/>
      <c r="BC397" s="5"/>
    </row>
    <row r="398" spans="1:55" x14ac:dyDescent="0.3">
      <c r="E398" t="s">
        <v>820</v>
      </c>
      <c r="F398" s="1"/>
      <c r="G398">
        <f t="shared" ref="G398:G407" si="49">AG125</f>
        <v>10353.631913258081</v>
      </c>
      <c r="H398" s="14">
        <f>AA7</f>
        <v>4.37</v>
      </c>
      <c r="I398">
        <f t="shared" si="47"/>
        <v>45245.371460937815</v>
      </c>
      <c r="J398" s="5"/>
      <c r="K398" s="14">
        <f>AD7</f>
        <v>63.8</v>
      </c>
      <c r="L398">
        <f t="shared" si="48"/>
        <v>660561.71606586559</v>
      </c>
      <c r="M398" s="5"/>
      <c r="P398" s="14">
        <f>AI7</f>
        <v>3.368E-4</v>
      </c>
      <c r="Q398">
        <f t="shared" si="46"/>
        <v>3.4871032283853216</v>
      </c>
      <c r="R398" s="5"/>
      <c r="S398" s="14">
        <f>AL7</f>
        <v>1.192E-2</v>
      </c>
      <c r="T398">
        <f t="shared" si="16"/>
        <v>123.41529240603633</v>
      </c>
      <c r="U398" s="5"/>
      <c r="AN398" s="5"/>
      <c r="AO398" s="5"/>
      <c r="AV398" s="5"/>
      <c r="AX398" s="5"/>
      <c r="BB398" s="6"/>
      <c r="BC398" s="5"/>
    </row>
    <row r="399" spans="1:55" x14ac:dyDescent="0.3">
      <c r="E399" t="s">
        <v>114</v>
      </c>
      <c r="F399" s="1"/>
      <c r="G399">
        <f t="shared" si="49"/>
        <v>1942.5917384795889</v>
      </c>
      <c r="H399" s="14">
        <f>AA10</f>
        <v>2.02</v>
      </c>
      <c r="I399">
        <f t="shared" si="47"/>
        <v>3924.0353117287696</v>
      </c>
      <c r="J399" s="5"/>
      <c r="K399" s="14">
        <f>AD10</f>
        <v>25.2</v>
      </c>
      <c r="L399">
        <f t="shared" si="48"/>
        <v>48953.311809685641</v>
      </c>
      <c r="M399" s="5"/>
      <c r="P399" s="14">
        <f>AI10</f>
        <v>3.368E-4</v>
      </c>
      <c r="Q399">
        <f t="shared" si="46"/>
        <v>0.65426489751992556</v>
      </c>
      <c r="R399" s="5"/>
      <c r="S399" s="14">
        <f>AL10</f>
        <v>1.192E-2</v>
      </c>
      <c r="T399">
        <f t="shared" si="16"/>
        <v>23.1556935226767</v>
      </c>
      <c r="U399" s="5"/>
      <c r="AN399" s="5"/>
      <c r="AO399" s="5"/>
      <c r="AV399" s="5"/>
      <c r="AX399" s="5"/>
      <c r="BB399" s="6"/>
      <c r="BC399" s="5"/>
    </row>
    <row r="400" spans="1:55" x14ac:dyDescent="0.3">
      <c r="E400" t="s">
        <v>113</v>
      </c>
      <c r="F400" s="1"/>
      <c r="G400">
        <f t="shared" si="49"/>
        <v>2032.9619290366952</v>
      </c>
      <c r="H400" s="14">
        <f>AA8</f>
        <v>4.63</v>
      </c>
      <c r="I400">
        <f t="shared" si="47"/>
        <v>9412.6137314398984</v>
      </c>
      <c r="J400" s="5"/>
      <c r="K400" s="14">
        <f>AD8</f>
        <v>69.3</v>
      </c>
      <c r="L400">
        <f t="shared" si="48"/>
        <v>140884.26168224297</v>
      </c>
      <c r="M400" s="5"/>
      <c r="P400" s="14">
        <f>AI8</f>
        <v>4.9599999999999998E-2</v>
      </c>
      <c r="Q400">
        <f t="shared" si="46"/>
        <v>100.83491168022007</v>
      </c>
      <c r="R400" s="5"/>
      <c r="S400" s="14">
        <f>AL8</f>
        <v>2.5520000000000001E-2</v>
      </c>
      <c r="T400">
        <f t="shared" si="16"/>
        <v>51.881188429016461</v>
      </c>
      <c r="U400" s="5"/>
      <c r="AN400" s="5"/>
      <c r="AO400" s="5"/>
      <c r="AV400" s="5"/>
      <c r="AX400" s="5"/>
      <c r="BB400" s="6"/>
      <c r="BC400" s="5"/>
    </row>
    <row r="401" spans="1:55" x14ac:dyDescent="0.3">
      <c r="E401" t="s">
        <v>110</v>
      </c>
      <c r="F401" s="1"/>
      <c r="G401">
        <f t="shared" si="49"/>
        <v>2043.982683982684</v>
      </c>
      <c r="H401" s="14">
        <f>AA12</f>
        <v>2.1795</v>
      </c>
      <c r="I401">
        <f t="shared" si="47"/>
        <v>4454.8602597402596</v>
      </c>
      <c r="J401" s="5"/>
      <c r="K401" s="14">
        <f>AD12</f>
        <v>26.945</v>
      </c>
      <c r="L401">
        <f t="shared" si="48"/>
        <v>55075.113419913418</v>
      </c>
      <c r="M401" s="5"/>
      <c r="P401" s="14">
        <f>AI12</f>
        <v>3.368E-4</v>
      </c>
      <c r="Q401">
        <f t="shared" si="46"/>
        <v>0.68841336796536801</v>
      </c>
      <c r="R401" s="5"/>
      <c r="S401" s="14">
        <f>AL12</f>
        <v>1.192E-2</v>
      </c>
      <c r="T401">
        <f t="shared" si="16"/>
        <v>24.364273593073595</v>
      </c>
      <c r="U401" s="5"/>
      <c r="AN401" s="5"/>
      <c r="AO401" s="5"/>
      <c r="AV401" s="5"/>
      <c r="AX401" s="5"/>
      <c r="BB401" s="6"/>
      <c r="BC401" s="5"/>
    </row>
    <row r="402" spans="1:55" x14ac:dyDescent="0.3">
      <c r="E402" t="s">
        <v>23</v>
      </c>
      <c r="F402" s="1"/>
      <c r="G402">
        <f t="shared" si="49"/>
        <v>337.9698183436501</v>
      </c>
      <c r="H402" s="14">
        <f>AA6</f>
        <v>1.7</v>
      </c>
      <c r="I402">
        <f t="shared" si="47"/>
        <v>574.54869118420515</v>
      </c>
      <c r="J402" s="5"/>
      <c r="K402" s="14">
        <f>AD6</f>
        <v>22</v>
      </c>
      <c r="L402">
        <f t="shared" si="48"/>
        <v>7435.3360035603018</v>
      </c>
      <c r="M402" s="5"/>
      <c r="P402" s="14">
        <f>AI6</f>
        <v>4.9599999999999998E-2</v>
      </c>
      <c r="Q402">
        <f t="shared" si="46"/>
        <v>16.763302989845045</v>
      </c>
      <c r="R402" s="5"/>
      <c r="S402" s="14">
        <f>AL6</f>
        <v>2.5520000000000001E-2</v>
      </c>
      <c r="T402">
        <f t="shared" si="16"/>
        <v>8.6249897641299516</v>
      </c>
      <c r="U402" s="5"/>
      <c r="AN402" s="5"/>
      <c r="AO402" s="5"/>
      <c r="AV402" s="5"/>
      <c r="AX402" s="5"/>
      <c r="BB402" s="6"/>
      <c r="BC402" s="5"/>
    </row>
    <row r="403" spans="1:55" x14ac:dyDescent="0.3">
      <c r="E403" t="s">
        <v>2097</v>
      </c>
      <c r="F403" s="1"/>
      <c r="G403">
        <f t="shared" si="49"/>
        <v>282.86604361370718</v>
      </c>
      <c r="H403" s="14">
        <f>AA73</f>
        <v>1.85</v>
      </c>
      <c r="I403" s="14">
        <f t="shared" si="47"/>
        <v>523.30218068535828</v>
      </c>
      <c r="J403" s="5"/>
      <c r="K403" s="14">
        <f>AD73</f>
        <v>39.6</v>
      </c>
      <c r="L403">
        <f t="shared" si="48"/>
        <v>11201.495327102804</v>
      </c>
      <c r="M403" s="5"/>
      <c r="P403" s="14">
        <f>AI73</f>
        <v>4.2100000000000002E-3</v>
      </c>
      <c r="Q403">
        <f t="shared" si="46"/>
        <v>1.1908660436137073</v>
      </c>
      <c r="R403" s="5"/>
      <c r="S403" s="14">
        <f>AL73</f>
        <v>0.14899999999999999</v>
      </c>
      <c r="T403">
        <f t="shared" si="16"/>
        <v>42.147040498442365</v>
      </c>
      <c r="U403" s="5"/>
      <c r="AN403" s="5"/>
      <c r="AO403" s="5"/>
      <c r="AV403" s="5"/>
      <c r="AX403" s="5"/>
      <c r="BB403" s="6"/>
      <c r="BC403" s="5"/>
    </row>
    <row r="404" spans="1:55" x14ac:dyDescent="0.3">
      <c r="E404" t="s">
        <v>203</v>
      </c>
      <c r="F404" s="1"/>
      <c r="G404">
        <f t="shared" si="49"/>
        <v>4.4083019783954365</v>
      </c>
      <c r="H404" s="14">
        <f>AA72</f>
        <v>4.851355932203389</v>
      </c>
      <c r="I404">
        <f t="shared" si="47"/>
        <v>21.386241953832638</v>
      </c>
      <c r="J404" s="5"/>
      <c r="K404" s="14">
        <f>AD72</f>
        <v>108.06779661016948</v>
      </c>
      <c r="L404">
        <f t="shared" si="48"/>
        <v>476.39548159744578</v>
      </c>
      <c r="M404" s="5"/>
      <c r="P404">
        <f>AI72</f>
        <v>0.62</v>
      </c>
      <c r="Q404">
        <f t="shared" si="46"/>
        <v>2.7331472266051704</v>
      </c>
      <c r="R404" s="5"/>
      <c r="T404">
        <f t="shared" si="16"/>
        <v>0</v>
      </c>
      <c r="U404" s="5"/>
      <c r="AN404" s="5"/>
      <c r="AO404" s="5"/>
      <c r="AV404" s="5"/>
      <c r="AX404" s="5"/>
      <c r="BB404" s="6"/>
      <c r="BC404" s="5"/>
    </row>
    <row r="405" spans="1:55" x14ac:dyDescent="0.3">
      <c r="E405" t="s">
        <v>138</v>
      </c>
      <c r="F405" s="1"/>
      <c r="G405">
        <f t="shared" si="49"/>
        <v>14.694339927984787</v>
      </c>
      <c r="H405" s="14">
        <f>AA37</f>
        <v>5.6</v>
      </c>
      <c r="I405">
        <f t="shared" si="47"/>
        <v>82.288303596714798</v>
      </c>
      <c r="J405" s="5"/>
      <c r="K405" s="14">
        <f>AD37</f>
        <v>88</v>
      </c>
      <c r="L405">
        <f t="shared" si="48"/>
        <v>1293.1019136626612</v>
      </c>
      <c r="M405" s="5"/>
      <c r="P405" s="14">
        <f>AI37</f>
        <v>9.5000000000000001E-2</v>
      </c>
      <c r="Q405">
        <f t="shared" si="46"/>
        <v>1.3959622931585547</v>
      </c>
      <c r="R405" s="5"/>
      <c r="S405" s="14">
        <f>AL37</f>
        <v>0.249</v>
      </c>
      <c r="T405">
        <f t="shared" si="16"/>
        <v>3.6588906420682119</v>
      </c>
      <c r="U405" s="5"/>
      <c r="AN405" s="5"/>
      <c r="AO405" s="5"/>
      <c r="AV405" s="5"/>
      <c r="AX405" s="5"/>
      <c r="BB405" s="6"/>
      <c r="BC405" s="5"/>
    </row>
    <row r="406" spans="1:55" x14ac:dyDescent="0.3">
      <c r="E406" s="250" t="s">
        <v>821</v>
      </c>
      <c r="F406" s="1"/>
      <c r="G406">
        <f t="shared" si="49"/>
        <v>47345.163247966986</v>
      </c>
      <c r="H406" s="14">
        <f>AA90</f>
        <v>8.9499999999999996E-2</v>
      </c>
      <c r="I406">
        <f t="shared" si="47"/>
        <v>4237.3921106930447</v>
      </c>
      <c r="J406" s="5"/>
      <c r="K406" s="14">
        <f>AD90</f>
        <v>2.23</v>
      </c>
      <c r="L406">
        <f t="shared" si="48"/>
        <v>105579.71404296639</v>
      </c>
      <c r="M406" s="5"/>
      <c r="P406" s="14"/>
      <c r="R406" s="5"/>
      <c r="S406" s="14"/>
      <c r="U406" s="5"/>
      <c r="AN406" s="5"/>
      <c r="AO406" s="5"/>
      <c r="AV406" s="5"/>
      <c r="AX406" s="5"/>
      <c r="BB406" s="6"/>
      <c r="BC406" s="5"/>
    </row>
    <row r="407" spans="1:55" x14ac:dyDescent="0.3">
      <c r="E407" s="250" t="s">
        <v>819</v>
      </c>
      <c r="F407" s="1"/>
      <c r="G407">
        <f t="shared" si="49"/>
        <v>21953.343852409274</v>
      </c>
      <c r="H407" s="14">
        <f>AA89</f>
        <v>6.6600000000000006E-2</v>
      </c>
      <c r="I407">
        <f t="shared" si="47"/>
        <v>1462.0927005704577</v>
      </c>
      <c r="J407" s="5"/>
      <c r="K407" s="14">
        <f>AD89</f>
        <v>0.88</v>
      </c>
      <c r="L407">
        <f t="shared" si="48"/>
        <v>19318.942590120161</v>
      </c>
      <c r="M407" s="5"/>
      <c r="P407" s="14"/>
      <c r="R407" s="5"/>
      <c r="S407" s="14"/>
      <c r="U407" s="5"/>
      <c r="AN407" s="5"/>
      <c r="AO407" s="5"/>
      <c r="AV407" s="5"/>
      <c r="AX407" s="5"/>
      <c r="BB407" s="6"/>
      <c r="BC407" s="5"/>
    </row>
    <row r="408" spans="1:55" x14ac:dyDescent="0.3">
      <c r="D408">
        <f>AG135</f>
        <v>2032.9619290366952</v>
      </c>
      <c r="E408" s="250" t="s">
        <v>124</v>
      </c>
      <c r="F408" s="1"/>
      <c r="G408">
        <v>0</v>
      </c>
      <c r="H408" s="14">
        <f>AA21</f>
        <v>0.5</v>
      </c>
      <c r="I408">
        <f t="shared" si="47"/>
        <v>0</v>
      </c>
      <c r="J408" s="5"/>
      <c r="K408" s="14">
        <f>AD21</f>
        <v>9.5399999999999991</v>
      </c>
      <c r="L408">
        <f t="shared" si="48"/>
        <v>0</v>
      </c>
      <c r="M408" s="5"/>
      <c r="P408" s="14"/>
      <c r="R408" s="5"/>
      <c r="S408" s="14"/>
      <c r="U408" s="5"/>
      <c r="AN408" s="5"/>
      <c r="AO408" s="5"/>
      <c r="AV408" s="5"/>
      <c r="AX408" s="5"/>
      <c r="BB408" s="6"/>
      <c r="BC408" s="5"/>
    </row>
    <row r="409" spans="1:55" x14ac:dyDescent="0.3">
      <c r="D409">
        <f>AG136</f>
        <v>10353.631913258081</v>
      </c>
      <c r="E409" s="250" t="s">
        <v>822</v>
      </c>
      <c r="F409" s="1"/>
      <c r="G409">
        <v>0</v>
      </c>
      <c r="H409" s="14">
        <f>AA25</f>
        <v>2.23</v>
      </c>
      <c r="I409" s="14">
        <f t="shared" si="47"/>
        <v>0</v>
      </c>
      <c r="J409" s="5"/>
      <c r="K409" s="14">
        <f>AD25</f>
        <v>37.6</v>
      </c>
      <c r="L409">
        <f t="shared" si="48"/>
        <v>0</v>
      </c>
      <c r="M409" s="5"/>
      <c r="P409" s="14"/>
      <c r="R409" s="5"/>
      <c r="S409" s="14"/>
      <c r="U409" s="5"/>
      <c r="AN409" s="5"/>
      <c r="AO409" s="5"/>
      <c r="AV409" s="5"/>
      <c r="AX409" s="5"/>
      <c r="BB409" s="6"/>
      <c r="BC409" s="5"/>
    </row>
    <row r="410" spans="1:55" x14ac:dyDescent="0.3">
      <c r="F410" s="1"/>
      <c r="J410" s="5"/>
      <c r="M410" s="5"/>
      <c r="R410" s="5"/>
      <c r="U410" s="5"/>
      <c r="AN410" s="5"/>
      <c r="AO410" s="5"/>
      <c r="AV410" s="5"/>
      <c r="AX410" s="5"/>
      <c r="BB410" s="6"/>
      <c r="BC410" s="5"/>
    </row>
    <row r="411" spans="1:55" x14ac:dyDescent="0.3">
      <c r="D411" t="s">
        <v>2099</v>
      </c>
      <c r="F411" s="1"/>
      <c r="J411" s="5"/>
      <c r="M411" s="5"/>
      <c r="R411" s="5"/>
      <c r="U411" s="5"/>
      <c r="AN411" s="5"/>
      <c r="AO411" s="5"/>
      <c r="AV411" s="5"/>
      <c r="AX411" s="5"/>
      <c r="BB411" s="6"/>
      <c r="BC411" s="5"/>
    </row>
    <row r="412" spans="1:55" x14ac:dyDescent="0.3">
      <c r="D412" t="s">
        <v>2098</v>
      </c>
      <c r="F412" s="1"/>
      <c r="J412" s="5"/>
      <c r="M412" s="5"/>
      <c r="R412" s="5"/>
      <c r="U412" s="5"/>
      <c r="AN412" s="5"/>
      <c r="AO412" s="5"/>
      <c r="AV412" s="5"/>
      <c r="AX412" s="5"/>
      <c r="BB412" s="6"/>
      <c r="BC412" s="5"/>
    </row>
    <row r="413" spans="1:55" x14ac:dyDescent="0.3">
      <c r="F413" s="1"/>
      <c r="J413" s="5"/>
      <c r="M413" s="5"/>
      <c r="R413" s="5"/>
      <c r="U413" s="5"/>
      <c r="AN413" s="5"/>
      <c r="AO413" s="5"/>
      <c r="AV413" s="5"/>
      <c r="AX413" s="5"/>
      <c r="BB413" s="6"/>
      <c r="BC413" s="5"/>
    </row>
    <row r="414" spans="1:55" x14ac:dyDescent="0.3">
      <c r="F414" s="1"/>
      <c r="J414" s="5"/>
      <c r="M414" s="5"/>
      <c r="R414" s="5"/>
      <c r="U414" s="5"/>
      <c r="AN414" s="5"/>
      <c r="AO414" s="5"/>
      <c r="AV414" s="5"/>
      <c r="AX414" s="5"/>
      <c r="BB414" s="6"/>
      <c r="BC414" s="5"/>
    </row>
    <row r="415" spans="1:55" s="9" customFormat="1" x14ac:dyDescent="0.3">
      <c r="A415"/>
      <c r="F415" s="67"/>
      <c r="J415" s="11"/>
      <c r="M415" s="11"/>
      <c r="R415" s="11"/>
      <c r="U415" s="11"/>
      <c r="AN415" s="11"/>
      <c r="AO415" s="11"/>
      <c r="AV415" s="11"/>
      <c r="AX415" s="11"/>
      <c r="BB415" s="74"/>
      <c r="BC415" s="11"/>
    </row>
    <row r="416" spans="1:55" x14ac:dyDescent="0.3">
      <c r="F416" s="1"/>
      <c r="J416" s="5"/>
      <c r="M416" s="5"/>
      <c r="R416" s="5"/>
      <c r="U416" s="5"/>
      <c r="AN416" s="5"/>
      <c r="AO416" s="5"/>
      <c r="AV416" s="5"/>
      <c r="AX416" s="5"/>
      <c r="BB416" s="6"/>
      <c r="BC416" s="5"/>
    </row>
    <row r="417" spans="1:55" x14ac:dyDescent="0.3">
      <c r="F417" s="1"/>
      <c r="J417" s="5"/>
      <c r="M417" s="5"/>
      <c r="R417" s="5"/>
      <c r="U417" s="5"/>
      <c r="AN417" s="5"/>
      <c r="AO417" s="5"/>
      <c r="AV417" s="5"/>
      <c r="AX417" s="5"/>
      <c r="BB417" s="6"/>
      <c r="BC417" s="5"/>
    </row>
    <row r="418" spans="1:55" x14ac:dyDescent="0.3">
      <c r="E418" s="20"/>
      <c r="F418" s="1"/>
      <c r="J418" s="5"/>
      <c r="M418" s="5"/>
      <c r="R418" s="5"/>
      <c r="U418" s="5"/>
      <c r="AN418" s="5"/>
      <c r="AO418" s="5"/>
      <c r="AV418" s="5"/>
      <c r="AX418" s="5"/>
      <c r="BB418" s="6"/>
      <c r="BC418" s="5"/>
    </row>
    <row r="419" spans="1:55" x14ac:dyDescent="0.3">
      <c r="F419" s="1"/>
      <c r="J419" s="5"/>
      <c r="M419" s="5"/>
      <c r="R419" s="5"/>
      <c r="U419" s="5"/>
      <c r="AN419" s="5"/>
      <c r="AO419" s="5"/>
      <c r="AV419" s="5"/>
      <c r="AX419" s="5"/>
      <c r="BB419" s="6"/>
      <c r="BC419" s="5"/>
    </row>
    <row r="420" spans="1:55" s="9" customFormat="1" x14ac:dyDescent="0.3">
      <c r="A420"/>
      <c r="D420" s="9" t="s">
        <v>26</v>
      </c>
      <c r="F420" s="67"/>
      <c r="G420" s="9">
        <f>AE233</f>
        <v>17491.5</v>
      </c>
      <c r="I420" s="9">
        <f t="shared" si="14"/>
        <v>0</v>
      </c>
      <c r="J420" s="11">
        <f>SUM(I421:I423)</f>
        <v>87457.5</v>
      </c>
      <c r="M420" s="11">
        <f>SUM(L421:L423)</f>
        <v>1542750.3</v>
      </c>
      <c r="Q420" s="9">
        <f t="shared" si="46"/>
        <v>0</v>
      </c>
      <c r="R420" s="11">
        <f>SUM(Q421:Q423)</f>
        <v>1626.7094999999999</v>
      </c>
      <c r="U420" s="11">
        <f>SUM(T421:T423)</f>
        <v>836.96827499999995</v>
      </c>
      <c r="X420" s="9">
        <f>G420</f>
        <v>17491.5</v>
      </c>
      <c r="Y420" s="9" t="str">
        <f>$X$83</f>
        <v>ship ferry</v>
      </c>
      <c r="Z420" s="9">
        <f>$F$19</f>
        <v>2000</v>
      </c>
      <c r="AA420" s="9">
        <f>$AA$83</f>
        <v>0.109</v>
      </c>
      <c r="AB420" s="9">
        <f>AA420*Z420*X420/1000</f>
        <v>3813.1469999999999</v>
      </c>
      <c r="AC420" s="9">
        <f>$AD$83</f>
        <v>1.5</v>
      </c>
      <c r="AD420" s="9">
        <f>AC420*Z420*X420/1000</f>
        <v>52474.5</v>
      </c>
      <c r="AF420" s="9" t="s">
        <v>61</v>
      </c>
      <c r="AG420" s="9">
        <f>$G$19</f>
        <v>500</v>
      </c>
      <c r="AH420" s="9">
        <f>$AA$81</f>
        <v>8.9976823999999997E-2</v>
      </c>
      <c r="AI420" s="9">
        <f>AH420*AG420*X420/1000</f>
        <v>786.91480849799996</v>
      </c>
      <c r="AJ420" s="9">
        <f>$AD$81</f>
        <v>1.52</v>
      </c>
      <c r="AK420" s="9">
        <f>AJ420*AG420*X420/1000</f>
        <v>13293.54</v>
      </c>
      <c r="AN420" s="11">
        <f>AI420+AB420</f>
        <v>4600.0618084979997</v>
      </c>
      <c r="AO420" s="11">
        <f>AD420+AK420</f>
        <v>65768.040000000008</v>
      </c>
      <c r="AS420" s="9" t="s">
        <v>161</v>
      </c>
      <c r="AT420" s="9">
        <f>$G$21</f>
        <v>200</v>
      </c>
      <c r="AU420" s="9">
        <f>$AA$81</f>
        <v>8.9976823999999997E-2</v>
      </c>
      <c r="AV420" s="11">
        <f>(AU420*AT420*X420)/1000</f>
        <v>314.76592339920001</v>
      </c>
      <c r="AW420" s="9">
        <f>$AD$81</f>
        <v>1.52</v>
      </c>
      <c r="AX420" s="11">
        <f>(AW420*AT420*X420)/1000</f>
        <v>5317.4160000000002</v>
      </c>
      <c r="BB420" s="74">
        <f>AV420+AN420+R420+J420</f>
        <v>93999.037231897193</v>
      </c>
      <c r="BC420" s="11">
        <f>AX420+AO420+U420+M420</f>
        <v>1614672.7242750002</v>
      </c>
    </row>
    <row r="421" spans="1:55" x14ac:dyDescent="0.3">
      <c r="E421" t="s">
        <v>26</v>
      </c>
      <c r="F421" s="1">
        <v>1</v>
      </c>
      <c r="G421">
        <f>F421*G420</f>
        <v>17491.5</v>
      </c>
      <c r="H421">
        <f>AA42</f>
        <v>5</v>
      </c>
      <c r="I421">
        <f t="shared" si="14"/>
        <v>87457.5</v>
      </c>
      <c r="J421" s="5"/>
      <c r="K421">
        <f>AD42</f>
        <v>88.2</v>
      </c>
      <c r="L421">
        <f>K421*G421</f>
        <v>1542750.3</v>
      </c>
      <c r="M421" s="5"/>
      <c r="P421">
        <f>AI42</f>
        <v>9.2999999999999999E-2</v>
      </c>
      <c r="Q421">
        <f t="shared" si="46"/>
        <v>1626.7094999999999</v>
      </c>
      <c r="R421" s="5"/>
      <c r="S421">
        <f>AL42</f>
        <v>4.7849999999999997E-2</v>
      </c>
      <c r="T421">
        <f t="shared" si="16"/>
        <v>836.96827499999995</v>
      </c>
      <c r="U421" s="5"/>
      <c r="AN421" s="5"/>
      <c r="AO421" s="5"/>
      <c r="AV421" s="5"/>
      <c r="AX421" s="5"/>
      <c r="BB421" s="6"/>
      <c r="BC421" s="5"/>
    </row>
    <row r="422" spans="1:55" x14ac:dyDescent="0.3">
      <c r="F422" s="1"/>
      <c r="I422">
        <f t="shared" si="14"/>
        <v>0</v>
      </c>
      <c r="J422" s="5"/>
      <c r="M422" s="5"/>
      <c r="Q422">
        <f t="shared" si="46"/>
        <v>0</v>
      </c>
      <c r="R422" s="5"/>
      <c r="T422">
        <f t="shared" si="16"/>
        <v>0</v>
      </c>
      <c r="U422" s="5"/>
      <c r="AN422" s="5"/>
      <c r="AO422" s="5"/>
      <c r="AV422" s="5"/>
      <c r="AX422" s="5"/>
      <c r="BB422" s="6"/>
      <c r="BC422" s="5"/>
    </row>
    <row r="423" spans="1:55" x14ac:dyDescent="0.3">
      <c r="F423" s="1"/>
      <c r="J423" s="5"/>
      <c r="M423" s="5"/>
      <c r="Q423">
        <f t="shared" si="46"/>
        <v>0</v>
      </c>
      <c r="R423" s="5"/>
      <c r="T423">
        <f t="shared" si="16"/>
        <v>0</v>
      </c>
      <c r="U423" s="5"/>
      <c r="AN423" s="5"/>
      <c r="AO423" s="5"/>
      <c r="AV423" s="5"/>
      <c r="AX423" s="5"/>
      <c r="BB423" s="6"/>
      <c r="BC423" s="5"/>
    </row>
    <row r="424" spans="1:55" s="9" customFormat="1" x14ac:dyDescent="0.3">
      <c r="A424"/>
      <c r="D424" s="43" t="s">
        <v>211</v>
      </c>
      <c r="F424" s="67"/>
      <c r="G424" s="9">
        <f>AN155</f>
        <v>34850</v>
      </c>
      <c r="I424" s="9">
        <f t="shared" ref="I424:I445" si="50">G424*H424</f>
        <v>0</v>
      </c>
      <c r="J424" s="11">
        <f>SUM(I426:I444)</f>
        <v>180964.12309176949</v>
      </c>
      <c r="M424" s="11">
        <f>SUM(L426:L444)</f>
        <v>2899466.9055184745</v>
      </c>
      <c r="Q424" s="9">
        <f t="shared" si="46"/>
        <v>0</v>
      </c>
      <c r="R424" s="11">
        <f>SUM(Q426:Q444)</f>
        <v>1351.7653649000003</v>
      </c>
      <c r="U424" s="11">
        <f>SUM(T426:T444)</f>
        <v>1127.14087187</v>
      </c>
      <c r="X424" s="9">
        <f>G424</f>
        <v>34850</v>
      </c>
      <c r="Y424" s="9" t="str">
        <f>$X$83</f>
        <v>ship ferry</v>
      </c>
      <c r="Z424" s="9">
        <f>$F$19</f>
        <v>2000</v>
      </c>
      <c r="AA424" s="9">
        <f>$AA$83</f>
        <v>0.109</v>
      </c>
      <c r="AB424" s="9">
        <f>AA424*Z424*X424/1000</f>
        <v>7597.3</v>
      </c>
      <c r="AC424" s="9">
        <f>$AD$83</f>
        <v>1.5</v>
      </c>
      <c r="AD424" s="9">
        <f>AC424*Z424*X424/1000</f>
        <v>104550</v>
      </c>
      <c r="AF424" s="9" t="s">
        <v>61</v>
      </c>
      <c r="AG424" s="9">
        <f>$G$19</f>
        <v>500</v>
      </c>
      <c r="AH424" s="9">
        <f>$AA$81</f>
        <v>8.9976823999999997E-2</v>
      </c>
      <c r="AI424" s="9">
        <f>AH424*AG424*X424/1000</f>
        <v>1567.8461582</v>
      </c>
      <c r="AJ424" s="9">
        <f>$AD$81</f>
        <v>1.52</v>
      </c>
      <c r="AK424" s="9">
        <f>AJ424*AG424*X424/1000</f>
        <v>26486</v>
      </c>
      <c r="AN424" s="11">
        <f>AI424+AB424</f>
        <v>9165.1461582000011</v>
      </c>
      <c r="AO424" s="11">
        <f>AD424+AK424</f>
        <v>131036</v>
      </c>
      <c r="AV424" s="11"/>
      <c r="AW424" s="9">
        <f>$AD$81</f>
        <v>1.52</v>
      </c>
      <c r="AX424" s="11">
        <f>(AW424*AT424*X424)/1000</f>
        <v>0</v>
      </c>
      <c r="BB424" s="74">
        <f>AV424+AN424+R424+J424</f>
        <v>191481.03461486948</v>
      </c>
      <c r="BC424" s="11">
        <f>AX424+AO424+U424+M424</f>
        <v>3031630.0463903444</v>
      </c>
    </row>
    <row r="425" spans="1:55" x14ac:dyDescent="0.3">
      <c r="D425" s="38" t="s">
        <v>1521</v>
      </c>
      <c r="F425" s="1"/>
      <c r="J425" s="5"/>
      <c r="M425" s="5"/>
      <c r="R425" s="5"/>
      <c r="U425" s="5"/>
      <c r="AN425" s="5"/>
      <c r="AO425" s="5"/>
      <c r="AV425" s="5"/>
      <c r="AX425" s="5"/>
      <c r="BB425" s="6"/>
      <c r="BC425" s="5"/>
    </row>
    <row r="426" spans="1:55" x14ac:dyDescent="0.3">
      <c r="D426" s="38"/>
      <c r="E426" t="s">
        <v>6</v>
      </c>
      <c r="F426" s="1"/>
      <c r="G426">
        <f>AN156</f>
        <v>1500</v>
      </c>
      <c r="H426" s="14">
        <f>AA69</f>
        <v>23.61956697627118</v>
      </c>
      <c r="I426">
        <f t="shared" si="50"/>
        <v>35429.350464406773</v>
      </c>
      <c r="J426" s="5"/>
      <c r="K426" s="14">
        <f>AD69</f>
        <v>473.73135881355932</v>
      </c>
      <c r="L426">
        <f t="shared" ref="L426:L442" si="51">K426*G426</f>
        <v>710597.03822033899</v>
      </c>
      <c r="M426" s="5"/>
      <c r="P426" s="14">
        <f>AI69</f>
        <v>0.62</v>
      </c>
      <c r="Q426">
        <f t="shared" si="46"/>
        <v>930</v>
      </c>
      <c r="R426" s="5"/>
      <c r="S426" s="14">
        <f>AL69</f>
        <v>0.31900000000000001</v>
      </c>
      <c r="T426">
        <f t="shared" ref="T426:T442" si="52">S426*G426</f>
        <v>478.5</v>
      </c>
      <c r="U426" s="5"/>
      <c r="AN426" s="5"/>
      <c r="AO426" s="5"/>
      <c r="AV426" s="5"/>
      <c r="AX426" s="5"/>
      <c r="BB426" s="6"/>
      <c r="BC426" s="5"/>
    </row>
    <row r="427" spans="1:55" x14ac:dyDescent="0.3">
      <c r="D427" s="38"/>
      <c r="E427" t="s">
        <v>585</v>
      </c>
      <c r="F427" s="1"/>
      <c r="G427">
        <f>G426</f>
        <v>1500</v>
      </c>
      <c r="H427">
        <f>AA76</f>
        <v>5.1665818409084743</v>
      </c>
      <c r="I427">
        <f t="shared" si="50"/>
        <v>7749.8727613627116</v>
      </c>
      <c r="J427" s="5"/>
      <c r="K427">
        <f>AD76</f>
        <v>104.25763350542371</v>
      </c>
      <c r="L427">
        <f t="shared" si="51"/>
        <v>156386.45025813556</v>
      </c>
      <c r="M427" s="5"/>
      <c r="P427">
        <f>AI76</f>
        <v>9.845247839999996E-2</v>
      </c>
      <c r="Q427">
        <f t="shared" si="46"/>
        <v>147.67871759999994</v>
      </c>
      <c r="R427" s="5"/>
      <c r="S427">
        <f>AL76</f>
        <v>5.0655388079999981E-2</v>
      </c>
      <c r="T427">
        <f t="shared" si="52"/>
        <v>75.983082119999978</v>
      </c>
      <c r="U427" s="5"/>
      <c r="AN427" s="5"/>
      <c r="AO427" s="5"/>
      <c r="AV427" s="5"/>
      <c r="AX427" s="5"/>
      <c r="BB427" s="6"/>
      <c r="BC427" s="5"/>
    </row>
    <row r="428" spans="1:55" x14ac:dyDescent="0.3">
      <c r="E428" t="s">
        <v>276</v>
      </c>
      <c r="F428" s="1"/>
      <c r="G428">
        <f>G426</f>
        <v>1500</v>
      </c>
      <c r="H428">
        <f>AA75</f>
        <v>1.396493244</v>
      </c>
      <c r="I428">
        <f t="shared" si="50"/>
        <v>2094.7398659999999</v>
      </c>
      <c r="J428" s="5"/>
      <c r="K428">
        <f>AD75</f>
        <v>31.584411360000001</v>
      </c>
      <c r="L428">
        <f t="shared" si="51"/>
        <v>47376.617040000005</v>
      </c>
      <c r="M428" s="5"/>
      <c r="P428">
        <f>AI75</f>
        <v>0.17302907820000002</v>
      </c>
      <c r="Q428">
        <f t="shared" si="46"/>
        <v>259.54361730000005</v>
      </c>
      <c r="R428" s="5"/>
      <c r="S428">
        <f>AL75</f>
        <v>0.11096542650000001</v>
      </c>
      <c r="T428">
        <f t="shared" si="52"/>
        <v>166.44813975</v>
      </c>
      <c r="U428" s="5"/>
      <c r="AN428" s="5"/>
      <c r="AO428" s="5"/>
      <c r="AV428" s="5"/>
      <c r="AX428" s="5"/>
      <c r="BB428" s="6"/>
      <c r="BC428" s="5"/>
    </row>
    <row r="429" spans="1:55" x14ac:dyDescent="0.3">
      <c r="D429" s="38" t="s">
        <v>1485</v>
      </c>
      <c r="F429" s="1"/>
      <c r="I429">
        <f t="shared" si="50"/>
        <v>0</v>
      </c>
      <c r="J429" s="5"/>
      <c r="L429">
        <f t="shared" si="51"/>
        <v>0</v>
      </c>
      <c r="M429" s="5"/>
      <c r="Q429">
        <f t="shared" si="46"/>
        <v>0</v>
      </c>
      <c r="R429" s="5"/>
      <c r="T429">
        <f t="shared" si="52"/>
        <v>0</v>
      </c>
      <c r="U429" s="5"/>
      <c r="AN429" s="5"/>
      <c r="AO429" s="5"/>
      <c r="AV429" s="5"/>
      <c r="AX429" s="5"/>
      <c r="BB429" s="6"/>
      <c r="BC429" s="5"/>
    </row>
    <row r="430" spans="1:55" x14ac:dyDescent="0.3">
      <c r="D430" s="38"/>
      <c r="E430" t="s">
        <v>1440</v>
      </c>
      <c r="F430" s="1"/>
      <c r="G430">
        <f>AN158</f>
        <v>250</v>
      </c>
      <c r="H430" s="14">
        <f>AA14</f>
        <v>4.37</v>
      </c>
      <c r="I430">
        <f t="shared" si="50"/>
        <v>1092.5</v>
      </c>
      <c r="J430" s="5"/>
      <c r="K430" s="14">
        <f>AD14</f>
        <v>63.8</v>
      </c>
      <c r="L430">
        <f t="shared" si="51"/>
        <v>15950</v>
      </c>
      <c r="M430" s="5"/>
      <c r="P430" s="14">
        <f>AI14</f>
        <v>3.368E-4</v>
      </c>
      <c r="Q430">
        <f t="shared" si="46"/>
        <v>8.4199999999999997E-2</v>
      </c>
      <c r="R430" s="5"/>
      <c r="S430" s="14">
        <f>AL14</f>
        <v>1.192E-2</v>
      </c>
      <c r="T430">
        <f t="shared" si="52"/>
        <v>2.98</v>
      </c>
      <c r="U430" s="5"/>
      <c r="AN430" s="5"/>
      <c r="AO430" s="5"/>
      <c r="AV430" s="5"/>
      <c r="AX430" s="5"/>
      <c r="BB430" s="6"/>
      <c r="BC430" s="5"/>
    </row>
    <row r="431" spans="1:55" x14ac:dyDescent="0.3">
      <c r="D431" s="38"/>
      <c r="E431" t="s">
        <v>1239</v>
      </c>
      <c r="F431" s="1"/>
      <c r="G431">
        <f>G430</f>
        <v>250</v>
      </c>
      <c r="H431">
        <f>AA33</f>
        <v>2.23</v>
      </c>
      <c r="I431">
        <f t="shared" si="50"/>
        <v>557.5</v>
      </c>
      <c r="J431" s="5"/>
      <c r="K431">
        <f>AD33</f>
        <v>37.6</v>
      </c>
      <c r="L431">
        <f t="shared" si="51"/>
        <v>9400</v>
      </c>
      <c r="M431" s="5"/>
      <c r="P431">
        <f>AI33</f>
        <v>0</v>
      </c>
      <c r="Q431">
        <f t="shared" si="46"/>
        <v>0</v>
      </c>
      <c r="R431" s="5"/>
      <c r="S431">
        <f>AL33</f>
        <v>0</v>
      </c>
      <c r="T431">
        <f t="shared" si="52"/>
        <v>0</v>
      </c>
      <c r="U431" s="5"/>
      <c r="AN431" s="5"/>
      <c r="AO431" s="5"/>
      <c r="AV431" s="5"/>
      <c r="AX431" s="5"/>
      <c r="BB431" s="6"/>
      <c r="BC431" s="5"/>
    </row>
    <row r="432" spans="1:55" x14ac:dyDescent="0.3">
      <c r="D432" s="38" t="s">
        <v>1522</v>
      </c>
      <c r="F432" s="1"/>
      <c r="I432">
        <f t="shared" si="50"/>
        <v>0</v>
      </c>
      <c r="J432" s="5"/>
      <c r="L432">
        <f t="shared" si="51"/>
        <v>0</v>
      </c>
      <c r="M432" s="5"/>
      <c r="Q432">
        <f t="shared" si="46"/>
        <v>0</v>
      </c>
      <c r="R432" s="5"/>
      <c r="T432">
        <f t="shared" si="52"/>
        <v>0</v>
      </c>
      <c r="U432" s="5"/>
      <c r="AN432" s="5"/>
      <c r="AO432" s="5"/>
      <c r="AV432" s="5"/>
      <c r="AX432" s="5"/>
      <c r="BB432" s="6"/>
      <c r="BC432" s="5"/>
    </row>
    <row r="433" spans="1:55" x14ac:dyDescent="0.3">
      <c r="D433" s="38"/>
      <c r="E433" t="s">
        <v>1440</v>
      </c>
      <c r="F433" s="1"/>
      <c r="G433">
        <f>AN160</f>
        <v>2000</v>
      </c>
      <c r="H433" s="14">
        <f>AA14</f>
        <v>4.37</v>
      </c>
      <c r="I433">
        <f t="shared" si="50"/>
        <v>8740</v>
      </c>
      <c r="J433" s="5"/>
      <c r="K433" s="14">
        <f>AD14</f>
        <v>63.8</v>
      </c>
      <c r="L433">
        <f t="shared" si="51"/>
        <v>127600</v>
      </c>
      <c r="M433" s="5"/>
      <c r="P433" s="14">
        <f>AI14</f>
        <v>3.368E-4</v>
      </c>
      <c r="Q433">
        <f t="shared" si="46"/>
        <v>0.67359999999999998</v>
      </c>
      <c r="R433" s="5"/>
      <c r="S433" s="14">
        <f>AL14</f>
        <v>1.192E-2</v>
      </c>
      <c r="T433">
        <f t="shared" si="52"/>
        <v>23.84</v>
      </c>
      <c r="U433" s="5"/>
      <c r="AN433" s="5"/>
      <c r="AO433" s="5"/>
      <c r="AV433" s="5"/>
      <c r="AX433" s="5"/>
      <c r="BB433" s="6"/>
      <c r="BC433" s="5"/>
    </row>
    <row r="434" spans="1:55" x14ac:dyDescent="0.3">
      <c r="D434" s="38"/>
      <c r="E434" t="s">
        <v>1239</v>
      </c>
      <c r="F434" s="1"/>
      <c r="G434">
        <f>G433</f>
        <v>2000</v>
      </c>
      <c r="H434" s="14">
        <f>AA33</f>
        <v>2.23</v>
      </c>
      <c r="I434">
        <f t="shared" si="50"/>
        <v>4460</v>
      </c>
      <c r="J434" s="5"/>
      <c r="K434" s="14">
        <f>AD33</f>
        <v>37.6</v>
      </c>
      <c r="L434">
        <f t="shared" si="51"/>
        <v>75200</v>
      </c>
      <c r="M434" s="5"/>
      <c r="P434" s="14">
        <f>AI33</f>
        <v>0</v>
      </c>
      <c r="Q434">
        <f t="shared" si="46"/>
        <v>0</v>
      </c>
      <c r="R434" s="5"/>
      <c r="S434" s="14">
        <f>AL33</f>
        <v>0</v>
      </c>
      <c r="T434">
        <f t="shared" si="52"/>
        <v>0</v>
      </c>
      <c r="U434" s="5"/>
      <c r="AN434" s="5"/>
      <c r="AO434" s="5"/>
      <c r="AV434" s="5"/>
      <c r="AX434" s="5"/>
      <c r="BB434" s="6"/>
      <c r="BC434" s="5"/>
    </row>
    <row r="435" spans="1:55" x14ac:dyDescent="0.3">
      <c r="D435" s="38" t="s">
        <v>1523</v>
      </c>
      <c r="F435" s="1"/>
      <c r="I435">
        <f t="shared" si="50"/>
        <v>0</v>
      </c>
      <c r="J435" s="5"/>
      <c r="L435">
        <f t="shared" si="51"/>
        <v>0</v>
      </c>
      <c r="M435" s="5"/>
      <c r="Q435">
        <f t="shared" si="46"/>
        <v>0</v>
      </c>
      <c r="R435" s="5"/>
      <c r="T435">
        <f t="shared" si="52"/>
        <v>0</v>
      </c>
      <c r="U435" s="5"/>
      <c r="AN435" s="5"/>
      <c r="AO435" s="5"/>
      <c r="AV435" s="5"/>
      <c r="AX435" s="5"/>
      <c r="BB435" s="6"/>
      <c r="BC435" s="5"/>
    </row>
    <row r="436" spans="1:55" x14ac:dyDescent="0.3">
      <c r="D436" s="38"/>
      <c r="E436" t="s">
        <v>1440</v>
      </c>
      <c r="F436" s="1"/>
      <c r="G436">
        <f>AN164</f>
        <v>1100</v>
      </c>
      <c r="H436" s="14">
        <f>AA14</f>
        <v>4.37</v>
      </c>
      <c r="I436">
        <f t="shared" si="50"/>
        <v>4807</v>
      </c>
      <c r="J436" s="5"/>
      <c r="K436" s="14">
        <f>AD14</f>
        <v>63.8</v>
      </c>
      <c r="L436">
        <f t="shared" si="51"/>
        <v>70180</v>
      </c>
      <c r="M436" s="5"/>
      <c r="P436" s="14">
        <f>AI14</f>
        <v>3.368E-4</v>
      </c>
      <c r="Q436">
        <f t="shared" si="46"/>
        <v>0.37047999999999998</v>
      </c>
      <c r="R436" s="5"/>
      <c r="S436" s="14">
        <f>AL14</f>
        <v>1.192E-2</v>
      </c>
      <c r="T436">
        <f t="shared" si="52"/>
        <v>13.112</v>
      </c>
      <c r="U436" s="5"/>
      <c r="AN436" s="5"/>
      <c r="AO436" s="5"/>
      <c r="AV436" s="5"/>
      <c r="AX436" s="5"/>
      <c r="BB436" s="6"/>
      <c r="BC436" s="5"/>
    </row>
    <row r="437" spans="1:55" x14ac:dyDescent="0.3">
      <c r="D437" s="38"/>
      <c r="E437" t="s">
        <v>1239</v>
      </c>
      <c r="F437" s="1"/>
      <c r="G437">
        <f>G436</f>
        <v>1100</v>
      </c>
      <c r="H437" s="14">
        <f>AA33</f>
        <v>2.23</v>
      </c>
      <c r="I437">
        <f t="shared" si="50"/>
        <v>2453</v>
      </c>
      <c r="J437" s="5"/>
      <c r="K437" s="14">
        <f>AD33</f>
        <v>37.6</v>
      </c>
      <c r="L437">
        <f t="shared" si="51"/>
        <v>41360</v>
      </c>
      <c r="M437" s="5"/>
      <c r="P437" s="14">
        <f>AI33</f>
        <v>0</v>
      </c>
      <c r="Q437">
        <f t="shared" si="46"/>
        <v>0</v>
      </c>
      <c r="R437" s="5"/>
      <c r="S437" s="14">
        <f>AL33</f>
        <v>0</v>
      </c>
      <c r="T437">
        <f t="shared" si="52"/>
        <v>0</v>
      </c>
      <c r="U437" s="5"/>
      <c r="AN437" s="5"/>
      <c r="AO437" s="5"/>
      <c r="AV437" s="5"/>
      <c r="AX437" s="5"/>
      <c r="BB437" s="6"/>
      <c r="BC437" s="5"/>
    </row>
    <row r="438" spans="1:55" x14ac:dyDescent="0.3">
      <c r="D438" s="38" t="s">
        <v>399</v>
      </c>
      <c r="F438" s="1"/>
      <c r="I438">
        <f t="shared" si="50"/>
        <v>0</v>
      </c>
      <c r="J438" s="5"/>
      <c r="L438">
        <f t="shared" si="51"/>
        <v>0</v>
      </c>
      <c r="M438" s="5"/>
      <c r="Q438">
        <f t="shared" si="46"/>
        <v>0</v>
      </c>
      <c r="R438" s="5"/>
      <c r="T438">
        <f t="shared" si="52"/>
        <v>0</v>
      </c>
      <c r="U438" s="5"/>
      <c r="AN438" s="5"/>
      <c r="AO438" s="5"/>
      <c r="AV438" s="5"/>
      <c r="AX438" s="5"/>
      <c r="BB438" s="6"/>
      <c r="BC438" s="5"/>
    </row>
    <row r="439" spans="1:55" ht="15.6" customHeight="1" x14ac:dyDescent="0.3">
      <c r="D439" s="23"/>
      <c r="E439" t="s">
        <v>110</v>
      </c>
      <c r="F439" s="1"/>
      <c r="G439">
        <f>AN162</f>
        <v>30000</v>
      </c>
      <c r="H439" s="14">
        <f>AA12</f>
        <v>2.1795</v>
      </c>
      <c r="I439">
        <f t="shared" si="50"/>
        <v>65385</v>
      </c>
      <c r="J439" s="5"/>
      <c r="K439" s="14">
        <f>AD12</f>
        <v>26.945</v>
      </c>
      <c r="L439">
        <f t="shared" si="51"/>
        <v>808350</v>
      </c>
      <c r="M439" s="5"/>
      <c r="P439" s="14">
        <f>AI12</f>
        <v>3.368E-4</v>
      </c>
      <c r="Q439">
        <f t="shared" si="46"/>
        <v>10.103999999999999</v>
      </c>
      <c r="R439" s="5"/>
      <c r="S439" s="14">
        <f>AL12</f>
        <v>1.192E-2</v>
      </c>
      <c r="T439">
        <f t="shared" si="52"/>
        <v>357.6</v>
      </c>
      <c r="U439" s="5"/>
      <c r="AN439" s="5"/>
      <c r="AO439" s="5"/>
      <c r="AV439" s="5"/>
      <c r="AX439" s="5"/>
      <c r="BB439" s="6"/>
      <c r="BC439" s="5"/>
    </row>
    <row r="440" spans="1:55" x14ac:dyDescent="0.3">
      <c r="E440" t="s">
        <v>7</v>
      </c>
      <c r="F440" s="1"/>
      <c r="G440">
        <f>G439</f>
        <v>30000</v>
      </c>
      <c r="H440" s="14">
        <f>AA24</f>
        <v>1.6</v>
      </c>
      <c r="I440">
        <f t="shared" si="50"/>
        <v>48000</v>
      </c>
      <c r="J440" s="5"/>
      <c r="K440" s="14">
        <f>AD24</f>
        <v>27.8</v>
      </c>
      <c r="L440">
        <f t="shared" si="51"/>
        <v>834000</v>
      </c>
      <c r="M440" s="5"/>
      <c r="P440" s="14">
        <f>AI24</f>
        <v>0</v>
      </c>
      <c r="Q440">
        <f t="shared" si="46"/>
        <v>0</v>
      </c>
      <c r="R440" s="5"/>
      <c r="S440" s="14">
        <f>AL24</f>
        <v>0</v>
      </c>
      <c r="T440">
        <f t="shared" si="52"/>
        <v>0</v>
      </c>
      <c r="U440" s="5"/>
      <c r="AN440" s="5"/>
      <c r="AO440" s="5"/>
      <c r="AV440" s="5"/>
      <c r="AX440" s="5"/>
      <c r="BB440" s="6"/>
      <c r="BC440" s="5"/>
    </row>
    <row r="441" spans="1:55" x14ac:dyDescent="0.3">
      <c r="F441" s="1"/>
      <c r="H441" s="14"/>
      <c r="I441">
        <f t="shared" si="50"/>
        <v>0</v>
      </c>
      <c r="J441" s="5"/>
      <c r="K441" s="14"/>
      <c r="L441">
        <f t="shared" si="51"/>
        <v>0</v>
      </c>
      <c r="M441" s="5"/>
      <c r="P441" s="14"/>
      <c r="Q441">
        <f t="shared" si="46"/>
        <v>0</v>
      </c>
      <c r="R441" s="5"/>
      <c r="S441" s="14"/>
      <c r="T441">
        <f t="shared" si="52"/>
        <v>0</v>
      </c>
      <c r="U441" s="5"/>
      <c r="AN441" s="5"/>
      <c r="AO441" s="5"/>
      <c r="AV441" s="5"/>
      <c r="AX441" s="5"/>
      <c r="BB441" s="6"/>
      <c r="BC441" s="5"/>
    </row>
    <row r="442" spans="1:55" x14ac:dyDescent="0.3">
      <c r="E442" s="250"/>
      <c r="F442" s="1"/>
      <c r="I442">
        <f t="shared" si="50"/>
        <v>0</v>
      </c>
      <c r="J442" s="5"/>
      <c r="L442">
        <f t="shared" si="51"/>
        <v>0</v>
      </c>
      <c r="M442" s="5"/>
      <c r="Q442">
        <f t="shared" si="46"/>
        <v>0</v>
      </c>
      <c r="R442" s="5"/>
      <c r="T442">
        <f t="shared" si="52"/>
        <v>0</v>
      </c>
      <c r="U442" s="5"/>
      <c r="AN442" s="5"/>
      <c r="AO442" s="5"/>
      <c r="AV442" s="5"/>
      <c r="AX442" s="5"/>
      <c r="BB442" s="6"/>
      <c r="BC442" s="5"/>
    </row>
    <row r="443" spans="1:55" x14ac:dyDescent="0.3">
      <c r="E443" t="s">
        <v>138</v>
      </c>
      <c r="F443" s="1"/>
      <c r="G443">
        <f>AN166</f>
        <v>34.85</v>
      </c>
      <c r="H443" s="14">
        <f>AA37</f>
        <v>5.6</v>
      </c>
      <c r="I443">
        <f t="shared" si="50"/>
        <v>195.16</v>
      </c>
      <c r="J443" s="5"/>
      <c r="K443" s="14">
        <f>AD37</f>
        <v>88</v>
      </c>
      <c r="L443">
        <f>K443*G443</f>
        <v>3066.8</v>
      </c>
      <c r="M443" s="5"/>
      <c r="P443" s="14">
        <f>AI37</f>
        <v>9.5000000000000001E-2</v>
      </c>
      <c r="Q443">
        <f t="shared" si="46"/>
        <v>3.3107500000000001</v>
      </c>
      <c r="R443" s="5"/>
      <c r="S443" s="14">
        <f>AL37</f>
        <v>0.249</v>
      </c>
      <c r="T443">
        <f t="shared" ref="T443" si="53">S443*G443</f>
        <v>8.6776499999999999</v>
      </c>
      <c r="U443" s="5"/>
      <c r="AN443" s="5"/>
      <c r="AO443" s="5"/>
      <c r="AV443" s="5"/>
      <c r="AX443" s="5"/>
      <c r="BB443" s="6"/>
      <c r="BC443" s="5"/>
    </row>
    <row r="444" spans="1:55" x14ac:dyDescent="0.3">
      <c r="F444" s="1"/>
      <c r="J444" s="5"/>
      <c r="M444" s="5"/>
      <c r="R444" s="5"/>
      <c r="U444" s="5"/>
      <c r="AN444" s="5"/>
      <c r="AO444" s="5"/>
      <c r="AV444" s="5"/>
      <c r="AX444" s="5"/>
      <c r="BB444" s="6"/>
      <c r="BC444" s="5"/>
    </row>
    <row r="445" spans="1:55" s="9" customFormat="1" x14ac:dyDescent="0.3">
      <c r="A445" s="137"/>
      <c r="D445" s="9" t="s">
        <v>212</v>
      </c>
      <c r="F445" s="67"/>
      <c r="G445" s="9">
        <f>AF244</f>
        <v>8000</v>
      </c>
      <c r="I445" s="9">
        <f t="shared" si="50"/>
        <v>0</v>
      </c>
      <c r="J445" s="11">
        <f>SUM(I446:I457)</f>
        <v>29959.234733096084</v>
      </c>
      <c r="M445" s="11">
        <f>SUM(L446:L457)</f>
        <v>417127.85765124555</v>
      </c>
      <c r="Q445" s="9">
        <f>P445*G445</f>
        <v>0</v>
      </c>
      <c r="R445" s="11">
        <f>SUM(Q446:Q457)</f>
        <v>318.50415563463821</v>
      </c>
      <c r="U445" s="11">
        <f>SUM(T446:T457)</f>
        <v>902.80452669039153</v>
      </c>
      <c r="X445" s="9">
        <f>G445</f>
        <v>8000</v>
      </c>
      <c r="Y445" s="9" t="str">
        <f>$X$83</f>
        <v>ship ferry</v>
      </c>
      <c r="Z445" s="9">
        <f>$F$19</f>
        <v>2000</v>
      </c>
      <c r="AA445" s="9">
        <f>$AA$83</f>
        <v>0.109</v>
      </c>
      <c r="AB445" s="9">
        <f>AA445*Z445*X445/1000</f>
        <v>1744</v>
      </c>
      <c r="AC445" s="9">
        <f>$AD$83</f>
        <v>1.5</v>
      </c>
      <c r="AD445" s="9">
        <f>AC445*Z445*X445/1000</f>
        <v>24000</v>
      </c>
      <c r="AF445" s="9" t="s">
        <v>61</v>
      </c>
      <c r="AG445" s="9">
        <f>$G$19</f>
        <v>500</v>
      </c>
      <c r="AH445" s="9">
        <f>$AA$81</f>
        <v>8.9976823999999997E-2</v>
      </c>
      <c r="AI445" s="9">
        <f>AH445*AG445*X445/1000</f>
        <v>359.90729599999997</v>
      </c>
      <c r="AJ445" s="9">
        <f>$AD$81</f>
        <v>1.52</v>
      </c>
      <c r="AK445" s="9">
        <f>AJ445*AG445*X445/1000</f>
        <v>6080</v>
      </c>
      <c r="AN445" s="11">
        <f>AI445+AB445</f>
        <v>2103.9072959999999</v>
      </c>
      <c r="AO445" s="11">
        <f>AD445+AK445</f>
        <v>30080</v>
      </c>
      <c r="AV445" s="11"/>
      <c r="AW445" s="9">
        <f>$AD$81</f>
        <v>1.52</v>
      </c>
      <c r="AX445" s="11">
        <f>(AW445*AT445*X445)/1000</f>
        <v>0</v>
      </c>
      <c r="BB445" s="74">
        <f>AV445+AN445+R445+J445</f>
        <v>32381.646184730722</v>
      </c>
      <c r="BC445" s="11">
        <f>AX445+AO445+U445+M445</f>
        <v>448110.66217793594</v>
      </c>
    </row>
    <row r="446" spans="1:55" x14ac:dyDescent="0.3">
      <c r="B446" s="137"/>
      <c r="F446" s="1"/>
      <c r="H446" s="14"/>
      <c r="J446" s="5"/>
      <c r="M446" s="5"/>
      <c r="R446" s="5"/>
      <c r="U446" s="5"/>
      <c r="AN446" s="5"/>
      <c r="AO446" s="5"/>
      <c r="AV446" s="5"/>
      <c r="AX446" s="5"/>
      <c r="BB446" s="6"/>
      <c r="BC446" s="5"/>
    </row>
    <row r="447" spans="1:55" x14ac:dyDescent="0.3">
      <c r="E447" t="s">
        <v>12</v>
      </c>
      <c r="F447" s="1"/>
      <c r="G447">
        <f t="shared" ref="G447:G454" si="54">AF249</f>
        <v>4109.1340450771058</v>
      </c>
      <c r="H447" s="14">
        <f>AA10</f>
        <v>2.02</v>
      </c>
      <c r="I447">
        <f t="shared" ref="I447:I456" si="55">G447*H447</f>
        <v>8300.4507710557536</v>
      </c>
      <c r="J447" s="5"/>
      <c r="K447" s="14">
        <f>AD10</f>
        <v>25.2</v>
      </c>
      <c r="L447">
        <f t="shared" ref="L447:L456" si="56">K447*G447</f>
        <v>103550.17793594307</v>
      </c>
      <c r="M447" s="5"/>
      <c r="P447" s="14">
        <f>AI10</f>
        <v>3.368E-4</v>
      </c>
      <c r="Q447">
        <f t="shared" ref="Q447:Q456" si="57">P447*G447</f>
        <v>1.3839563463819693</v>
      </c>
      <c r="R447" s="5"/>
      <c r="S447" s="14">
        <f>AL10</f>
        <v>1.192E-2</v>
      </c>
      <c r="T447">
        <f t="shared" ref="T447:T455" si="58">S447*G447</f>
        <v>48.980877817319104</v>
      </c>
      <c r="U447" s="5"/>
      <c r="AN447" s="5"/>
      <c r="AO447" s="5"/>
      <c r="AV447" s="5"/>
      <c r="AX447" s="5"/>
      <c r="BB447" s="6"/>
      <c r="BC447" s="5"/>
    </row>
    <row r="448" spans="1:55" x14ac:dyDescent="0.3">
      <c r="E448" t="s">
        <v>420</v>
      </c>
      <c r="F448" s="1"/>
      <c r="G448">
        <f t="shared" si="54"/>
        <v>1271.6488730723606</v>
      </c>
      <c r="H448" s="14">
        <f>AA6</f>
        <v>1.7</v>
      </c>
      <c r="I448">
        <f t="shared" si="55"/>
        <v>2161.8030842230132</v>
      </c>
      <c r="J448" s="5"/>
      <c r="K448" s="14">
        <f>AD6</f>
        <v>22</v>
      </c>
      <c r="L448">
        <f t="shared" si="56"/>
        <v>27976.275207591934</v>
      </c>
      <c r="M448" s="5"/>
      <c r="P448" s="14">
        <f>AI6</f>
        <v>4.9599999999999998E-2</v>
      </c>
      <c r="Q448">
        <f t="shared" si="57"/>
        <v>63.073784104389084</v>
      </c>
      <c r="R448" s="5"/>
      <c r="S448" s="14">
        <f>AL6</f>
        <v>2.5520000000000001E-2</v>
      </c>
      <c r="T448">
        <f t="shared" si="58"/>
        <v>32.452479240806646</v>
      </c>
      <c r="U448" s="5"/>
      <c r="AN448" s="5"/>
      <c r="AO448" s="5"/>
      <c r="AV448" s="5"/>
      <c r="AX448" s="5"/>
      <c r="BB448" s="6"/>
      <c r="BC448" s="5"/>
    </row>
    <row r="449" spans="1:55" x14ac:dyDescent="0.3">
      <c r="E449" t="s">
        <v>113</v>
      </c>
      <c r="F449" s="1"/>
      <c r="G449">
        <f t="shared" si="54"/>
        <v>1451.9572953736654</v>
      </c>
      <c r="H449" s="14">
        <f>AA8</f>
        <v>4.63</v>
      </c>
      <c r="I449">
        <f t="shared" si="55"/>
        <v>6722.5622775800703</v>
      </c>
      <c r="J449" s="5"/>
      <c r="K449" s="14">
        <f>AD8</f>
        <v>69.3</v>
      </c>
      <c r="L449">
        <f t="shared" si="56"/>
        <v>100620.64056939501</v>
      </c>
      <c r="M449" s="5"/>
      <c r="P449" s="14">
        <f>AI8</f>
        <v>4.9599999999999998E-2</v>
      </c>
      <c r="Q449">
        <f t="shared" si="57"/>
        <v>72.017081850533799</v>
      </c>
      <c r="R449" s="5"/>
      <c r="S449" s="14">
        <f>AL8</f>
        <v>2.5520000000000001E-2</v>
      </c>
      <c r="T449">
        <f t="shared" si="58"/>
        <v>37.053950177935938</v>
      </c>
      <c r="U449" s="5"/>
      <c r="AN449" s="5"/>
      <c r="AO449" s="5"/>
      <c r="AV449" s="5"/>
      <c r="AX449" s="5"/>
      <c r="BB449" s="6"/>
      <c r="BC449" s="5"/>
    </row>
    <row r="450" spans="1:55" x14ac:dyDescent="0.3">
      <c r="E450" t="s">
        <v>141</v>
      </c>
      <c r="F450" s="1"/>
      <c r="G450">
        <f t="shared" si="54"/>
        <v>730.72360616844605</v>
      </c>
      <c r="H450" s="14">
        <f>AA9</f>
        <v>12.7</v>
      </c>
      <c r="I450">
        <f t="shared" si="55"/>
        <v>9280.1897983392646</v>
      </c>
      <c r="J450" s="5"/>
      <c r="K450" s="14">
        <f>AD9</f>
        <v>149</v>
      </c>
      <c r="L450">
        <f t="shared" si="56"/>
        <v>108877.81731909847</v>
      </c>
      <c r="M450" s="5"/>
      <c r="P450" s="14">
        <f>AI9</f>
        <v>1.1280000000000001E-3</v>
      </c>
      <c r="Q450">
        <f t="shared" si="57"/>
        <v>0.82425622775800722</v>
      </c>
      <c r="R450" s="5"/>
      <c r="S450" s="14">
        <f>AL9</f>
        <v>3.1760000000000004E-2</v>
      </c>
      <c r="T450">
        <f t="shared" si="58"/>
        <v>23.207781731909851</v>
      </c>
      <c r="U450" s="5"/>
      <c r="AN450" s="5"/>
      <c r="AO450" s="5"/>
      <c r="AV450" s="5"/>
      <c r="AX450" s="5"/>
      <c r="BB450" s="6"/>
      <c r="BC450" s="5"/>
    </row>
    <row r="451" spans="1:55" x14ac:dyDescent="0.3">
      <c r="E451" t="s">
        <v>851</v>
      </c>
      <c r="F451" s="1"/>
      <c r="G451">
        <f t="shared" si="54"/>
        <v>151.83867141162517</v>
      </c>
      <c r="H451" s="14">
        <f>AA52</f>
        <v>2.42</v>
      </c>
      <c r="I451">
        <f t="shared" si="55"/>
        <v>367.44958481613293</v>
      </c>
      <c r="J451" s="5"/>
      <c r="K451" s="14">
        <f>AD52</f>
        <v>59.4</v>
      </c>
      <c r="L451">
        <f t="shared" si="56"/>
        <v>9019.2170818505347</v>
      </c>
      <c r="M451" s="5"/>
      <c r="P451" s="14">
        <f>AI52</f>
        <v>1.1884000000000001</v>
      </c>
      <c r="Q451">
        <f t="shared" si="57"/>
        <v>180.44507710557536</v>
      </c>
      <c r="R451" s="5"/>
      <c r="S451" s="14">
        <f>AL52</f>
        <v>4.9995000000000003</v>
      </c>
      <c r="T451">
        <f t="shared" si="58"/>
        <v>759.11743772242005</v>
      </c>
      <c r="U451" s="5"/>
      <c r="AN451" s="5"/>
      <c r="AO451" s="5"/>
      <c r="AV451" s="5"/>
      <c r="AX451" s="5"/>
      <c r="BB451" s="6"/>
      <c r="BC451" s="5"/>
    </row>
    <row r="452" spans="1:55" x14ac:dyDescent="0.3">
      <c r="E452" t="s">
        <v>852</v>
      </c>
      <c r="F452" s="1"/>
      <c r="G452">
        <f t="shared" si="54"/>
        <v>284.69750889679716</v>
      </c>
      <c r="H452" s="14"/>
      <c r="I452">
        <f t="shared" si="55"/>
        <v>0</v>
      </c>
      <c r="J452" s="5"/>
      <c r="K452" s="14"/>
      <c r="L452">
        <f t="shared" si="56"/>
        <v>0</v>
      </c>
      <c r="M452" s="5"/>
      <c r="P452" s="14"/>
      <c r="Q452">
        <f t="shared" si="57"/>
        <v>0</v>
      </c>
      <c r="R452" s="5"/>
      <c r="S452" s="14"/>
      <c r="T452">
        <f t="shared" si="58"/>
        <v>0</v>
      </c>
      <c r="U452" s="5"/>
      <c r="AN452" s="5"/>
      <c r="AO452" s="5"/>
      <c r="AV452" s="5"/>
      <c r="AX452" s="5"/>
      <c r="BB452" s="6"/>
      <c r="BC452" s="5"/>
    </row>
    <row r="453" spans="1:55" x14ac:dyDescent="0.3">
      <c r="E453" t="s">
        <v>592</v>
      </c>
      <c r="F453" s="1"/>
      <c r="G453">
        <f t="shared" si="54"/>
        <v>24495.373665480431</v>
      </c>
      <c r="H453" s="14">
        <f>AA90</f>
        <v>8.9499999999999996E-2</v>
      </c>
      <c r="I453">
        <f t="shared" si="55"/>
        <v>2192.3359430604983</v>
      </c>
      <c r="J453" s="5"/>
      <c r="K453" s="14">
        <f>AD90</f>
        <v>2.23</v>
      </c>
      <c r="L453">
        <f t="shared" si="56"/>
        <v>54624.683274021358</v>
      </c>
      <c r="M453" s="5"/>
      <c r="P453" s="14"/>
      <c r="Q453">
        <f t="shared" si="57"/>
        <v>0</v>
      </c>
      <c r="R453" s="5"/>
      <c r="S453" s="14"/>
      <c r="T453">
        <f t="shared" si="58"/>
        <v>0</v>
      </c>
      <c r="U453" s="5"/>
      <c r="AN453" s="5"/>
      <c r="AO453" s="5"/>
      <c r="AV453" s="5"/>
      <c r="AX453" s="5"/>
      <c r="BB453" s="6"/>
      <c r="BC453" s="5"/>
    </row>
    <row r="454" spans="1:55" x14ac:dyDescent="0.3">
      <c r="E454" t="s">
        <v>106</v>
      </c>
      <c r="F454" s="1"/>
      <c r="G454">
        <f t="shared" si="54"/>
        <v>13358.007117437723</v>
      </c>
      <c r="H454" s="14">
        <f>AA89</f>
        <v>6.6600000000000006E-2</v>
      </c>
      <c r="I454">
        <f t="shared" si="55"/>
        <v>889.64327402135245</v>
      </c>
      <c r="J454" s="5"/>
      <c r="K454" s="14">
        <f>AD89</f>
        <v>0.88</v>
      </c>
      <c r="L454">
        <f t="shared" si="56"/>
        <v>11755.046263345195</v>
      </c>
      <c r="M454" s="5"/>
      <c r="P454" s="14"/>
      <c r="Q454">
        <f t="shared" si="57"/>
        <v>0</v>
      </c>
      <c r="R454" s="5"/>
      <c r="S454" s="14"/>
      <c r="T454">
        <f t="shared" si="58"/>
        <v>0</v>
      </c>
      <c r="U454" s="5"/>
      <c r="AN454" s="5"/>
      <c r="AO454" s="5"/>
      <c r="AV454" s="5"/>
      <c r="AX454" s="5"/>
      <c r="BB454" s="6"/>
      <c r="BC454" s="5"/>
    </row>
    <row r="455" spans="1:55" x14ac:dyDescent="0.3">
      <c r="F455" s="1"/>
      <c r="I455">
        <f t="shared" si="55"/>
        <v>0</v>
      </c>
      <c r="J455" s="5"/>
      <c r="L455">
        <f t="shared" si="56"/>
        <v>0</v>
      </c>
      <c r="M455" s="5"/>
      <c r="Q455">
        <f t="shared" si="57"/>
        <v>0</v>
      </c>
      <c r="R455" s="5"/>
      <c r="T455">
        <f t="shared" si="58"/>
        <v>0</v>
      </c>
      <c r="U455" s="5"/>
      <c r="AN455" s="5"/>
      <c r="AO455" s="5"/>
      <c r="AV455" s="5"/>
      <c r="AX455" s="5"/>
      <c r="BB455" s="6"/>
      <c r="BC455" s="5"/>
    </row>
    <row r="456" spans="1:55" x14ac:dyDescent="0.3">
      <c r="E456" t="s">
        <v>138</v>
      </c>
      <c r="F456" s="1"/>
      <c r="G456">
        <f>0.1%*G445</f>
        <v>8</v>
      </c>
      <c r="H456" s="14">
        <f>AA37</f>
        <v>5.6</v>
      </c>
      <c r="I456">
        <f t="shared" si="55"/>
        <v>44.8</v>
      </c>
      <c r="J456" s="5"/>
      <c r="K456" s="14">
        <f>AD37</f>
        <v>88</v>
      </c>
      <c r="L456">
        <f t="shared" si="56"/>
        <v>704</v>
      </c>
      <c r="M456" s="5"/>
      <c r="P456" s="14">
        <f>AI37</f>
        <v>9.5000000000000001E-2</v>
      </c>
      <c r="Q456">
        <f t="shared" si="57"/>
        <v>0.76</v>
      </c>
      <c r="R456" s="5"/>
      <c r="S456" s="14">
        <f>AL37</f>
        <v>0.249</v>
      </c>
      <c r="T456">
        <f>S456*G456</f>
        <v>1.992</v>
      </c>
      <c r="U456" s="5"/>
      <c r="AN456" s="5"/>
      <c r="AO456" s="5"/>
      <c r="AV456" s="5"/>
      <c r="AX456" s="5"/>
      <c r="BB456" s="6"/>
      <c r="BC456" s="5"/>
    </row>
    <row r="457" spans="1:55" x14ac:dyDescent="0.3">
      <c r="F457" s="1"/>
      <c r="J457" s="5"/>
      <c r="M457" s="5"/>
      <c r="R457" s="5"/>
      <c r="U457" s="5"/>
      <c r="AN457" s="5"/>
      <c r="AO457" s="5"/>
      <c r="AV457" s="5"/>
      <c r="AX457" s="5"/>
      <c r="BB457" s="6"/>
      <c r="BC457" s="5"/>
    </row>
    <row r="458" spans="1:55" s="9" customFormat="1" x14ac:dyDescent="0.3">
      <c r="A458"/>
      <c r="D458" s="9" t="s">
        <v>1060</v>
      </c>
      <c r="F458" s="67"/>
      <c r="G458" s="9">
        <v>0</v>
      </c>
      <c r="J458" s="11">
        <f>SUM(I459:I461)</f>
        <v>0</v>
      </c>
      <c r="M458" s="11">
        <f>SUM(L459:L461)</f>
        <v>0</v>
      </c>
      <c r="R458" s="11">
        <f>SUM(Q459:Q461)</f>
        <v>0</v>
      </c>
      <c r="U458" s="11">
        <f>SUM(T459:T461)</f>
        <v>0</v>
      </c>
      <c r="X458" s="9">
        <f>G458</f>
        <v>0</v>
      </c>
      <c r="Y458" s="9" t="str">
        <f>$X$83</f>
        <v>ship ferry</v>
      </c>
      <c r="Z458" s="9">
        <f>$F$19</f>
        <v>2000</v>
      </c>
      <c r="AA458" s="9">
        <f>$AA$83</f>
        <v>0.109</v>
      </c>
      <c r="AB458" s="9">
        <f>AA458*Z458*X458/1000</f>
        <v>0</v>
      </c>
      <c r="AC458" s="9">
        <f>$AD$83</f>
        <v>1.5</v>
      </c>
      <c r="AD458" s="9">
        <f>AC458*Z458*X458/1000</f>
        <v>0</v>
      </c>
      <c r="AF458" s="9" t="s">
        <v>61</v>
      </c>
      <c r="AG458" s="9">
        <f>$G$19</f>
        <v>500</v>
      </c>
      <c r="AH458" s="9">
        <f>$AA$81</f>
        <v>8.9976823999999997E-2</v>
      </c>
      <c r="AI458" s="9">
        <f>AH458*AG458*X458/1000</f>
        <v>0</v>
      </c>
      <c r="AJ458" s="9">
        <f>$AD$81</f>
        <v>1.52</v>
      </c>
      <c r="AK458" s="9">
        <f>AJ458*AG458*X458/1000</f>
        <v>0</v>
      </c>
      <c r="AN458" s="11">
        <f>AI458+AB458</f>
        <v>0</v>
      </c>
      <c r="AO458" s="11">
        <f>AD458+AK458</f>
        <v>0</v>
      </c>
      <c r="AS458" s="9" t="s">
        <v>161</v>
      </c>
      <c r="AT458" s="9">
        <f>$G$21</f>
        <v>200</v>
      </c>
      <c r="AU458" s="9">
        <f>$AA$81</f>
        <v>8.9976823999999997E-2</v>
      </c>
      <c r="AV458" s="11">
        <f>(AU458*AT458*X458)/1000</f>
        <v>0</v>
      </c>
      <c r="AW458" s="9">
        <f>$AD$81</f>
        <v>1.52</v>
      </c>
      <c r="AX458" s="11">
        <f>(AW458*AT458*X458)/1000</f>
        <v>0</v>
      </c>
      <c r="BB458" s="74">
        <f>AV458+AN458+R458+J458</f>
        <v>0</v>
      </c>
      <c r="BC458" s="11">
        <f>AX458+AO458+U458+M458</f>
        <v>0</v>
      </c>
    </row>
    <row r="459" spans="1:55" x14ac:dyDescent="0.3">
      <c r="E459" s="367" t="s">
        <v>1060</v>
      </c>
      <c r="F459" s="1"/>
      <c r="I459">
        <f t="shared" ref="I459:I460" si="59">G459*H459</f>
        <v>0</v>
      </c>
      <c r="J459" s="5"/>
      <c r="L459">
        <f>K459*G459</f>
        <v>0</v>
      </c>
      <c r="M459" s="5"/>
      <c r="Q459">
        <f t="shared" ref="Q459:Q460" si="60">P459*G459</f>
        <v>0</v>
      </c>
      <c r="R459" s="5"/>
      <c r="T459">
        <f t="shared" ref="T459:T460" si="61">S459*G459</f>
        <v>0</v>
      </c>
      <c r="U459" s="5"/>
      <c r="AN459" s="5"/>
      <c r="AO459" s="5"/>
      <c r="AV459" s="5"/>
      <c r="AX459" s="5"/>
      <c r="BB459" s="6"/>
      <c r="BC459" s="5"/>
    </row>
    <row r="460" spans="1:55" x14ac:dyDescent="0.3">
      <c r="B460" s="354" t="s">
        <v>2095</v>
      </c>
      <c r="C460" s="354"/>
      <c r="D460" s="354"/>
      <c r="F460" s="1"/>
      <c r="I460">
        <f t="shared" si="59"/>
        <v>0</v>
      </c>
      <c r="J460" s="5"/>
      <c r="M460" s="5"/>
      <c r="Q460">
        <f t="shared" si="60"/>
        <v>0</v>
      </c>
      <c r="R460" s="5"/>
      <c r="T460">
        <f t="shared" si="61"/>
        <v>0</v>
      </c>
      <c r="U460" s="5"/>
      <c r="AN460" s="5"/>
      <c r="AO460" s="5"/>
      <c r="AV460" s="5"/>
      <c r="AX460" s="5"/>
      <c r="BB460" s="6"/>
      <c r="BC460" s="5"/>
    </row>
    <row r="461" spans="1:55" x14ac:dyDescent="0.3">
      <c r="B461" t="s">
        <v>2096</v>
      </c>
      <c r="F461" s="1"/>
      <c r="J461" s="5"/>
      <c r="M461" s="5"/>
      <c r="R461" s="5"/>
      <c r="U461" s="5"/>
      <c r="AN461" s="5"/>
      <c r="AO461" s="5"/>
      <c r="AV461" s="5"/>
      <c r="AX461" s="5"/>
      <c r="BB461" s="6"/>
      <c r="BC461" s="5"/>
    </row>
    <row r="462" spans="1:55" s="9" customFormat="1" x14ac:dyDescent="0.3">
      <c r="A462"/>
      <c r="D462" s="9" t="s">
        <v>1187</v>
      </c>
      <c r="F462" s="67"/>
      <c r="G462" s="9">
        <f>G463</f>
        <v>500</v>
      </c>
      <c r="J462" s="11">
        <f>SUM(I463:I465)</f>
        <v>18300</v>
      </c>
      <c r="M462" s="11">
        <f>SUM(L463:L465)</f>
        <v>285000</v>
      </c>
      <c r="R462" s="11">
        <f>SUM(Q463:Q465)</f>
        <v>155</v>
      </c>
      <c r="U462" s="11">
        <f>SUM(T463:T465)</f>
        <v>79.75</v>
      </c>
      <c r="X462" s="9">
        <f>G462</f>
        <v>500</v>
      </c>
      <c r="Y462" s="9" t="str">
        <f>$X$83</f>
        <v>ship ferry</v>
      </c>
      <c r="Z462" s="9">
        <f>$F$19</f>
        <v>2000</v>
      </c>
      <c r="AA462" s="9">
        <f>$AA$83</f>
        <v>0.109</v>
      </c>
      <c r="AB462" s="9">
        <f>AA462*Z462*X462/1000</f>
        <v>109</v>
      </c>
      <c r="AC462" s="9">
        <f>$AD$83</f>
        <v>1.5</v>
      </c>
      <c r="AD462" s="9">
        <f>AC462*Z462*X462/1000</f>
        <v>1500</v>
      </c>
      <c r="AF462" s="9" t="s">
        <v>61</v>
      </c>
      <c r="AG462" s="9">
        <f>$G$19</f>
        <v>500</v>
      </c>
      <c r="AH462" s="9">
        <f>$AA$81</f>
        <v>8.9976823999999997E-2</v>
      </c>
      <c r="AI462" s="9">
        <f>AH462*AG462*X462/1000</f>
        <v>22.494205999999998</v>
      </c>
      <c r="AJ462" s="9">
        <f>$AD$81</f>
        <v>1.52</v>
      </c>
      <c r="AK462" s="9">
        <f>AJ462*AG462*X462/1000</f>
        <v>380</v>
      </c>
      <c r="AN462" s="11">
        <f>AI462+AB462</f>
        <v>131.49420599999999</v>
      </c>
      <c r="AO462" s="11">
        <f>AD462+AK462</f>
        <v>1880</v>
      </c>
      <c r="AS462" s="9" t="s">
        <v>161</v>
      </c>
      <c r="AT462" s="9">
        <f>$G$21</f>
        <v>200</v>
      </c>
      <c r="AU462" s="9">
        <f>$AA$81</f>
        <v>8.9976823999999997E-2</v>
      </c>
      <c r="AV462" s="11">
        <f>(AU462*AT462*X462)/1000</f>
        <v>8.9976824000000004</v>
      </c>
      <c r="AW462" s="9">
        <f>$AD$81</f>
        <v>1.52</v>
      </c>
      <c r="AX462" s="11">
        <f>(AW462*AT462*X462)/1000</f>
        <v>152</v>
      </c>
      <c r="BB462" s="74">
        <f>AV462+AN462+R462+J462</f>
        <v>18595.4918884</v>
      </c>
      <c r="BC462" s="11">
        <f>AX462+AO462+U462+M462</f>
        <v>287111.75</v>
      </c>
    </row>
    <row r="463" spans="1:55" x14ac:dyDescent="0.3">
      <c r="E463" t="s">
        <v>1235</v>
      </c>
      <c r="F463" s="1"/>
      <c r="G463">
        <v>500</v>
      </c>
      <c r="H463" s="14">
        <f>AA45</f>
        <v>36.6</v>
      </c>
      <c r="I463">
        <f t="shared" ref="I463:I464" si="62">G463*H463</f>
        <v>18300</v>
      </c>
      <c r="J463" s="5"/>
      <c r="K463" s="14">
        <f>AD45</f>
        <v>570</v>
      </c>
      <c r="L463">
        <f>K463*G463</f>
        <v>285000</v>
      </c>
      <c r="M463" s="5"/>
      <c r="P463" s="14">
        <f>AI45</f>
        <v>0.31</v>
      </c>
      <c r="Q463">
        <f t="shared" ref="Q463:Q464" si="63">P463*G463</f>
        <v>155</v>
      </c>
      <c r="R463" s="5"/>
      <c r="S463" s="14">
        <f>AL45</f>
        <v>0.1595</v>
      </c>
      <c r="T463">
        <f t="shared" ref="T463:T464" si="64">S463*G463</f>
        <v>79.75</v>
      </c>
      <c r="U463" s="5"/>
      <c r="AN463" s="5"/>
      <c r="AO463" s="5"/>
      <c r="AV463" s="5"/>
      <c r="AX463" s="5"/>
      <c r="BB463" s="6"/>
      <c r="BC463" s="5"/>
    </row>
    <row r="464" spans="1:55" x14ac:dyDescent="0.3">
      <c r="F464" s="1"/>
      <c r="I464">
        <f t="shared" si="62"/>
        <v>0</v>
      </c>
      <c r="J464" s="5"/>
      <c r="M464" s="5"/>
      <c r="Q464">
        <f t="shared" si="63"/>
        <v>0</v>
      </c>
      <c r="R464" s="5"/>
      <c r="T464">
        <f t="shared" si="64"/>
        <v>0</v>
      </c>
      <c r="U464" s="5"/>
      <c r="AN464" s="5"/>
      <c r="AO464" s="5"/>
      <c r="AV464" s="5"/>
      <c r="AX464" s="5"/>
      <c r="BB464" s="6"/>
      <c r="BC464" s="5"/>
    </row>
    <row r="465" spans="1:55" x14ac:dyDescent="0.3">
      <c r="F465" s="1"/>
      <c r="J465" s="5"/>
      <c r="M465" s="5"/>
      <c r="R465" s="5"/>
      <c r="U465" s="5"/>
      <c r="AN465" s="5"/>
      <c r="AO465" s="5"/>
      <c r="AV465" s="5"/>
      <c r="AX465" s="5"/>
      <c r="BB465" s="6"/>
      <c r="BC465" s="5"/>
    </row>
    <row r="466" spans="1:55" s="9" customFormat="1" x14ac:dyDescent="0.3">
      <c r="A466"/>
      <c r="D466" s="9" t="s">
        <v>1595</v>
      </c>
      <c r="F466" s="67"/>
      <c r="G466" s="9">
        <f>U259+U248</f>
        <v>96789.333333333343</v>
      </c>
      <c r="J466" s="11">
        <f>SUM(I467:I482)</f>
        <v>609112.09960000007</v>
      </c>
      <c r="M466" s="11">
        <f>SUM(L467:L482)</f>
        <v>9322752.0546666663</v>
      </c>
      <c r="R466" s="11">
        <f>SUM(Q467:Q482)</f>
        <v>41.793634133333342</v>
      </c>
      <c r="U466" s="11">
        <f>SUM(T467:T482)</f>
        <v>1177.8293973333332</v>
      </c>
      <c r="X466" s="9">
        <f>G466</f>
        <v>96789.333333333343</v>
      </c>
      <c r="Y466" s="9" t="str">
        <f>$X$83</f>
        <v>ship ferry</v>
      </c>
      <c r="Z466" s="9">
        <f>$F$19</f>
        <v>2000</v>
      </c>
      <c r="AA466" s="9">
        <f>$AA$83</f>
        <v>0.109</v>
      </c>
      <c r="AB466" s="9">
        <f>AA466*Z466*X466/1000</f>
        <v>21100.074666666667</v>
      </c>
      <c r="AC466" s="9">
        <f>$AD$83</f>
        <v>1.5</v>
      </c>
      <c r="AD466" s="9">
        <f>AC466*Z466*X466/1000</f>
        <v>290368</v>
      </c>
      <c r="AF466" s="9" t="s">
        <v>61</v>
      </c>
      <c r="AG466" s="9">
        <f>$G$19</f>
        <v>500</v>
      </c>
      <c r="AH466" s="9">
        <f>$AA$81</f>
        <v>8.9976823999999997E-2</v>
      </c>
      <c r="AI466" s="9">
        <f>AH466*AG466*X466/1000</f>
        <v>4354.3984052053338</v>
      </c>
      <c r="AJ466" s="9">
        <f>$AD$81</f>
        <v>1.52</v>
      </c>
      <c r="AK466" s="9">
        <f>AJ466*AG466*X466/1000</f>
        <v>73559.893333333341</v>
      </c>
      <c r="AN466" s="11">
        <f>AI466+AB466</f>
        <v>25454.473071872002</v>
      </c>
      <c r="AO466" s="11">
        <f>AD466+AK466</f>
        <v>363927.89333333331</v>
      </c>
      <c r="AS466" s="9" t="s">
        <v>161</v>
      </c>
      <c r="AT466" s="9">
        <f>$G$21</f>
        <v>200</v>
      </c>
      <c r="AU466" s="9">
        <f>$AA$81</f>
        <v>8.9976823999999997E-2</v>
      </c>
      <c r="AV466" s="11">
        <f>(AU466*AT466*X466)/1000</f>
        <v>1741.7593620821335</v>
      </c>
      <c r="AW466" s="9">
        <f>$AD$81</f>
        <v>1.52</v>
      </c>
      <c r="AX466" s="11">
        <f>(AW466*AT466*X466)/1000</f>
        <v>29423.957333333336</v>
      </c>
      <c r="BB466" s="74">
        <f>AV466+AN466+R466+J466</f>
        <v>636350.12566808751</v>
      </c>
      <c r="BC466" s="11">
        <f>AX466+AO466+U466+M466</f>
        <v>9717281.7347306665</v>
      </c>
    </row>
    <row r="467" spans="1:55" x14ac:dyDescent="0.3">
      <c r="E467" t="s">
        <v>1236</v>
      </c>
      <c r="F467" s="1"/>
      <c r="J467" s="5"/>
      <c r="M467" s="5"/>
      <c r="R467" s="5"/>
      <c r="U467" s="5"/>
      <c r="AN467" s="5"/>
      <c r="AO467" s="5"/>
      <c r="AV467" s="5"/>
      <c r="AX467" s="5"/>
      <c r="BB467" s="6"/>
      <c r="BC467" s="5"/>
    </row>
    <row r="468" spans="1:55" x14ac:dyDescent="0.3">
      <c r="F468" s="1" t="s">
        <v>24</v>
      </c>
      <c r="G468">
        <f>U265</f>
        <v>37772</v>
      </c>
      <c r="H468" s="14">
        <f>AA7</f>
        <v>4.37</v>
      </c>
      <c r="I468">
        <f t="shared" ref="I468:I508" si="65">G468*H468</f>
        <v>165063.64000000001</v>
      </c>
      <c r="J468" s="5"/>
      <c r="K468" s="14">
        <f>AD7</f>
        <v>63.8</v>
      </c>
      <c r="L468">
        <f>K468*G468</f>
        <v>2409853.6</v>
      </c>
      <c r="M468" s="5"/>
      <c r="P468" s="14">
        <f>AI7</f>
        <v>3.368E-4</v>
      </c>
      <c r="Q468">
        <f t="shared" ref="Q468:Q503" si="66">P468*G468</f>
        <v>12.721609600000001</v>
      </c>
      <c r="R468" s="5"/>
      <c r="S468" s="14">
        <f>AL7</f>
        <v>1.192E-2</v>
      </c>
      <c r="T468">
        <f t="shared" ref="T468:T503" si="67">S468*G468</f>
        <v>450.24223999999998</v>
      </c>
      <c r="U468" s="5"/>
      <c r="AN468" s="5"/>
      <c r="AO468" s="5"/>
      <c r="AV468" s="5"/>
      <c r="AX468" s="5"/>
      <c r="BB468" s="6"/>
      <c r="BC468" s="5"/>
    </row>
    <row r="469" spans="1:55" x14ac:dyDescent="0.3">
      <c r="F469" s="1" t="s">
        <v>1239</v>
      </c>
      <c r="G469">
        <f>G468</f>
        <v>37772</v>
      </c>
      <c r="H469" s="14">
        <f>AA25</f>
        <v>2.23</v>
      </c>
      <c r="I469">
        <f t="shared" si="65"/>
        <v>84231.56</v>
      </c>
      <c r="J469" s="5"/>
      <c r="K469" s="14">
        <f>AD25</f>
        <v>37.6</v>
      </c>
      <c r="L469">
        <f>K469*G469</f>
        <v>1420227.2</v>
      </c>
      <c r="M469" s="5"/>
      <c r="P469" s="14">
        <f>AI25</f>
        <v>0</v>
      </c>
      <c r="Q469">
        <f t="shared" si="66"/>
        <v>0</v>
      </c>
      <c r="R469" s="5"/>
      <c r="S469" s="14">
        <f>AL25</f>
        <v>0</v>
      </c>
      <c r="T469">
        <f t="shared" si="67"/>
        <v>0</v>
      </c>
      <c r="U469" s="5"/>
      <c r="AN469" s="5"/>
      <c r="AO469" s="5"/>
      <c r="AV469" s="5"/>
      <c r="AX469" s="5"/>
      <c r="BB469" s="6"/>
      <c r="BC469" s="5"/>
    </row>
    <row r="470" spans="1:55" x14ac:dyDescent="0.3">
      <c r="E470" t="s">
        <v>1466</v>
      </c>
      <c r="F470" s="1"/>
      <c r="H470" s="14"/>
      <c r="J470" s="5"/>
      <c r="K470" s="14"/>
      <c r="M470" s="5"/>
      <c r="P470" s="14"/>
      <c r="Q470">
        <f t="shared" si="66"/>
        <v>0</v>
      </c>
      <c r="R470" s="5"/>
      <c r="S470" s="14"/>
      <c r="T470">
        <f t="shared" si="67"/>
        <v>0</v>
      </c>
      <c r="U470" s="5"/>
      <c r="AN470" s="5"/>
      <c r="AO470" s="5"/>
      <c r="AV470" s="5"/>
      <c r="AX470" s="5"/>
      <c r="BB470" s="6"/>
      <c r="BC470" s="5"/>
    </row>
    <row r="471" spans="1:55" x14ac:dyDescent="0.3">
      <c r="F471" s="1" t="s">
        <v>110</v>
      </c>
      <c r="G471">
        <f>U267</f>
        <v>6721.3333333333339</v>
      </c>
      <c r="H471" s="14">
        <f>AA12</f>
        <v>2.1795</v>
      </c>
      <c r="I471">
        <f t="shared" si="65"/>
        <v>14649.146000000001</v>
      </c>
      <c r="J471" s="5"/>
      <c r="K471" s="14">
        <f>AD12</f>
        <v>26.945</v>
      </c>
      <c r="L471">
        <f>K471*G471</f>
        <v>181106.32666666669</v>
      </c>
      <c r="M471" s="5"/>
      <c r="P471" s="14">
        <f>AI12</f>
        <v>3.368E-4</v>
      </c>
      <c r="Q471">
        <f t="shared" si="66"/>
        <v>2.263745066666667</v>
      </c>
      <c r="R471" s="5"/>
      <c r="S471" s="14">
        <f>AL12</f>
        <v>1.192E-2</v>
      </c>
      <c r="T471">
        <f t="shared" si="67"/>
        <v>80.118293333333341</v>
      </c>
      <c r="U471" s="5"/>
      <c r="AN471" s="5"/>
      <c r="AO471" s="5"/>
      <c r="AV471" s="5"/>
      <c r="AX471" s="5"/>
      <c r="BB471" s="6"/>
      <c r="BC471" s="5"/>
    </row>
    <row r="472" spans="1:55" x14ac:dyDescent="0.3">
      <c r="F472" s="1" t="s">
        <v>1239</v>
      </c>
      <c r="G472">
        <f>G471</f>
        <v>6721.3333333333339</v>
      </c>
      <c r="H472" s="14">
        <f>AA24</f>
        <v>1.6</v>
      </c>
      <c r="I472">
        <f t="shared" si="65"/>
        <v>10754.133333333335</v>
      </c>
      <c r="J472" s="5"/>
      <c r="K472" s="14">
        <f>AD24</f>
        <v>27.8</v>
      </c>
      <c r="L472">
        <f>K472*G472</f>
        <v>186853.06666666668</v>
      </c>
      <c r="M472" s="5"/>
      <c r="P472" s="14">
        <f>AI24</f>
        <v>0</v>
      </c>
      <c r="Q472">
        <f t="shared" si="66"/>
        <v>0</v>
      </c>
      <c r="R472" s="5"/>
      <c r="S472" s="14">
        <f>AL24</f>
        <v>0</v>
      </c>
      <c r="T472">
        <f t="shared" si="67"/>
        <v>0</v>
      </c>
      <c r="U472" s="5"/>
      <c r="AN472" s="5"/>
      <c r="AO472" s="5"/>
      <c r="AV472" s="5"/>
      <c r="AX472" s="5"/>
      <c r="BB472" s="6"/>
      <c r="BC472" s="5"/>
    </row>
    <row r="473" spans="1:55" x14ac:dyDescent="0.3">
      <c r="E473" t="s">
        <v>1237</v>
      </c>
      <c r="F473" s="1"/>
      <c r="H473" s="14"/>
      <c r="J473" s="5"/>
      <c r="K473" s="14"/>
      <c r="M473" s="5"/>
      <c r="P473" s="14"/>
      <c r="Q473">
        <f t="shared" si="66"/>
        <v>0</v>
      </c>
      <c r="R473" s="5"/>
      <c r="S473" s="14"/>
      <c r="T473">
        <f t="shared" si="67"/>
        <v>0</v>
      </c>
      <c r="U473" s="5"/>
      <c r="AN473" s="5"/>
      <c r="AO473" s="5"/>
      <c r="AV473" s="5"/>
      <c r="AX473" s="5"/>
      <c r="BB473" s="6"/>
      <c r="BC473" s="5"/>
    </row>
    <row r="474" spans="1:55" x14ac:dyDescent="0.3">
      <c r="F474" s="1" t="s">
        <v>24</v>
      </c>
      <c r="G474">
        <f>U251</f>
        <v>48296</v>
      </c>
      <c r="H474" s="14">
        <f>AA7</f>
        <v>4.37</v>
      </c>
      <c r="I474">
        <f t="shared" si="65"/>
        <v>211053.52000000002</v>
      </c>
      <c r="J474" s="5"/>
      <c r="K474" s="14">
        <f>AD7</f>
        <v>63.8</v>
      </c>
      <c r="L474">
        <f>K474*G474</f>
        <v>3081284.8</v>
      </c>
      <c r="M474" s="5"/>
      <c r="P474" s="14">
        <f>AI7</f>
        <v>3.368E-4</v>
      </c>
      <c r="Q474">
        <f t="shared" si="66"/>
        <v>16.266092799999999</v>
      </c>
      <c r="R474" s="5"/>
      <c r="S474" s="14">
        <f>AL7</f>
        <v>1.192E-2</v>
      </c>
      <c r="T474">
        <f t="shared" si="67"/>
        <v>575.68831999999998</v>
      </c>
      <c r="U474" s="5"/>
      <c r="AN474" s="5"/>
      <c r="AO474" s="5"/>
      <c r="AV474" s="5"/>
      <c r="AX474" s="5"/>
      <c r="BB474" s="6"/>
      <c r="BC474" s="5"/>
    </row>
    <row r="475" spans="1:55" x14ac:dyDescent="0.3">
      <c r="F475" s="1" t="s">
        <v>1239</v>
      </c>
      <c r="G475">
        <f>G474</f>
        <v>48296</v>
      </c>
      <c r="H475" s="14">
        <f>AA25</f>
        <v>2.23</v>
      </c>
      <c r="I475">
        <f t="shared" si="65"/>
        <v>107700.08</v>
      </c>
      <c r="J475" s="5"/>
      <c r="K475" s="14">
        <f>AD25</f>
        <v>37.6</v>
      </c>
      <c r="L475">
        <f>K475*G475</f>
        <v>1815929.6</v>
      </c>
      <c r="M475" s="5"/>
      <c r="P475" s="14">
        <f>AI25</f>
        <v>0</v>
      </c>
      <c r="Q475">
        <f t="shared" si="66"/>
        <v>0</v>
      </c>
      <c r="R475" s="5"/>
      <c r="S475" s="14">
        <f>AL25</f>
        <v>0</v>
      </c>
      <c r="T475">
        <f t="shared" si="67"/>
        <v>0</v>
      </c>
      <c r="U475" s="5"/>
      <c r="AN475" s="5"/>
      <c r="AO475" s="5"/>
      <c r="AV475" s="5"/>
      <c r="AX475" s="5"/>
      <c r="BB475" s="6"/>
      <c r="BC475" s="5"/>
    </row>
    <row r="476" spans="1:55" x14ac:dyDescent="0.3">
      <c r="E476" t="s">
        <v>1465</v>
      </c>
      <c r="F476" s="1"/>
      <c r="H476" s="14"/>
      <c r="J476" s="5"/>
      <c r="K476" s="14"/>
      <c r="M476" s="5"/>
      <c r="P476" s="14"/>
      <c r="Q476">
        <f t="shared" si="66"/>
        <v>0</v>
      </c>
      <c r="R476" s="5"/>
      <c r="S476" s="14"/>
      <c r="T476">
        <f t="shared" si="67"/>
        <v>0</v>
      </c>
      <c r="U476" s="5"/>
      <c r="AN476" s="5"/>
      <c r="AO476" s="5"/>
      <c r="AV476" s="5"/>
      <c r="AX476" s="5"/>
      <c r="BB476" s="6"/>
      <c r="BC476" s="5"/>
    </row>
    <row r="477" spans="1:55" x14ac:dyDescent="0.3">
      <c r="F477" s="1" t="s">
        <v>110</v>
      </c>
      <c r="G477">
        <f>U257</f>
        <v>4000</v>
      </c>
      <c r="H477" s="14">
        <f>AA12</f>
        <v>2.1795</v>
      </c>
      <c r="I477">
        <f t="shared" si="65"/>
        <v>8718</v>
      </c>
      <c r="J477" s="5"/>
      <c r="K477" s="14">
        <f>AD12</f>
        <v>26.945</v>
      </c>
      <c r="L477">
        <f>K477*G477</f>
        <v>107780</v>
      </c>
      <c r="M477" s="5"/>
      <c r="P477" s="14">
        <f>AI12</f>
        <v>3.368E-4</v>
      </c>
      <c r="Q477">
        <f t="shared" si="66"/>
        <v>1.3472</v>
      </c>
      <c r="R477" s="5"/>
      <c r="S477" s="14">
        <f>AL12</f>
        <v>1.192E-2</v>
      </c>
      <c r="T477">
        <f t="shared" si="67"/>
        <v>47.68</v>
      </c>
      <c r="U477" s="5"/>
      <c r="AN477" s="5"/>
      <c r="AO477" s="5"/>
      <c r="AV477" s="5"/>
      <c r="AX477" s="5"/>
      <c r="BB477" s="6"/>
      <c r="BC477" s="5"/>
    </row>
    <row r="478" spans="1:55" x14ac:dyDescent="0.3">
      <c r="F478" s="1" t="s">
        <v>1239</v>
      </c>
      <c r="G478">
        <f>G477</f>
        <v>4000</v>
      </c>
      <c r="H478" s="14">
        <f>AA24</f>
        <v>1.6</v>
      </c>
      <c r="I478">
        <f t="shared" si="65"/>
        <v>6400</v>
      </c>
      <c r="J478" s="5"/>
      <c r="K478" s="14">
        <f>AD24</f>
        <v>27.8</v>
      </c>
      <c r="L478">
        <f>K478*G478</f>
        <v>111200</v>
      </c>
      <c r="M478" s="5"/>
      <c r="P478" s="14">
        <f>AI24</f>
        <v>0</v>
      </c>
      <c r="Q478">
        <f t="shared" si="66"/>
        <v>0</v>
      </c>
      <c r="R478" s="5"/>
      <c r="S478" s="14">
        <f>AL24</f>
        <v>0</v>
      </c>
      <c r="T478">
        <f t="shared" si="67"/>
        <v>0</v>
      </c>
      <c r="U478" s="5"/>
      <c r="AN478" s="5"/>
      <c r="AO478" s="5"/>
      <c r="AV478" s="5"/>
      <c r="AX478" s="5"/>
      <c r="BB478" s="6"/>
      <c r="BC478" s="5"/>
    </row>
    <row r="479" spans="1:55" x14ac:dyDescent="0.3">
      <c r="F479" s="1"/>
      <c r="H479" s="14"/>
      <c r="J479" s="5"/>
      <c r="K479" s="14"/>
      <c r="M479" s="5"/>
      <c r="P479" s="14"/>
      <c r="R479" s="5"/>
      <c r="S479" s="14"/>
      <c r="U479" s="5"/>
      <c r="AN479" s="5"/>
      <c r="AO479" s="5"/>
      <c r="AV479" s="5"/>
      <c r="AX479" s="5"/>
      <c r="BB479" s="6"/>
      <c r="BC479" s="5"/>
    </row>
    <row r="480" spans="1:55" x14ac:dyDescent="0.3">
      <c r="E480" t="s">
        <v>138</v>
      </c>
      <c r="F480" s="1"/>
      <c r="G480">
        <f>0.1%*G466</f>
        <v>96.789333333333346</v>
      </c>
      <c r="H480" s="14">
        <f>AA37</f>
        <v>5.6</v>
      </c>
      <c r="I480">
        <f t="shared" si="65"/>
        <v>542.02026666666666</v>
      </c>
      <c r="J480" s="5"/>
      <c r="K480" s="14">
        <f>AD37</f>
        <v>88</v>
      </c>
      <c r="L480">
        <f>K480*G480</f>
        <v>8517.4613333333346</v>
      </c>
      <c r="M480" s="5"/>
      <c r="P480" s="14">
        <f>AI37</f>
        <v>9.5000000000000001E-2</v>
      </c>
      <c r="Q480">
        <f t="shared" si="66"/>
        <v>9.1949866666666686</v>
      </c>
      <c r="R480" s="5"/>
      <c r="S480" s="14">
        <f>AL37</f>
        <v>0.249</v>
      </c>
      <c r="T480">
        <f t="shared" si="67"/>
        <v>24.100544000000003</v>
      </c>
      <c r="U480" s="5"/>
      <c r="AN480" s="5"/>
      <c r="AO480" s="5"/>
      <c r="AV480" s="5"/>
      <c r="AX480" s="5"/>
      <c r="BB480" s="6"/>
      <c r="BC480" s="5"/>
    </row>
    <row r="481" spans="5:55" x14ac:dyDescent="0.3">
      <c r="F481" s="1"/>
      <c r="H481" s="14"/>
      <c r="J481" s="5"/>
      <c r="K481" s="14"/>
      <c r="M481" s="5"/>
      <c r="P481" s="14"/>
      <c r="R481" s="5"/>
      <c r="S481" s="14"/>
      <c r="U481" s="5"/>
      <c r="AN481" s="5"/>
      <c r="AO481" s="5"/>
      <c r="AV481" s="5"/>
      <c r="AX481" s="5"/>
      <c r="BB481" s="6"/>
      <c r="BC481" s="5"/>
    </row>
    <row r="482" spans="5:55" x14ac:dyDescent="0.3">
      <c r="F482" s="1"/>
      <c r="H482" s="14"/>
      <c r="J482" s="5"/>
      <c r="K482" s="14"/>
      <c r="M482" s="5"/>
      <c r="P482" s="14"/>
      <c r="R482" s="5"/>
      <c r="S482" s="14"/>
      <c r="U482" s="5"/>
      <c r="AN482" s="5"/>
      <c r="AO482" s="5"/>
      <c r="AV482" s="5"/>
      <c r="AX482" s="5"/>
      <c r="BB482" s="6"/>
      <c r="BC482" s="5"/>
    </row>
    <row r="483" spans="5:55" s="9" customFormat="1" x14ac:dyDescent="0.3">
      <c r="E483" s="9" t="s">
        <v>1252</v>
      </c>
      <c r="F483" s="67"/>
      <c r="G483" s="9">
        <f>U231</f>
        <v>40000</v>
      </c>
      <c r="H483" s="245"/>
      <c r="J483" s="11">
        <f>SUM(I484:I489)</f>
        <v>198224</v>
      </c>
      <c r="K483" s="245"/>
      <c r="M483" s="11">
        <f>SUM(L484:L489)</f>
        <v>3027520</v>
      </c>
      <c r="P483" s="245"/>
      <c r="R483" s="11">
        <f>SUM(Q484:Q489)</f>
        <v>1002.5359999999999</v>
      </c>
      <c r="S483" s="245"/>
      <c r="U483" s="11">
        <f>SUM(T484:T489)</f>
        <v>758.7600000000001</v>
      </c>
      <c r="X483" s="9">
        <f>G483</f>
        <v>40000</v>
      </c>
      <c r="Y483" s="9" t="str">
        <f>$X$83</f>
        <v>ship ferry</v>
      </c>
      <c r="Z483" s="9">
        <f>$F$19</f>
        <v>2000</v>
      </c>
      <c r="AA483" s="9">
        <f>$AA$83</f>
        <v>0.109</v>
      </c>
      <c r="AB483" s="9">
        <f>AA483*Z483*X483/1000</f>
        <v>8720</v>
      </c>
      <c r="AC483" s="9">
        <f>$AD$83</f>
        <v>1.5</v>
      </c>
      <c r="AD483" s="9">
        <f>AC483*Z483*X483/1000</f>
        <v>120000</v>
      </c>
      <c r="AF483" s="9" t="s">
        <v>61</v>
      </c>
      <c r="AG483" s="9">
        <f>$G$19</f>
        <v>500</v>
      </c>
      <c r="AH483" s="9">
        <f>$AA$81</f>
        <v>8.9976823999999997E-2</v>
      </c>
      <c r="AI483" s="9">
        <f>AH483*AG483*X483/1000</f>
        <v>1799.53648</v>
      </c>
      <c r="AJ483" s="9">
        <f>$AD$81</f>
        <v>1.52</v>
      </c>
      <c r="AK483" s="9">
        <f>AJ483*AG483*X483/1000</f>
        <v>30400</v>
      </c>
      <c r="AN483" s="11">
        <f>AI483+AB483</f>
        <v>10519.536480000001</v>
      </c>
      <c r="AO483" s="11">
        <f>AD483+AK483</f>
        <v>150400</v>
      </c>
      <c r="AS483" s="9" t="s">
        <v>161</v>
      </c>
      <c r="AT483" s="9">
        <f>$G$21</f>
        <v>200</v>
      </c>
      <c r="AU483" s="9">
        <f>$AA$81</f>
        <v>8.9976823999999997E-2</v>
      </c>
      <c r="AV483" s="11">
        <f>(AU483*AT483*X483)/1000</f>
        <v>719.81459200000006</v>
      </c>
      <c r="AW483" s="9">
        <f>$AD$81</f>
        <v>1.52</v>
      </c>
      <c r="AX483" s="11">
        <f>(AW483*AT483*X483)/1000</f>
        <v>12160</v>
      </c>
      <c r="BB483" s="74">
        <f>AV483+AN483+R483+J483</f>
        <v>210465.88707200001</v>
      </c>
      <c r="BC483" s="11">
        <f>AX483+AO483+U483+M483</f>
        <v>3190838.76</v>
      </c>
    </row>
    <row r="484" spans="5:55" x14ac:dyDescent="0.3">
      <c r="F484" s="1"/>
      <c r="H484" s="14"/>
      <c r="J484" s="5"/>
      <c r="K484" s="14"/>
      <c r="M484" s="5"/>
      <c r="P484" s="14"/>
      <c r="Q484">
        <f t="shared" si="66"/>
        <v>0</v>
      </c>
      <c r="R484" s="5"/>
      <c r="S484" s="14"/>
      <c r="T484">
        <f t="shared" si="67"/>
        <v>0</v>
      </c>
      <c r="U484" s="5"/>
      <c r="AN484" s="5"/>
      <c r="AO484" s="5"/>
      <c r="AV484" s="5"/>
      <c r="AX484" s="5"/>
      <c r="BB484" s="6"/>
      <c r="BC484" s="5"/>
    </row>
    <row r="485" spans="5:55" x14ac:dyDescent="0.3">
      <c r="F485" s="1" t="s">
        <v>24</v>
      </c>
      <c r="G485">
        <f>U233</f>
        <v>20000</v>
      </c>
      <c r="H485" s="14">
        <f>AA7</f>
        <v>4.37</v>
      </c>
      <c r="I485">
        <f t="shared" si="65"/>
        <v>87400</v>
      </c>
      <c r="J485" s="5"/>
      <c r="K485" s="14">
        <f>AD7</f>
        <v>63.8</v>
      </c>
      <c r="L485">
        <f t="shared" ref="L485:L508" si="68">K485*G485</f>
        <v>1276000</v>
      </c>
      <c r="M485" s="5"/>
      <c r="P485" s="14">
        <f>AI7</f>
        <v>3.368E-4</v>
      </c>
      <c r="Q485">
        <f t="shared" si="66"/>
        <v>6.7359999999999998</v>
      </c>
      <c r="R485" s="5"/>
      <c r="S485" s="14">
        <f>AL7</f>
        <v>1.192E-2</v>
      </c>
      <c r="T485">
        <f t="shared" si="67"/>
        <v>238.4</v>
      </c>
      <c r="U485" s="5"/>
      <c r="AN485" s="5"/>
      <c r="AO485" s="5"/>
      <c r="AV485" s="5"/>
      <c r="AX485" s="5"/>
      <c r="BB485" s="6"/>
      <c r="BC485" s="5"/>
    </row>
    <row r="486" spans="5:55" x14ac:dyDescent="0.3">
      <c r="F486" s="1" t="s">
        <v>1239</v>
      </c>
      <c r="G486">
        <f>G485</f>
        <v>20000</v>
      </c>
      <c r="H486" s="14">
        <f>AA25</f>
        <v>2.23</v>
      </c>
      <c r="I486">
        <f t="shared" si="65"/>
        <v>44600</v>
      </c>
      <c r="J486" s="5"/>
      <c r="K486" s="14">
        <f>AD25</f>
        <v>37.6</v>
      </c>
      <c r="L486">
        <f t="shared" si="68"/>
        <v>752000</v>
      </c>
      <c r="M486" s="5"/>
      <c r="P486" s="14">
        <f>AI25</f>
        <v>0</v>
      </c>
      <c r="Q486">
        <f t="shared" si="66"/>
        <v>0</v>
      </c>
      <c r="R486" s="5"/>
      <c r="S486" s="14">
        <f>AL25</f>
        <v>0</v>
      </c>
      <c r="T486">
        <f t="shared" si="67"/>
        <v>0</v>
      </c>
      <c r="U486" s="5"/>
      <c r="AN486" s="5"/>
      <c r="AO486" s="5"/>
      <c r="AV486" s="5"/>
      <c r="AX486" s="5"/>
      <c r="BB486" s="6"/>
      <c r="BC486" s="5"/>
    </row>
    <row r="487" spans="5:55" x14ac:dyDescent="0.3">
      <c r="F487" s="1" t="s">
        <v>23</v>
      </c>
      <c r="G487">
        <f>U236</f>
        <v>20000</v>
      </c>
      <c r="H487" s="14">
        <f>AA6</f>
        <v>1.7</v>
      </c>
      <c r="I487">
        <f t="shared" si="65"/>
        <v>34000</v>
      </c>
      <c r="J487" s="5"/>
      <c r="K487" s="14">
        <f>AD6</f>
        <v>22</v>
      </c>
      <c r="L487">
        <f>K487*G487</f>
        <v>440000</v>
      </c>
      <c r="M487" s="5"/>
      <c r="P487" s="14">
        <f>AI6</f>
        <v>4.9599999999999998E-2</v>
      </c>
      <c r="Q487">
        <f t="shared" si="66"/>
        <v>992</v>
      </c>
      <c r="R487" s="5"/>
      <c r="S487" s="14">
        <f>AL6</f>
        <v>2.5520000000000001E-2</v>
      </c>
      <c r="T487">
        <f t="shared" si="67"/>
        <v>510.40000000000003</v>
      </c>
      <c r="U487" s="5"/>
      <c r="AN487" s="5"/>
      <c r="AO487" s="5"/>
      <c r="AV487" s="5"/>
      <c r="AX487" s="5"/>
      <c r="BB487" s="6"/>
      <c r="BC487" s="5"/>
    </row>
    <row r="488" spans="5:55" x14ac:dyDescent="0.3">
      <c r="F488" s="1" t="s">
        <v>1515</v>
      </c>
      <c r="G488">
        <f>U237</f>
        <v>20000</v>
      </c>
      <c r="H488" s="14">
        <f>AA32</f>
        <v>1.6</v>
      </c>
      <c r="I488">
        <f t="shared" si="65"/>
        <v>32000</v>
      </c>
      <c r="J488" s="5"/>
      <c r="K488" s="14">
        <f>AD32</f>
        <v>27.8</v>
      </c>
      <c r="L488">
        <f>K488*G488</f>
        <v>556000</v>
      </c>
      <c r="M488" s="5"/>
      <c r="P488" s="14">
        <f>AI32</f>
        <v>0</v>
      </c>
      <c r="Q488">
        <f t="shared" si="66"/>
        <v>0</v>
      </c>
      <c r="R488" s="5"/>
      <c r="S488" s="14">
        <f>AL32</f>
        <v>0</v>
      </c>
      <c r="T488">
        <f t="shared" si="67"/>
        <v>0</v>
      </c>
      <c r="U488" s="5"/>
      <c r="AN488" s="5"/>
      <c r="AO488" s="5"/>
      <c r="AV488" s="5"/>
      <c r="AX488" s="5"/>
      <c r="BB488" s="6"/>
      <c r="BC488" s="5"/>
    </row>
    <row r="489" spans="5:55" x14ac:dyDescent="0.3">
      <c r="F489" s="1" t="s">
        <v>138</v>
      </c>
      <c r="G489">
        <f>0.1%*G483</f>
        <v>40</v>
      </c>
      <c r="H489" s="14">
        <f>AA37</f>
        <v>5.6</v>
      </c>
      <c r="I489">
        <f t="shared" si="65"/>
        <v>224</v>
      </c>
      <c r="J489" s="5"/>
      <c r="K489" s="14">
        <f>AD37</f>
        <v>88</v>
      </c>
      <c r="L489">
        <f>K489*G489</f>
        <v>3520</v>
      </c>
      <c r="M489" s="5"/>
      <c r="P489" s="14">
        <f>AI37</f>
        <v>9.5000000000000001E-2</v>
      </c>
      <c r="Q489">
        <f t="shared" si="66"/>
        <v>3.8</v>
      </c>
      <c r="R489" s="5"/>
      <c r="S489" s="14">
        <f>AL37</f>
        <v>0.249</v>
      </c>
      <c r="T489">
        <f t="shared" si="67"/>
        <v>9.9600000000000009</v>
      </c>
      <c r="U489" s="5"/>
      <c r="AN489" s="5"/>
      <c r="AO489" s="5"/>
      <c r="AV489" s="5"/>
      <c r="AX489" s="5"/>
      <c r="BB489" s="6"/>
      <c r="BC489" s="5"/>
    </row>
    <row r="490" spans="5:55" s="9" customFormat="1" x14ac:dyDescent="0.3">
      <c r="E490" s="9" t="s">
        <v>1253</v>
      </c>
      <c r="F490" s="67"/>
      <c r="G490" s="9">
        <f>U238</f>
        <v>3384</v>
      </c>
      <c r="H490" s="245"/>
      <c r="J490" s="11">
        <f>SUM(I491:I496)</f>
        <v>16769.750400000001</v>
      </c>
      <c r="K490" s="245"/>
      <c r="M490" s="11">
        <f>SUM(L491:L496)</f>
        <v>256128.19199999998</v>
      </c>
      <c r="P490" s="245"/>
      <c r="R490" s="11">
        <f>SUM(Q491:Q496)</f>
        <v>84.814545599999988</v>
      </c>
      <c r="S490" s="245"/>
      <c r="U490" s="11">
        <f>SUM(T491:T496)</f>
        <v>64.191096000000002</v>
      </c>
      <c r="X490" s="9">
        <f>G490</f>
        <v>3384</v>
      </c>
      <c r="Y490" s="9" t="str">
        <f>$X$83</f>
        <v>ship ferry</v>
      </c>
      <c r="Z490" s="9">
        <f>$F$19</f>
        <v>2000</v>
      </c>
      <c r="AA490" s="9">
        <f>$AA$83</f>
        <v>0.109</v>
      </c>
      <c r="AB490" s="9">
        <f>AA490*Z490*X490/1000</f>
        <v>737.71199999999999</v>
      </c>
      <c r="AC490" s="9">
        <f>$AD$83</f>
        <v>1.5</v>
      </c>
      <c r="AD490" s="9">
        <f>AC490*Z490*X490/1000</f>
        <v>10152</v>
      </c>
      <c r="AF490" s="9" t="s">
        <v>61</v>
      </c>
      <c r="AG490" s="9">
        <f>$G$19</f>
        <v>500</v>
      </c>
      <c r="AH490" s="9">
        <f>$AA$81</f>
        <v>8.9976823999999997E-2</v>
      </c>
      <c r="AI490" s="9">
        <f>AH490*AG490*X490/1000</f>
        <v>152.24078620799997</v>
      </c>
      <c r="AJ490" s="9">
        <f>$AD$81</f>
        <v>1.52</v>
      </c>
      <c r="AK490" s="9">
        <f>AJ490*AG490*X490/1000</f>
        <v>2571.84</v>
      </c>
      <c r="AN490" s="11">
        <f>AI490+AB490</f>
        <v>889.95278620799991</v>
      </c>
      <c r="AO490" s="11">
        <f>AD490+AK490</f>
        <v>12723.84</v>
      </c>
      <c r="AS490" s="9" t="s">
        <v>161</v>
      </c>
      <c r="AT490" s="9">
        <f>$G$21</f>
        <v>200</v>
      </c>
      <c r="AU490" s="9">
        <f>$AA$81</f>
        <v>8.9976823999999997E-2</v>
      </c>
      <c r="AV490" s="11">
        <f>(AU490*AT490*X490)/1000</f>
        <v>60.896314483200001</v>
      </c>
      <c r="AW490" s="9">
        <f>$AD$81</f>
        <v>1.52</v>
      </c>
      <c r="AX490" s="11">
        <f>(AW490*AT490*X490)/1000</f>
        <v>1028.7360000000001</v>
      </c>
      <c r="BB490" s="74">
        <f>AV490+AN490+R490+J490</f>
        <v>17805.4140462912</v>
      </c>
      <c r="BC490" s="11">
        <f>AX490+AO490+U490+M490</f>
        <v>269944.95909600001</v>
      </c>
    </row>
    <row r="491" spans="5:55" x14ac:dyDescent="0.3">
      <c r="F491" s="1"/>
      <c r="H491" s="14"/>
      <c r="J491" s="5"/>
      <c r="K491" s="14"/>
      <c r="M491" s="5"/>
      <c r="P491" s="14"/>
      <c r="Q491">
        <f t="shared" si="66"/>
        <v>0</v>
      </c>
      <c r="R491" s="5"/>
      <c r="S491" s="14"/>
      <c r="T491">
        <f t="shared" si="67"/>
        <v>0</v>
      </c>
      <c r="U491" s="5"/>
      <c r="AN491" s="5"/>
      <c r="AO491" s="5"/>
      <c r="AV491" s="5"/>
      <c r="AX491" s="5"/>
      <c r="BB491" s="6"/>
      <c r="BC491" s="5"/>
    </row>
    <row r="492" spans="5:55" x14ac:dyDescent="0.3">
      <c r="F492" s="1" t="s">
        <v>24</v>
      </c>
      <c r="G492">
        <f>U240</f>
        <v>1692</v>
      </c>
      <c r="H492" s="14">
        <f>AA7</f>
        <v>4.37</v>
      </c>
      <c r="I492">
        <f t="shared" si="65"/>
        <v>7394.04</v>
      </c>
      <c r="J492" s="5"/>
      <c r="K492" s="14">
        <f>AD7</f>
        <v>63.8</v>
      </c>
      <c r="L492">
        <f t="shared" si="68"/>
        <v>107949.59999999999</v>
      </c>
      <c r="M492" s="5"/>
      <c r="P492" s="14">
        <f>AI7</f>
        <v>3.368E-4</v>
      </c>
      <c r="Q492">
        <f t="shared" si="66"/>
        <v>0.56986559999999997</v>
      </c>
      <c r="R492" s="5"/>
      <c r="S492" s="14">
        <f>AL7</f>
        <v>1.192E-2</v>
      </c>
      <c r="T492">
        <f t="shared" si="67"/>
        <v>20.16864</v>
      </c>
      <c r="U492" s="5"/>
      <c r="AN492" s="5"/>
      <c r="AO492" s="5"/>
      <c r="AV492" s="5"/>
      <c r="AX492" s="5"/>
      <c r="BB492" s="6"/>
      <c r="BC492" s="5"/>
    </row>
    <row r="493" spans="5:55" x14ac:dyDescent="0.3">
      <c r="F493" s="1" t="s">
        <v>1239</v>
      </c>
      <c r="G493">
        <f>G492</f>
        <v>1692</v>
      </c>
      <c r="H493" s="14">
        <f>AA25</f>
        <v>2.23</v>
      </c>
      <c r="I493">
        <f t="shared" si="65"/>
        <v>3773.16</v>
      </c>
      <c r="J493" s="5"/>
      <c r="K493" s="14">
        <f>AD25</f>
        <v>37.6</v>
      </c>
      <c r="L493">
        <f t="shared" si="68"/>
        <v>63619.200000000004</v>
      </c>
      <c r="M493" s="5"/>
      <c r="P493" s="14">
        <f>AI25</f>
        <v>0</v>
      </c>
      <c r="Q493">
        <f t="shared" si="66"/>
        <v>0</v>
      </c>
      <c r="R493" s="5"/>
      <c r="S493" s="14">
        <f>AL25</f>
        <v>0</v>
      </c>
      <c r="T493">
        <f t="shared" si="67"/>
        <v>0</v>
      </c>
      <c r="U493" s="5"/>
      <c r="AN493" s="5"/>
      <c r="AO493" s="5"/>
      <c r="AV493" s="5"/>
      <c r="AX493" s="5"/>
      <c r="BB493" s="6"/>
      <c r="BC493" s="5"/>
    </row>
    <row r="494" spans="5:55" x14ac:dyDescent="0.3">
      <c r="F494" s="1" t="s">
        <v>23</v>
      </c>
      <c r="G494">
        <f>U243</f>
        <v>1692</v>
      </c>
      <c r="H494" s="14">
        <f>AA6</f>
        <v>1.7</v>
      </c>
      <c r="I494">
        <f t="shared" si="65"/>
        <v>2876.4</v>
      </c>
      <c r="J494" s="5"/>
      <c r="K494" s="14">
        <f>AD6</f>
        <v>22</v>
      </c>
      <c r="L494">
        <f>K494*G494</f>
        <v>37224</v>
      </c>
      <c r="M494" s="5"/>
      <c r="P494" s="14">
        <f>AI6</f>
        <v>4.9599999999999998E-2</v>
      </c>
      <c r="Q494">
        <f t="shared" si="66"/>
        <v>83.923199999999994</v>
      </c>
      <c r="R494" s="5"/>
      <c r="S494" s="14">
        <f>AL6</f>
        <v>2.5520000000000001E-2</v>
      </c>
      <c r="T494">
        <f t="shared" si="67"/>
        <v>43.179839999999999</v>
      </c>
      <c r="U494" s="5"/>
      <c r="AN494" s="5"/>
      <c r="AO494" s="5"/>
      <c r="AV494" s="5"/>
      <c r="AX494" s="5"/>
      <c r="BB494" s="6"/>
      <c r="BC494" s="5"/>
    </row>
    <row r="495" spans="5:55" x14ac:dyDescent="0.3">
      <c r="F495" s="1" t="s">
        <v>1546</v>
      </c>
      <c r="G495">
        <f>U244</f>
        <v>1692</v>
      </c>
      <c r="H495" s="14">
        <f>AA32</f>
        <v>1.6</v>
      </c>
      <c r="I495">
        <f t="shared" si="65"/>
        <v>2707.2000000000003</v>
      </c>
      <c r="J495" s="5"/>
      <c r="K495" s="14">
        <f>AD32</f>
        <v>27.8</v>
      </c>
      <c r="L495">
        <f>K495*G495</f>
        <v>47037.599999999999</v>
      </c>
      <c r="M495" s="5"/>
      <c r="P495" s="14">
        <f>AI32</f>
        <v>0</v>
      </c>
      <c r="Q495">
        <f t="shared" si="66"/>
        <v>0</v>
      </c>
      <c r="R495" s="5"/>
      <c r="S495" s="14">
        <f>AL32</f>
        <v>0</v>
      </c>
      <c r="T495">
        <f t="shared" si="67"/>
        <v>0</v>
      </c>
      <c r="U495" s="5"/>
      <c r="AN495" s="5"/>
      <c r="AO495" s="5"/>
      <c r="AV495" s="5"/>
      <c r="AX495" s="5"/>
      <c r="BB495" s="6"/>
      <c r="BC495" s="5"/>
    </row>
    <row r="496" spans="5:55" x14ac:dyDescent="0.3">
      <c r="F496" s="1" t="s">
        <v>1627</v>
      </c>
      <c r="G496">
        <f>0.1%*G490</f>
        <v>3.3839999999999999</v>
      </c>
      <c r="H496" s="14">
        <f>AA37</f>
        <v>5.6</v>
      </c>
      <c r="I496">
        <f t="shared" si="65"/>
        <v>18.950399999999998</v>
      </c>
      <c r="J496" s="5"/>
      <c r="K496" s="14">
        <f>AD37</f>
        <v>88</v>
      </c>
      <c r="L496">
        <f>K496*G496</f>
        <v>297.79199999999997</v>
      </c>
      <c r="M496" s="5"/>
      <c r="P496" s="14">
        <f>AI37</f>
        <v>9.5000000000000001E-2</v>
      </c>
      <c r="Q496">
        <f t="shared" si="66"/>
        <v>0.32147999999999999</v>
      </c>
      <c r="R496" s="5"/>
      <c r="S496" s="14">
        <f>AL37</f>
        <v>0.249</v>
      </c>
      <c r="T496">
        <f t="shared" si="67"/>
        <v>0.84261599999999992</v>
      </c>
      <c r="U496" s="5"/>
      <c r="AN496" s="5"/>
      <c r="AO496" s="5"/>
      <c r="AV496" s="5"/>
      <c r="AX496" s="5"/>
      <c r="BB496" s="6"/>
      <c r="BC496" s="5"/>
    </row>
    <row r="497" spans="1:55" s="9" customFormat="1" x14ac:dyDescent="0.3">
      <c r="E497" s="9" t="s">
        <v>1596</v>
      </c>
      <c r="F497" s="67"/>
      <c r="G497" s="9">
        <f>U228+U225+U277+R283</f>
        <v>19560.693333333333</v>
      </c>
      <c r="H497" s="245"/>
      <c r="J497" s="11">
        <f>SUM(I498:I509)</f>
        <v>16717.742666666669</v>
      </c>
      <c r="K497" s="245"/>
      <c r="M497" s="11">
        <f>SUM(L498:L509)</f>
        <v>745011.01333333331</v>
      </c>
      <c r="P497" s="245"/>
      <c r="R497" s="11">
        <f>SUM(Q498:Q509)</f>
        <v>5147.4534346666669</v>
      </c>
      <c r="S497" s="245"/>
      <c r="U497" s="11">
        <f>SUM(T498:T509)</f>
        <v>3596.2718399999999</v>
      </c>
      <c r="X497" s="9">
        <f>G497</f>
        <v>19560.693333333333</v>
      </c>
      <c r="Y497" s="9" t="str">
        <f>$X$83</f>
        <v>ship ferry</v>
      </c>
      <c r="Z497" s="9">
        <f>$F$19</f>
        <v>2000</v>
      </c>
      <c r="AA497" s="9">
        <f>$AA$83</f>
        <v>0.109</v>
      </c>
      <c r="AB497" s="9">
        <f>AA497*Z497*X497/1000</f>
        <v>4264.2311466666661</v>
      </c>
      <c r="AC497" s="9">
        <f>$AD$83</f>
        <v>1.5</v>
      </c>
      <c r="AD497" s="9">
        <f>AC497*Z497*X497/1000</f>
        <v>58682.080000000002</v>
      </c>
      <c r="AF497" s="9" t="s">
        <v>61</v>
      </c>
      <c r="AG497" s="9">
        <f>$G$19</f>
        <v>500</v>
      </c>
      <c r="AH497" s="9">
        <f>$AA$81</f>
        <v>8.9976823999999997E-2</v>
      </c>
      <c r="AI497" s="9">
        <f>AH497*AG497*X497/1000</f>
        <v>880.00453068565321</v>
      </c>
      <c r="AJ497" s="9">
        <f>$AD$81</f>
        <v>1.52</v>
      </c>
      <c r="AK497" s="9">
        <f>AJ497*AG497*X497/1000</f>
        <v>14866.126933333333</v>
      </c>
      <c r="AN497" s="11">
        <f>AI497+AB497</f>
        <v>5144.2356773523188</v>
      </c>
      <c r="AO497" s="11">
        <f>AD497+AK497</f>
        <v>73548.206933333335</v>
      </c>
      <c r="AS497" s="9" t="s">
        <v>161</v>
      </c>
      <c r="AT497" s="9">
        <f>$G$21</f>
        <v>200</v>
      </c>
      <c r="AU497" s="9">
        <f>$AA$81</f>
        <v>8.9976823999999997E-2</v>
      </c>
      <c r="AV497" s="11">
        <f>(AU497*AT497*X497)/1000</f>
        <v>352.00181227426134</v>
      </c>
      <c r="AW497" s="9">
        <f>$AD$81</f>
        <v>1.52</v>
      </c>
      <c r="AX497" s="11">
        <f>(AW497*AT497*X497)/1000</f>
        <v>5946.450773333333</v>
      </c>
      <c r="BB497" s="74">
        <f>AV497+AN497+R497+J497</f>
        <v>27361.433590959918</v>
      </c>
      <c r="BC497" s="11">
        <f>AX497+AO497+U497+M497</f>
        <v>828101.94287999999</v>
      </c>
    </row>
    <row r="498" spans="1:55" x14ac:dyDescent="0.3">
      <c r="E498" t="s">
        <v>1242</v>
      </c>
      <c r="F498" s="1"/>
      <c r="H498" s="14"/>
      <c r="J498" s="5"/>
      <c r="K498" s="14"/>
      <c r="M498" s="5"/>
      <c r="P498" s="14"/>
      <c r="Q498">
        <f t="shared" si="66"/>
        <v>0</v>
      </c>
      <c r="R498" s="5"/>
      <c r="S498" s="14"/>
      <c r="T498">
        <f t="shared" si="67"/>
        <v>0</v>
      </c>
      <c r="U498" s="5"/>
      <c r="AN498" s="5"/>
      <c r="AO498" s="5"/>
      <c r="AV498" s="5"/>
      <c r="AX498" s="5"/>
      <c r="BB498" s="6"/>
      <c r="BC498" s="5"/>
    </row>
    <row r="499" spans="1:55" x14ac:dyDescent="0.3">
      <c r="F499" s="1" t="s">
        <v>45</v>
      </c>
      <c r="G499">
        <f>U225</f>
        <v>9600</v>
      </c>
      <c r="H499" s="14">
        <f>AA93</f>
        <v>1.21</v>
      </c>
      <c r="I499">
        <f t="shared" si="65"/>
        <v>11616</v>
      </c>
      <c r="J499" s="5"/>
      <c r="K499" s="14">
        <f>AD93</f>
        <v>67.3</v>
      </c>
      <c r="L499">
        <f t="shared" si="68"/>
        <v>646080</v>
      </c>
      <c r="M499" s="5"/>
      <c r="P499" s="14">
        <f>AI93</f>
        <v>0.51800000000000002</v>
      </c>
      <c r="Q499">
        <f t="shared" si="66"/>
        <v>4972.8</v>
      </c>
      <c r="R499" s="5"/>
      <c r="S499" s="14">
        <f>AL93</f>
        <v>0.36199999999999999</v>
      </c>
      <c r="T499">
        <f t="shared" si="67"/>
        <v>3475.2</v>
      </c>
      <c r="U499" s="5"/>
      <c r="AN499" s="5"/>
      <c r="AO499" s="5"/>
      <c r="AV499" s="5"/>
      <c r="AX499" s="5"/>
      <c r="BB499" s="6"/>
      <c r="BC499" s="5"/>
    </row>
    <row r="500" spans="1:55" x14ac:dyDescent="0.3">
      <c r="E500" t="s">
        <v>1256</v>
      </c>
      <c r="F500" s="1"/>
      <c r="H500" s="14"/>
      <c r="J500" s="5"/>
      <c r="K500" s="14"/>
      <c r="M500" s="5"/>
      <c r="P500" s="14"/>
      <c r="Q500">
        <f t="shared" si="66"/>
        <v>0</v>
      </c>
      <c r="R500" s="5"/>
      <c r="S500" s="14"/>
      <c r="T500">
        <f t="shared" si="67"/>
        <v>0</v>
      </c>
      <c r="U500" s="5"/>
      <c r="AN500" s="5"/>
      <c r="AO500" s="5"/>
      <c r="AV500" s="5"/>
      <c r="AX500" s="5"/>
      <c r="BB500" s="6"/>
      <c r="BC500" s="5"/>
    </row>
    <row r="501" spans="1:55" x14ac:dyDescent="0.3">
      <c r="F501" s="1" t="s">
        <v>12</v>
      </c>
      <c r="G501">
        <f>W278</f>
        <v>260</v>
      </c>
      <c r="H501" s="14">
        <f>AA7</f>
        <v>4.37</v>
      </c>
      <c r="I501">
        <f t="shared" si="65"/>
        <v>1136.2</v>
      </c>
      <c r="J501" s="5"/>
      <c r="K501" s="14">
        <f>AD7</f>
        <v>63.8</v>
      </c>
      <c r="L501">
        <f t="shared" si="68"/>
        <v>16588</v>
      </c>
      <c r="M501" s="5"/>
      <c r="P501" s="14">
        <f>AI7</f>
        <v>3.368E-4</v>
      </c>
      <c r="Q501">
        <f t="shared" si="66"/>
        <v>8.7568000000000007E-2</v>
      </c>
      <c r="R501" s="5"/>
      <c r="S501" s="14">
        <f>AL7</f>
        <v>1.192E-2</v>
      </c>
      <c r="T501">
        <f t="shared" si="67"/>
        <v>3.0992000000000002</v>
      </c>
      <c r="U501" s="5"/>
      <c r="AN501" s="5"/>
      <c r="AO501" s="5"/>
      <c r="AV501" s="5"/>
      <c r="AX501" s="5"/>
      <c r="BB501" s="6"/>
      <c r="BC501" s="5"/>
    </row>
    <row r="502" spans="1:55" x14ac:dyDescent="0.3">
      <c r="F502" s="341" t="s">
        <v>1257</v>
      </c>
      <c r="G502">
        <f>W279</f>
        <v>260</v>
      </c>
      <c r="H502" s="14">
        <f>AA26</f>
        <v>0.31900000000000001</v>
      </c>
      <c r="I502">
        <f t="shared" si="65"/>
        <v>82.94</v>
      </c>
      <c r="J502" s="5"/>
      <c r="K502" s="14">
        <f>AD26</f>
        <v>3.49</v>
      </c>
      <c r="L502">
        <f t="shared" si="68"/>
        <v>907.40000000000009</v>
      </c>
      <c r="M502" s="5"/>
      <c r="P502" s="14"/>
      <c r="Q502">
        <f t="shared" si="66"/>
        <v>0</v>
      </c>
      <c r="R502" s="5"/>
      <c r="S502" s="14"/>
      <c r="T502">
        <f t="shared" si="67"/>
        <v>0</v>
      </c>
      <c r="U502" s="5"/>
      <c r="AN502" s="5"/>
      <c r="AO502" s="5"/>
      <c r="AV502" s="5"/>
      <c r="AX502" s="5"/>
      <c r="BB502" s="6"/>
      <c r="BC502" s="5"/>
    </row>
    <row r="503" spans="1:55" x14ac:dyDescent="0.3">
      <c r="F503" s="1" t="s">
        <v>1258</v>
      </c>
      <c r="G503">
        <f>W280</f>
        <v>260</v>
      </c>
      <c r="H503" s="14">
        <f>AA56</f>
        <v>2.74</v>
      </c>
      <c r="I503">
        <f t="shared" si="65"/>
        <v>712.40000000000009</v>
      </c>
      <c r="J503" s="5"/>
      <c r="K503" s="14">
        <f>AD56</f>
        <v>87</v>
      </c>
      <c r="L503">
        <f t="shared" si="68"/>
        <v>22620</v>
      </c>
      <c r="M503" s="5"/>
      <c r="P503" s="14">
        <f>AI56</f>
        <v>0.62</v>
      </c>
      <c r="Q503">
        <f t="shared" si="66"/>
        <v>161.19999999999999</v>
      </c>
      <c r="R503" s="5"/>
      <c r="S503" s="14">
        <f>AL56</f>
        <v>0.31900000000000001</v>
      </c>
      <c r="T503">
        <f t="shared" si="67"/>
        <v>82.94</v>
      </c>
      <c r="U503" s="5"/>
      <c r="AN503" s="5"/>
      <c r="AO503" s="5"/>
      <c r="AV503" s="5"/>
      <c r="AX503" s="5"/>
      <c r="BB503" s="6"/>
      <c r="BC503" s="5"/>
    </row>
    <row r="504" spans="1:55" x14ac:dyDescent="0.3">
      <c r="F504" s="341" t="s">
        <v>1266</v>
      </c>
      <c r="G504">
        <f>W281</f>
        <v>260</v>
      </c>
      <c r="H504" s="14">
        <f>AA60</f>
        <v>0.29199999999999998</v>
      </c>
      <c r="I504">
        <f t="shared" si="65"/>
        <v>75.92</v>
      </c>
      <c r="J504" s="5"/>
      <c r="K504" s="14">
        <f>AD60</f>
        <v>7.26</v>
      </c>
      <c r="L504">
        <f t="shared" si="68"/>
        <v>1887.6</v>
      </c>
      <c r="M504" s="5"/>
      <c r="P504" s="14"/>
      <c r="R504" s="5"/>
      <c r="S504" s="14"/>
      <c r="U504" s="5"/>
      <c r="AN504" s="5"/>
      <c r="AO504" s="5"/>
      <c r="AV504" s="5"/>
      <c r="AX504" s="5"/>
      <c r="BB504" s="6"/>
      <c r="BC504" s="5"/>
    </row>
    <row r="505" spans="1:55" x14ac:dyDescent="0.3">
      <c r="F505" s="1"/>
      <c r="H505" s="14"/>
      <c r="J505" s="5"/>
      <c r="K505" s="14"/>
      <c r="M505" s="5"/>
      <c r="P505" s="14"/>
      <c r="R505" s="5"/>
      <c r="S505" s="14"/>
      <c r="U505" s="5"/>
      <c r="AN505" s="5"/>
      <c r="AO505" s="5"/>
      <c r="AV505" s="5"/>
      <c r="AX505" s="5"/>
      <c r="BB505" s="6"/>
      <c r="BC505" s="5"/>
    </row>
    <row r="506" spans="1:55" x14ac:dyDescent="0.3">
      <c r="E506" t="s">
        <v>138</v>
      </c>
      <c r="F506" s="1"/>
      <c r="G506">
        <f>R283</f>
        <v>140.69333333333336</v>
      </c>
      <c r="H506" s="14">
        <f>AA37</f>
        <v>5.6</v>
      </c>
      <c r="I506">
        <f t="shared" si="65"/>
        <v>787.88266666666675</v>
      </c>
      <c r="J506" s="5"/>
      <c r="K506" s="14">
        <f>AD37</f>
        <v>88</v>
      </c>
      <c r="L506">
        <f t="shared" si="68"/>
        <v>12381.013333333336</v>
      </c>
      <c r="M506" s="5"/>
      <c r="P506" s="14">
        <f>AI37</f>
        <v>9.5000000000000001E-2</v>
      </c>
      <c r="Q506">
        <f t="shared" ref="Q506:Q508" si="69">P506*G506</f>
        <v>13.365866666666669</v>
      </c>
      <c r="R506" s="5"/>
      <c r="S506" s="14">
        <f>AL37</f>
        <v>0.249</v>
      </c>
      <c r="T506">
        <f t="shared" ref="T506:T508" si="70">S506*G506</f>
        <v>35.032640000000008</v>
      </c>
      <c r="U506" s="5"/>
      <c r="AN506" s="5"/>
      <c r="AO506" s="5"/>
      <c r="AV506" s="5"/>
      <c r="AX506" s="5"/>
      <c r="BB506" s="6"/>
      <c r="BC506" s="5"/>
    </row>
    <row r="507" spans="1:55" x14ac:dyDescent="0.3">
      <c r="E507" t="s">
        <v>1238</v>
      </c>
      <c r="F507" s="1"/>
      <c r="H507" s="14"/>
      <c r="J507" s="5"/>
      <c r="K507" s="14"/>
      <c r="M507" s="5"/>
      <c r="P507" s="14"/>
      <c r="R507" s="5"/>
      <c r="S507" s="14"/>
      <c r="U507" s="5"/>
      <c r="AN507" s="5"/>
      <c r="AO507" s="5"/>
      <c r="AV507" s="5"/>
      <c r="AX507" s="5"/>
      <c r="BB507" s="6"/>
      <c r="BC507" s="5"/>
    </row>
    <row r="508" spans="1:55" x14ac:dyDescent="0.3">
      <c r="F508" s="1" t="s">
        <v>1240</v>
      </c>
      <c r="G508">
        <f>U228</f>
        <v>9300</v>
      </c>
      <c r="H508" s="14">
        <f>AA95</f>
        <v>0.248</v>
      </c>
      <c r="I508">
        <f t="shared" si="65"/>
        <v>2306.4</v>
      </c>
      <c r="J508" s="5"/>
      <c r="K508" s="14">
        <f>AD95</f>
        <v>4.79</v>
      </c>
      <c r="L508">
        <f t="shared" si="68"/>
        <v>44547</v>
      </c>
      <c r="M508" s="5"/>
      <c r="P508" s="14">
        <f>AI95</f>
        <v>0</v>
      </c>
      <c r="Q508">
        <f t="shared" si="69"/>
        <v>0</v>
      </c>
      <c r="R508" s="5"/>
      <c r="S508" s="14">
        <f>AL95</f>
        <v>0</v>
      </c>
      <c r="T508">
        <f t="shared" si="70"/>
        <v>0</v>
      </c>
      <c r="U508" s="5"/>
      <c r="AN508" s="5"/>
      <c r="AO508" s="5"/>
      <c r="AV508" s="5"/>
      <c r="AX508" s="5"/>
      <c r="BB508" s="6"/>
      <c r="BC508" s="5"/>
    </row>
    <row r="509" spans="1:55" x14ac:dyDescent="0.3">
      <c r="F509" s="1"/>
      <c r="H509" s="14"/>
      <c r="J509" s="5"/>
      <c r="K509" s="14"/>
      <c r="M509" s="5"/>
      <c r="P509" s="14"/>
      <c r="R509" s="5"/>
      <c r="S509" s="14"/>
      <c r="U509" s="5"/>
      <c r="AN509" s="5"/>
      <c r="AO509" s="5"/>
      <c r="AV509" s="5"/>
      <c r="AX509" s="5"/>
      <c r="BB509" s="6"/>
      <c r="BC509" s="5"/>
    </row>
    <row r="510" spans="1:55" s="9" customFormat="1" x14ac:dyDescent="0.3">
      <c r="A510"/>
      <c r="D510" s="9" t="s">
        <v>1128</v>
      </c>
      <c r="F510" s="67"/>
      <c r="J510" s="11">
        <f>SUM(I511:I513)</f>
        <v>0</v>
      </c>
      <c r="M510" s="11">
        <f>SUM(L511:L513)</f>
        <v>0</v>
      </c>
      <c r="R510" s="11">
        <f>SUM(Q511:Q513)</f>
        <v>0</v>
      </c>
      <c r="U510" s="11">
        <f>SUM(T511:T513)</f>
        <v>0</v>
      </c>
      <c r="X510" s="9">
        <f>G510</f>
        <v>0</v>
      </c>
      <c r="Y510" s="9" t="str">
        <f>$X$83</f>
        <v>ship ferry</v>
      </c>
      <c r="Z510" s="9">
        <f>$F$19</f>
        <v>2000</v>
      </c>
      <c r="AA510" s="9">
        <f>$AA$83</f>
        <v>0.109</v>
      </c>
      <c r="AB510" s="9">
        <f>AA510*Z510*X510/1000</f>
        <v>0</v>
      </c>
      <c r="AC510" s="9">
        <f>$AD$83</f>
        <v>1.5</v>
      </c>
      <c r="AD510" s="9">
        <f>AC510*Z510*X510/1000</f>
        <v>0</v>
      </c>
      <c r="AF510" s="9" t="s">
        <v>61</v>
      </c>
      <c r="AG510" s="9">
        <f>$G$19</f>
        <v>500</v>
      </c>
      <c r="AH510" s="9">
        <f>$AA$81</f>
        <v>8.9976823999999997E-2</v>
      </c>
      <c r="AI510" s="9">
        <f>AH510*AG510*X510/1000</f>
        <v>0</v>
      </c>
      <c r="AJ510" s="9">
        <f>$AD$81</f>
        <v>1.52</v>
      </c>
      <c r="AK510" s="9">
        <f>AJ510*AG510*X510/1000</f>
        <v>0</v>
      </c>
      <c r="AN510" s="11">
        <f>AI510+AB510</f>
        <v>0</v>
      </c>
      <c r="AO510" s="11">
        <f>AD510+AK510</f>
        <v>0</v>
      </c>
      <c r="AS510" s="9" t="s">
        <v>161</v>
      </c>
      <c r="AT510" s="9">
        <f>$G$21</f>
        <v>200</v>
      </c>
      <c r="AU510" s="9">
        <f>$AA$81</f>
        <v>8.9976823999999997E-2</v>
      </c>
      <c r="AV510" s="11">
        <f>(AU510*AT510*X510)/1000</f>
        <v>0</v>
      </c>
      <c r="AW510" s="9">
        <f>$AD$81</f>
        <v>1.52</v>
      </c>
      <c r="AX510" s="11">
        <f>(AW510*AT510*X510)/1000</f>
        <v>0</v>
      </c>
      <c r="BB510" s="74">
        <f>AV510+AN510+R510+J510</f>
        <v>0</v>
      </c>
      <c r="BC510" s="11">
        <f>AX510+AO510+U510+M510</f>
        <v>0</v>
      </c>
    </row>
    <row r="511" spans="1:55" x14ac:dyDescent="0.3">
      <c r="E511" t="s">
        <v>1127</v>
      </c>
      <c r="F511" s="1"/>
      <c r="I511">
        <f t="shared" ref="I511:I512" si="71">G511*H511</f>
        <v>0</v>
      </c>
      <c r="J511" s="5"/>
      <c r="L511">
        <f>K511*G511</f>
        <v>0</v>
      </c>
      <c r="M511" s="5"/>
      <c r="Q511">
        <f t="shared" ref="Q511:Q512" si="72">P511*G511</f>
        <v>0</v>
      </c>
      <c r="R511" s="5"/>
      <c r="T511">
        <f t="shared" ref="T511:T512" si="73">S511*G511</f>
        <v>0</v>
      </c>
      <c r="U511" s="5"/>
      <c r="AN511" s="5"/>
      <c r="AO511" s="5"/>
      <c r="AV511" s="5"/>
      <c r="AX511" s="5"/>
      <c r="BB511" s="6"/>
      <c r="BC511" s="5"/>
    </row>
    <row r="512" spans="1:55" x14ac:dyDescent="0.3">
      <c r="F512" s="1"/>
      <c r="I512">
        <f t="shared" si="71"/>
        <v>0</v>
      </c>
      <c r="J512" s="5"/>
      <c r="M512" s="5"/>
      <c r="Q512">
        <f t="shared" si="72"/>
        <v>0</v>
      </c>
      <c r="R512" s="5"/>
      <c r="T512">
        <f t="shared" si="73"/>
        <v>0</v>
      </c>
      <c r="U512" s="5"/>
      <c r="AN512" s="5"/>
      <c r="AO512" s="5"/>
      <c r="AV512" s="5"/>
      <c r="AX512" s="5"/>
      <c r="BB512" s="6"/>
      <c r="BC512" s="5"/>
    </row>
    <row r="513" spans="1:55" x14ac:dyDescent="0.3">
      <c r="F513" s="1"/>
      <c r="J513" s="5"/>
      <c r="M513" s="5"/>
      <c r="R513" s="5"/>
      <c r="U513" s="5"/>
      <c r="AN513" s="5"/>
      <c r="AO513" s="5"/>
      <c r="AV513" s="5"/>
      <c r="AX513" s="5"/>
      <c r="BB513" s="6"/>
      <c r="BC513" s="5"/>
    </row>
    <row r="514" spans="1:55" x14ac:dyDescent="0.3">
      <c r="F514" s="1"/>
      <c r="J514" s="5"/>
      <c r="M514" s="5"/>
      <c r="R514" s="5"/>
      <c r="U514" s="5"/>
      <c r="AN514" s="5"/>
      <c r="AO514" s="5"/>
      <c r="AV514" s="5"/>
      <c r="AX514" s="5"/>
      <c r="BB514" s="6"/>
      <c r="BC514" s="5"/>
    </row>
    <row r="515" spans="1:55" x14ac:dyDescent="0.3">
      <c r="F515" s="1"/>
      <c r="J515" s="5"/>
      <c r="M515" s="5"/>
      <c r="R515" s="5"/>
      <c r="U515" s="5"/>
      <c r="AN515" s="5"/>
      <c r="AO515" s="5"/>
      <c r="AV515" s="5"/>
      <c r="AX515" s="5"/>
      <c r="BB515" s="6"/>
      <c r="BC515" s="5"/>
    </row>
    <row r="516" spans="1:55" x14ac:dyDescent="0.3">
      <c r="F516" s="1"/>
      <c r="J516" s="5"/>
      <c r="M516" s="5"/>
      <c r="R516" s="5"/>
      <c r="U516" s="5"/>
      <c r="AN516" s="5"/>
      <c r="AO516" s="5"/>
      <c r="AV516" s="5"/>
      <c r="AX516" s="5"/>
      <c r="BB516" s="6"/>
      <c r="BC516" s="5"/>
    </row>
    <row r="517" spans="1:55" s="12" customFormat="1" x14ac:dyDescent="0.3">
      <c r="A517"/>
      <c r="C517" s="12" t="s">
        <v>71</v>
      </c>
      <c r="F517" s="68"/>
      <c r="I517" s="12">
        <f t="shared" si="14"/>
        <v>0</v>
      </c>
      <c r="J517" s="13"/>
      <c r="M517" s="13"/>
      <c r="Q517" s="12">
        <f>P517*G517</f>
        <v>0</v>
      </c>
      <c r="R517" s="13"/>
      <c r="U517" s="13"/>
      <c r="AN517" s="13"/>
      <c r="AO517" s="13"/>
      <c r="AV517" s="13"/>
      <c r="AX517" s="13"/>
      <c r="BB517" s="73"/>
      <c r="BC517" s="13"/>
    </row>
    <row r="518" spans="1:55" s="9" customFormat="1" x14ac:dyDescent="0.3">
      <c r="A518"/>
      <c r="D518" s="9" t="s">
        <v>50</v>
      </c>
      <c r="F518" s="67"/>
      <c r="G518" s="9">
        <f>SUM(G519:G522)</f>
        <v>338165.22844337416</v>
      </c>
      <c r="I518" s="9">
        <f t="shared" si="14"/>
        <v>0</v>
      </c>
      <c r="J518" s="11">
        <f>SUM(I519:I521)</f>
        <v>75122.49969897652</v>
      </c>
      <c r="M518" s="11">
        <f>SUM(L519:L521)</f>
        <v>700681.37266706803</v>
      </c>
      <c r="Q518" s="9">
        <f>P518*G518</f>
        <v>0</v>
      </c>
      <c r="R518" s="11">
        <f>SUM(Q519:Q521)</f>
        <v>1660.1680826061945</v>
      </c>
      <c r="U518" s="11">
        <f>SUM(T519:T521)</f>
        <v>67022.995616562985</v>
      </c>
      <c r="AN518" s="11"/>
      <c r="AO518" s="11"/>
      <c r="AV518" s="11"/>
      <c r="AX518" s="11"/>
      <c r="BB518" s="74"/>
      <c r="BC518" s="11"/>
    </row>
    <row r="519" spans="1:55" x14ac:dyDescent="0.3">
      <c r="E519" t="s">
        <v>28</v>
      </c>
      <c r="F519" s="69"/>
      <c r="G519">
        <f>O16</f>
        <v>321256.96702120546</v>
      </c>
      <c r="H519">
        <f>AA44</f>
        <v>0.11383928571428571</v>
      </c>
      <c r="I519">
        <f t="shared" si="14"/>
        <v>36571.663656431869</v>
      </c>
      <c r="J519" s="5"/>
      <c r="K519">
        <f>AD44</f>
        <v>0.8705357142857143</v>
      </c>
      <c r="L519">
        <f>K519*G519</f>
        <v>279665.66325506725</v>
      </c>
      <c r="M519" s="5"/>
      <c r="P519">
        <f>AI44</f>
        <v>5.1500000000000001E-3</v>
      </c>
      <c r="Q519">
        <f>P519*G519</f>
        <v>1654.4733801592081</v>
      </c>
      <c r="R519" s="5"/>
      <c r="S519">
        <f>AL44</f>
        <v>0.20799999999999999</v>
      </c>
      <c r="T519">
        <f t="shared" si="16"/>
        <v>66821.449140410739</v>
      </c>
      <c r="U519" s="5"/>
      <c r="X519">
        <f>G519</f>
        <v>321256.96702120546</v>
      </c>
      <c r="Y519" s="9" t="str">
        <f>$X$83</f>
        <v>ship ferry</v>
      </c>
      <c r="Z519">
        <v>0</v>
      </c>
      <c r="AA519" s="9">
        <f>$AA$83</f>
        <v>0.109</v>
      </c>
      <c r="AB519">
        <f>AA519*Z519*X519/1000</f>
        <v>0</v>
      </c>
      <c r="AC519" s="9">
        <f>$AD$83</f>
        <v>1.5</v>
      </c>
      <c r="AD519" s="9">
        <f>AC519*Z519*X519/1000</f>
        <v>0</v>
      </c>
      <c r="AF519" t="s">
        <v>61</v>
      </c>
      <c r="AG519">
        <f>G22</f>
        <v>50</v>
      </c>
      <c r="AH519" s="9">
        <f>$AA$81</f>
        <v>8.9976823999999997E-2</v>
      </c>
      <c r="AI519">
        <f>AH519*AG519*X519/1000</f>
        <v>1445.2840790220405</v>
      </c>
      <c r="AJ519" s="9">
        <f>$AD$81</f>
        <v>1.52</v>
      </c>
      <c r="AK519" s="9">
        <f>AJ519*AG519*X519/1000</f>
        <v>24415.529493611615</v>
      </c>
      <c r="AN519" s="5">
        <f>AI519+AB519</f>
        <v>1445.2840790220405</v>
      </c>
      <c r="AO519" s="11">
        <f>AD519+AK519</f>
        <v>24415.529493611615</v>
      </c>
      <c r="AS519" s="9" t="s">
        <v>161</v>
      </c>
      <c r="AT519" s="9">
        <f>$G$21</f>
        <v>200</v>
      </c>
      <c r="AU519" s="9">
        <f>$AA$81</f>
        <v>8.9976823999999997E-2</v>
      </c>
      <c r="AV519" s="11">
        <f>(AU519*AT519*X519)/1000</f>
        <v>5781.1363160881619</v>
      </c>
      <c r="AW519" s="9">
        <f>$AD$81</f>
        <v>1.52</v>
      </c>
      <c r="AX519" s="11">
        <f>(AW519*AT519*X519)/1000</f>
        <v>97662.117974446461</v>
      </c>
      <c r="BB519" s="74">
        <f>AV519+AN519+Q519+I519</f>
        <v>45452.55743170128</v>
      </c>
      <c r="BC519" s="11">
        <f>AX519+AO519+T519+L519</f>
        <v>468564.75986353605</v>
      </c>
    </row>
    <row r="520" spans="1:55" x14ac:dyDescent="0.3">
      <c r="A520">
        <f>I520/J518</f>
        <v>0.51317296678121416</v>
      </c>
      <c r="E520" t="s">
        <v>29</v>
      </c>
      <c r="F520" s="69"/>
      <c r="G520">
        <f>O17</f>
        <v>16908.261422168707</v>
      </c>
      <c r="H520">
        <f>AA11</f>
        <v>2.2799999999999998</v>
      </c>
      <c r="I520">
        <f>G520*H520</f>
        <v>38550.836042544652</v>
      </c>
      <c r="J520" s="5"/>
      <c r="K520">
        <f>AD11</f>
        <v>24.9</v>
      </c>
      <c r="L520">
        <f t="shared" ref="L520" si="74">K520*G520</f>
        <v>421015.70941200078</v>
      </c>
      <c r="M520" s="5"/>
      <c r="P520">
        <f>AI11</f>
        <v>3.368E-4</v>
      </c>
      <c r="Q520">
        <f>P520*G520</f>
        <v>5.6947024469864207</v>
      </c>
      <c r="R520" s="5"/>
      <c r="S520">
        <f>AL11</f>
        <v>1.192E-2</v>
      </c>
      <c r="T520">
        <f t="shared" si="16"/>
        <v>201.54647615225099</v>
      </c>
      <c r="U520" s="5"/>
      <c r="X520">
        <f>G520</f>
        <v>16908.261422168707</v>
      </c>
      <c r="Y520" s="9" t="str">
        <f>$X$83</f>
        <v>ship ferry</v>
      </c>
      <c r="Z520">
        <f>$F$19</f>
        <v>2000</v>
      </c>
      <c r="AA520" s="9">
        <f>$AA$83</f>
        <v>0.109</v>
      </c>
      <c r="AB520">
        <f>AA520*Z520*X520/1000</f>
        <v>3686.0009900327782</v>
      </c>
      <c r="AC520" s="9">
        <f>$AD$83</f>
        <v>1.5</v>
      </c>
      <c r="AD520" s="9">
        <f>AC520*Z520*X520/1000</f>
        <v>50724.784266506118</v>
      </c>
      <c r="AF520" t="s">
        <v>61</v>
      </c>
      <c r="AG520">
        <f>$G$19</f>
        <v>500</v>
      </c>
      <c r="AH520" s="9">
        <f>$AA$81</f>
        <v>8.9976823999999997E-2</v>
      </c>
      <c r="AI520">
        <f>AH520*AG520*X520/1000</f>
        <v>760.67583106423172</v>
      </c>
      <c r="AJ520" s="9">
        <f>$AD$81</f>
        <v>1.52</v>
      </c>
      <c r="AK520" s="9">
        <f>AJ520*AG520*X520/1000</f>
        <v>12850.278680848216</v>
      </c>
      <c r="AN520" s="5">
        <f>AI520+AB520</f>
        <v>4446.6768210970095</v>
      </c>
      <c r="AO520" s="11">
        <f>AD520+AK520</f>
        <v>63575.062947354338</v>
      </c>
      <c r="AS520" s="9" t="s">
        <v>161</v>
      </c>
      <c r="AT520" s="9">
        <f>$G$21</f>
        <v>200</v>
      </c>
      <c r="AU520" s="9">
        <f>$AA$81</f>
        <v>8.9976823999999997E-2</v>
      </c>
      <c r="AV520" s="11">
        <f>(AU520*AT520*X520)/1000</f>
        <v>304.27033242569269</v>
      </c>
      <c r="AW520" s="9">
        <f>$AD$81</f>
        <v>1.52</v>
      </c>
      <c r="AX520" s="11">
        <f>(AW520*AT520*X520)/1000</f>
        <v>5140.1114723392875</v>
      </c>
      <c r="BB520" s="74">
        <f>AV520+AN520+Q520+I520</f>
        <v>43307.477898514342</v>
      </c>
      <c r="BC520" s="11">
        <f>AX520+AO520+T520+L520</f>
        <v>489932.43030784663</v>
      </c>
    </row>
    <row r="521" spans="1:55" x14ac:dyDescent="0.3">
      <c r="A521">
        <f>100*L520/M518</f>
        <v>60.086613664275092</v>
      </c>
      <c r="F521" s="69"/>
      <c r="J521" s="5"/>
      <c r="M521" s="5"/>
      <c r="R521" s="5"/>
      <c r="U521" s="5"/>
      <c r="Y521" s="9"/>
      <c r="AA521" s="245"/>
      <c r="AC521" s="9"/>
      <c r="AD521" s="9"/>
      <c r="AH521" s="9"/>
      <c r="AJ521" s="9"/>
      <c r="AK521" s="9"/>
      <c r="AN521" s="5"/>
      <c r="AO521" s="11"/>
      <c r="AS521" s="9"/>
      <c r="AT521" s="9"/>
      <c r="AU521" s="9"/>
      <c r="AV521" s="11"/>
      <c r="AW521" s="9"/>
      <c r="AX521" s="11"/>
      <c r="BB521" s="74"/>
      <c r="BC521" s="11"/>
    </row>
    <row r="522" spans="1:55" x14ac:dyDescent="0.3">
      <c r="F522" s="1"/>
      <c r="J522" s="5"/>
      <c r="M522" s="5"/>
      <c r="R522" s="5"/>
      <c r="U522" s="5"/>
      <c r="AN522" s="5"/>
      <c r="AO522" s="5"/>
      <c r="AV522" s="5"/>
      <c r="AX522" s="5"/>
      <c r="BB522" s="6"/>
      <c r="BC522" s="5"/>
    </row>
    <row r="523" spans="1:55" s="12" customFormat="1" x14ac:dyDescent="0.3">
      <c r="A523"/>
      <c r="C523" s="12" t="s">
        <v>139</v>
      </c>
      <c r="F523" s="68"/>
      <c r="J523" s="13"/>
      <c r="M523" s="13"/>
      <c r="Q523" s="12">
        <f t="shared" ref="Q523:Q537" si="75">P523*G523</f>
        <v>0</v>
      </c>
      <c r="R523" s="13"/>
      <c r="U523" s="13"/>
      <c r="AN523" s="13"/>
      <c r="AO523" s="13"/>
      <c r="AV523" s="13"/>
      <c r="AX523" s="13"/>
      <c r="BB523" s="73"/>
      <c r="BC523" s="13"/>
    </row>
    <row r="524" spans="1:55" s="9" customFormat="1" x14ac:dyDescent="0.3">
      <c r="A524"/>
      <c r="D524" s="9" t="s">
        <v>142</v>
      </c>
      <c r="F524" s="67"/>
      <c r="G524" s="7">
        <f>R58</f>
        <v>7147.9800000000005</v>
      </c>
      <c r="J524" s="11">
        <f>SUM(I525:I530)</f>
        <v>42402.890291191223</v>
      </c>
      <c r="M524" s="11">
        <f>SUM(L525:L530)</f>
        <v>723573.90779284248</v>
      </c>
      <c r="Q524" s="9">
        <f t="shared" si="75"/>
        <v>0</v>
      </c>
      <c r="R524" s="11">
        <f>SUM(Q525:Q530)</f>
        <v>6343.1851383357634</v>
      </c>
      <c r="U524" s="11">
        <f>SUM(T525:T530)</f>
        <v>13277.444491757744</v>
      </c>
      <c r="X524" s="9">
        <f>G524</f>
        <v>7147.9800000000005</v>
      </c>
      <c r="Y524" s="9" t="str">
        <f>$X$83</f>
        <v>ship ferry</v>
      </c>
      <c r="Z524" s="9">
        <f>$F$19</f>
        <v>2000</v>
      </c>
      <c r="AA524" s="9">
        <f>$AA$83</f>
        <v>0.109</v>
      </c>
      <c r="AB524" s="9">
        <f>AA524*Z524*X524/1000</f>
        <v>1558.2596400000002</v>
      </c>
      <c r="AC524" s="9">
        <f>$AD$83</f>
        <v>1.5</v>
      </c>
      <c r="AD524" s="9">
        <f>AC524*Z524*X524/1000</f>
        <v>21443.94</v>
      </c>
      <c r="AF524" s="9" t="s">
        <v>61</v>
      </c>
      <c r="AG524" s="9">
        <f>$G$19</f>
        <v>500</v>
      </c>
      <c r="AH524" s="9">
        <f>$AA$81</f>
        <v>8.9976823999999997E-2</v>
      </c>
      <c r="AI524" s="9">
        <f>AH524*AG524*X524/1000</f>
        <v>321.57626920775999</v>
      </c>
      <c r="AJ524" s="9">
        <f>$AD$81</f>
        <v>1.52</v>
      </c>
      <c r="AK524" s="9">
        <f>AJ524*AG524*X524/1000</f>
        <v>5432.4648000000007</v>
      </c>
      <c r="AN524" s="11">
        <f>AI524+AB524</f>
        <v>1879.8359092077603</v>
      </c>
      <c r="AO524" s="11">
        <f>AD524+AK524</f>
        <v>26876.4048</v>
      </c>
      <c r="AS524" s="9" t="s">
        <v>161</v>
      </c>
      <c r="AT524" s="9">
        <f>$G$21</f>
        <v>200</v>
      </c>
      <c r="AU524" s="9">
        <f>$AA$81</f>
        <v>8.9976823999999997E-2</v>
      </c>
      <c r="AV524" s="11">
        <f>(AU524*AT524*X524)/1000</f>
        <v>128.63050768310401</v>
      </c>
      <c r="AW524" s="9">
        <f>$AD$81</f>
        <v>1.52</v>
      </c>
      <c r="AX524" s="11">
        <f>(AW524*AT524*X524)/1000</f>
        <v>2172.9859200000001</v>
      </c>
      <c r="BB524" s="74">
        <f>AV524+AN524+R524+J524</f>
        <v>50754.541846417851</v>
      </c>
      <c r="BC524" s="11">
        <f>AX524+AO524+U524+M524</f>
        <v>765900.74300460028</v>
      </c>
    </row>
    <row r="525" spans="1:55" x14ac:dyDescent="0.3">
      <c r="E525" t="s">
        <v>141</v>
      </c>
      <c r="F525" s="69"/>
      <c r="G525">
        <f>R50</f>
        <v>2099.52</v>
      </c>
      <c r="H525">
        <f>AA9</f>
        <v>12.7</v>
      </c>
      <c r="I525">
        <f t="shared" ref="I525:I530" si="76">G525*H525</f>
        <v>26663.903999999999</v>
      </c>
      <c r="J525" s="5"/>
      <c r="K525">
        <f>AD9</f>
        <v>149</v>
      </c>
      <c r="L525">
        <f>K525*G525</f>
        <v>312828.48</v>
      </c>
      <c r="M525" s="5"/>
      <c r="P525">
        <f>AI9</f>
        <v>1.1280000000000001E-3</v>
      </c>
      <c r="Q525">
        <f t="shared" si="75"/>
        <v>2.3682585600000001</v>
      </c>
      <c r="R525" s="5"/>
      <c r="S525">
        <f>AL9</f>
        <v>3.1760000000000004E-2</v>
      </c>
      <c r="T525">
        <f t="shared" si="16"/>
        <v>66.680755200000007</v>
      </c>
      <c r="U525" s="5"/>
      <c r="AN525" s="5"/>
      <c r="AO525" s="5"/>
      <c r="AV525" s="5"/>
      <c r="AX525" s="5"/>
      <c r="BB525" s="6"/>
      <c r="BC525" s="5"/>
    </row>
    <row r="526" spans="1:55" x14ac:dyDescent="0.3">
      <c r="E526" t="s">
        <v>127</v>
      </c>
      <c r="F526" s="69"/>
      <c r="G526">
        <f>R51</f>
        <v>2109.9850597805334</v>
      </c>
      <c r="H526">
        <f>AA53</f>
        <v>2.46</v>
      </c>
      <c r="I526">
        <f t="shared" si="76"/>
        <v>5190.5632470601122</v>
      </c>
      <c r="J526" s="5"/>
      <c r="K526">
        <f>AD53</f>
        <v>82.9</v>
      </c>
      <c r="L526">
        <f t="shared" ref="L526" si="77">K526*G526</f>
        <v>174917.76145580623</v>
      </c>
      <c r="M526" s="5"/>
      <c r="P526">
        <f>AI53</f>
        <v>1.554</v>
      </c>
      <c r="Q526">
        <f t="shared" si="75"/>
        <v>3278.9167828989489</v>
      </c>
      <c r="R526" s="5"/>
      <c r="S526">
        <f>AL53</f>
        <v>0.189</v>
      </c>
      <c r="T526">
        <f t="shared" si="16"/>
        <v>398.78717629852082</v>
      </c>
      <c r="U526" s="5"/>
      <c r="AN526" s="5"/>
      <c r="AO526" s="5"/>
      <c r="AV526" s="5"/>
      <c r="AX526" s="5"/>
      <c r="BB526" s="6"/>
      <c r="BC526" s="5"/>
    </row>
    <row r="527" spans="1:55" x14ac:dyDescent="0.3">
      <c r="E527" t="s">
        <v>129</v>
      </c>
      <c r="F527" s="69"/>
      <c r="G527">
        <f>R53</f>
        <v>2560.7233402194665</v>
      </c>
      <c r="H527">
        <f>AA52</f>
        <v>2.42</v>
      </c>
      <c r="I527">
        <f t="shared" si="76"/>
        <v>6196.9504833311084</v>
      </c>
      <c r="J527" s="5"/>
      <c r="K527">
        <f>AD52</f>
        <v>59.4</v>
      </c>
      <c r="L527">
        <f>K527*G527</f>
        <v>152106.96640903631</v>
      </c>
      <c r="M527" s="5"/>
      <c r="P527">
        <f>AI52</f>
        <v>1.1884000000000001</v>
      </c>
      <c r="Q527">
        <f t="shared" si="75"/>
        <v>3043.1636175168142</v>
      </c>
      <c r="R527" s="5"/>
      <c r="S527">
        <f>AL52</f>
        <v>4.9995000000000003</v>
      </c>
      <c r="T527">
        <f t="shared" si="16"/>
        <v>12802.336339427224</v>
      </c>
      <c r="U527" s="5"/>
      <c r="AN527" s="5"/>
      <c r="AO527" s="5"/>
      <c r="AV527" s="5"/>
      <c r="AX527" s="5"/>
      <c r="BB527" s="6"/>
      <c r="BC527" s="5"/>
    </row>
    <row r="528" spans="1:55" x14ac:dyDescent="0.3">
      <c r="E528" t="s">
        <v>113</v>
      </c>
      <c r="F528" s="69"/>
      <c r="G528">
        <f>R52</f>
        <v>377.75160000000005</v>
      </c>
      <c r="H528" s="14">
        <f>H535</f>
        <v>4.63</v>
      </c>
      <c r="I528">
        <f t="shared" si="76"/>
        <v>1748.9899080000002</v>
      </c>
      <c r="J528" s="5"/>
      <c r="K528" s="14">
        <f>K535</f>
        <v>69.3</v>
      </c>
      <c r="L528">
        <f>K528*G528</f>
        <v>26178.185880000001</v>
      </c>
      <c r="M528" s="5"/>
      <c r="P528">
        <f>P535</f>
        <v>4.9599999999999998E-2</v>
      </c>
      <c r="Q528">
        <f t="shared" si="75"/>
        <v>18.736479360000001</v>
      </c>
      <c r="R528" s="5"/>
      <c r="S528">
        <f>S535</f>
        <v>2.5520000000000001E-2</v>
      </c>
      <c r="T528">
        <f t="shared" si="16"/>
        <v>9.6402208320000025</v>
      </c>
      <c r="U528" s="5"/>
      <c r="AN528" s="5"/>
      <c r="AO528" s="5"/>
      <c r="AV528" s="5"/>
      <c r="AX528" s="5"/>
      <c r="BB528" s="6"/>
      <c r="BC528" s="5"/>
    </row>
    <row r="529" spans="1:55" x14ac:dyDescent="0.3">
      <c r="E529" s="20" t="s">
        <v>124</v>
      </c>
      <c r="F529" s="69"/>
      <c r="G529">
        <f>R55</f>
        <v>2477.2716</v>
      </c>
      <c r="H529">
        <f>AA21</f>
        <v>0.5</v>
      </c>
      <c r="I529">
        <f t="shared" si="76"/>
        <v>1238.6358</v>
      </c>
      <c r="J529" s="5"/>
      <c r="K529">
        <f>AD21</f>
        <v>9.5399999999999991</v>
      </c>
      <c r="L529">
        <f t="shared" ref="L529:L530" si="78">K529*G529</f>
        <v>23633.171063999998</v>
      </c>
      <c r="M529" s="5"/>
      <c r="Q529">
        <f t="shared" si="75"/>
        <v>0</v>
      </c>
      <c r="R529" s="5"/>
      <c r="T529">
        <f t="shared" si="16"/>
        <v>0</v>
      </c>
      <c r="U529" s="5"/>
      <c r="AN529" s="5"/>
      <c r="AO529" s="5"/>
      <c r="AV529" s="5"/>
      <c r="AX529" s="5"/>
      <c r="BB529" s="6"/>
      <c r="BC529" s="5"/>
    </row>
    <row r="530" spans="1:55" x14ac:dyDescent="0.3">
      <c r="E530" s="20" t="s">
        <v>144</v>
      </c>
      <c r="F530" s="1"/>
      <c r="G530">
        <f>R56</f>
        <v>4670.7084000000004</v>
      </c>
      <c r="H530" s="14">
        <f>AA60</f>
        <v>0.29199999999999998</v>
      </c>
      <c r="I530" s="14">
        <f t="shared" si="76"/>
        <v>1363.8468528000001</v>
      </c>
      <c r="J530" s="5"/>
      <c r="K530" s="14">
        <f>AD60</f>
        <v>7.26</v>
      </c>
      <c r="L530">
        <f t="shared" si="78"/>
        <v>33909.342984000003</v>
      </c>
      <c r="M530" s="5"/>
      <c r="Q530">
        <f t="shared" si="75"/>
        <v>0</v>
      </c>
      <c r="R530" s="5"/>
      <c r="T530">
        <f t="shared" ref="T530:T537" si="79">S530*G530</f>
        <v>0</v>
      </c>
      <c r="U530" s="5"/>
      <c r="AN530" s="5"/>
      <c r="AO530" s="5"/>
      <c r="AV530" s="5"/>
      <c r="AX530" s="5"/>
      <c r="BB530" s="6"/>
      <c r="BC530" s="5"/>
    </row>
    <row r="531" spans="1:55" s="9" customFormat="1" x14ac:dyDescent="0.3">
      <c r="A531"/>
      <c r="D531" s="9" t="s">
        <v>143</v>
      </c>
      <c r="F531" s="67"/>
      <c r="G531" s="7">
        <f>S58</f>
        <v>38431.5</v>
      </c>
      <c r="J531" s="11">
        <f>SUM(I532:I537)</f>
        <v>261361.74285888235</v>
      </c>
      <c r="M531" s="11">
        <f>SUM(L532:L537)</f>
        <v>4124734.379593391</v>
      </c>
      <c r="Q531" s="9">
        <f t="shared" si="75"/>
        <v>0</v>
      </c>
      <c r="R531" s="11">
        <f>SUM(Q532:Q537)</f>
        <v>29707.318410184849</v>
      </c>
      <c r="U531" s="11">
        <f>SUM(T532:T537)</f>
        <v>70028.610823659314</v>
      </c>
      <c r="X531" s="9">
        <f>G531</f>
        <v>38431.5</v>
      </c>
      <c r="Y531" s="9" t="str">
        <f>$X$83</f>
        <v>ship ferry</v>
      </c>
      <c r="Z531" s="9">
        <f>$F$19</f>
        <v>2000</v>
      </c>
      <c r="AA531" s="9">
        <f>$AA$83</f>
        <v>0.109</v>
      </c>
      <c r="AB531" s="9">
        <f>AA531*Z531*X531/1000</f>
        <v>8378.0669999999991</v>
      </c>
      <c r="AC531" s="9">
        <f>$AD$83</f>
        <v>1.5</v>
      </c>
      <c r="AD531" s="9">
        <f>AC531*Z531*X531/1000</f>
        <v>115294.5</v>
      </c>
      <c r="AF531" s="9" t="s">
        <v>61</v>
      </c>
      <c r="AG531" s="9">
        <f>$G$19</f>
        <v>500</v>
      </c>
      <c r="AH531" s="9">
        <f>$AA$81</f>
        <v>8.9976823999999997E-2</v>
      </c>
      <c r="AI531" s="9">
        <f>AH531*AG531*X531/1000</f>
        <v>1728.9721557779999</v>
      </c>
      <c r="AJ531" s="9">
        <f>$AD$81</f>
        <v>1.52</v>
      </c>
      <c r="AK531" s="9">
        <f>AJ531*AG531*X531/1000</f>
        <v>29207.94</v>
      </c>
      <c r="AN531" s="11">
        <f>AI531+AB531</f>
        <v>10107.039155777999</v>
      </c>
      <c r="AO531" s="11">
        <f>AD531+AK531</f>
        <v>144502.44</v>
      </c>
      <c r="AS531" s="9" t="s">
        <v>161</v>
      </c>
      <c r="AT531" s="9">
        <f>$G$21</f>
        <v>200</v>
      </c>
      <c r="AU531" s="9">
        <f>$AA$81</f>
        <v>8.9976823999999997E-2</v>
      </c>
      <c r="AV531" s="11">
        <f>(AU531*AT531*X531)/1000</f>
        <v>691.58886231120005</v>
      </c>
      <c r="AW531" s="9">
        <f>$AD$81</f>
        <v>1.52</v>
      </c>
      <c r="AX531" s="11">
        <f>(AW531*AT531*X531)/1000</f>
        <v>11683.175999999999</v>
      </c>
      <c r="BB531" s="74">
        <f>AV531+AN531+R531+J531</f>
        <v>301867.68928715639</v>
      </c>
      <c r="BC531" s="11">
        <f>AX531+AO531+U531+M531</f>
        <v>4350948.6064170506</v>
      </c>
    </row>
    <row r="532" spans="1:55" x14ac:dyDescent="0.3">
      <c r="E532" t="s">
        <v>141</v>
      </c>
      <c r="F532" s="69"/>
      <c r="G532">
        <f>S50</f>
        <v>14579.999999999998</v>
      </c>
      <c r="H532">
        <f>AA9</f>
        <v>12.7</v>
      </c>
      <c r="I532">
        <f t="shared" ref="I532:I537" si="80">G532*H532</f>
        <v>185165.99999999997</v>
      </c>
      <c r="J532" s="5"/>
      <c r="K532">
        <f>AD9</f>
        <v>149</v>
      </c>
      <c r="L532">
        <f>K532*G532</f>
        <v>2172419.9999999995</v>
      </c>
      <c r="M532" s="5"/>
      <c r="P532">
        <f>AI9</f>
        <v>1.1280000000000001E-3</v>
      </c>
      <c r="Q532">
        <f t="shared" si="75"/>
        <v>16.44624</v>
      </c>
      <c r="R532" s="5"/>
      <c r="S532">
        <f>AL9</f>
        <v>3.1760000000000004E-2</v>
      </c>
      <c r="T532">
        <f t="shared" si="79"/>
        <v>463.06079999999997</v>
      </c>
      <c r="U532" s="5"/>
      <c r="AN532" s="5"/>
      <c r="AO532" s="5"/>
      <c r="AV532" s="5"/>
      <c r="AX532" s="5"/>
      <c r="BB532" s="6"/>
      <c r="BC532" s="5"/>
    </row>
    <row r="533" spans="1:55" x14ac:dyDescent="0.3">
      <c r="E533" t="s">
        <v>127</v>
      </c>
      <c r="F533" s="69"/>
      <c r="G533">
        <f>S51</f>
        <v>8670.9714720591874</v>
      </c>
      <c r="H533">
        <f>AA53</f>
        <v>2.46</v>
      </c>
      <c r="I533">
        <f t="shared" si="80"/>
        <v>21330.589821265599</v>
      </c>
      <c r="J533" s="5"/>
      <c r="K533">
        <f>AD53</f>
        <v>82.9</v>
      </c>
      <c r="L533">
        <f t="shared" ref="L533" si="81">K533*G533</f>
        <v>718823.53503370669</v>
      </c>
      <c r="M533" s="5"/>
      <c r="P533">
        <f>AI53</f>
        <v>1.554</v>
      </c>
      <c r="Q533">
        <f t="shared" si="75"/>
        <v>13474.689667579978</v>
      </c>
      <c r="R533" s="5"/>
      <c r="S533">
        <f>AL53</f>
        <v>0.189</v>
      </c>
      <c r="T533">
        <f t="shared" si="79"/>
        <v>1638.8136082191863</v>
      </c>
      <c r="U533" s="5"/>
      <c r="AN533" s="5"/>
      <c r="AO533" s="5"/>
      <c r="AV533" s="5"/>
      <c r="AX533" s="5"/>
      <c r="BB533" s="6"/>
      <c r="BC533" s="5"/>
    </row>
    <row r="534" spans="1:55" x14ac:dyDescent="0.3">
      <c r="E534" t="s">
        <v>129</v>
      </c>
      <c r="F534" s="69"/>
      <c r="G534">
        <f>S53</f>
        <v>13578.52852794082</v>
      </c>
      <c r="H534">
        <f>AA52</f>
        <v>2.42</v>
      </c>
      <c r="I534">
        <f t="shared" si="80"/>
        <v>32860.039037616785</v>
      </c>
      <c r="J534" s="5"/>
      <c r="K534">
        <f>AD52</f>
        <v>59.4</v>
      </c>
      <c r="L534">
        <f>K534*G534</f>
        <v>806564.59455968463</v>
      </c>
      <c r="M534" s="5"/>
      <c r="P534">
        <f>AI52</f>
        <v>1.1884000000000001</v>
      </c>
      <c r="Q534">
        <f t="shared" si="75"/>
        <v>16136.723302604873</v>
      </c>
      <c r="R534" s="5"/>
      <c r="S534">
        <f>AL52</f>
        <v>4.9995000000000003</v>
      </c>
      <c r="T534">
        <f t="shared" si="79"/>
        <v>67885.853375440129</v>
      </c>
      <c r="U534" s="5"/>
      <c r="AN534" s="5"/>
      <c r="AO534" s="5"/>
      <c r="AV534" s="5"/>
      <c r="AX534" s="5"/>
      <c r="BB534" s="6"/>
      <c r="BC534" s="5"/>
    </row>
    <row r="535" spans="1:55" x14ac:dyDescent="0.3">
      <c r="E535" t="s">
        <v>113</v>
      </c>
      <c r="F535" s="69"/>
      <c r="G535">
        <f>S52</f>
        <v>1602</v>
      </c>
      <c r="H535" s="14">
        <f>AA8</f>
        <v>4.63</v>
      </c>
      <c r="I535">
        <f t="shared" si="80"/>
        <v>7417.26</v>
      </c>
      <c r="J535" s="5"/>
      <c r="K535" s="14">
        <f>AD8</f>
        <v>69.3</v>
      </c>
      <c r="L535">
        <f>K535*G535</f>
        <v>111018.59999999999</v>
      </c>
      <c r="M535" s="5"/>
      <c r="P535">
        <f>AI8</f>
        <v>4.9599999999999998E-2</v>
      </c>
      <c r="Q535">
        <f t="shared" ref="Q535" si="82">P535*G535</f>
        <v>79.459199999999996</v>
      </c>
      <c r="R535" s="5"/>
      <c r="S535">
        <f>AL8</f>
        <v>2.5520000000000001E-2</v>
      </c>
      <c r="T535">
        <f t="shared" ref="T535" si="83">S535*G535</f>
        <v>40.883040000000001</v>
      </c>
      <c r="U535" s="5"/>
      <c r="AN535" s="5"/>
      <c r="AO535" s="5"/>
      <c r="AV535" s="5"/>
      <c r="AX535" s="5"/>
      <c r="BB535" s="6"/>
      <c r="BC535" s="5"/>
    </row>
    <row r="536" spans="1:55" x14ac:dyDescent="0.3">
      <c r="E536" s="20" t="s">
        <v>124</v>
      </c>
      <c r="F536" s="1"/>
      <c r="G536">
        <f>S55</f>
        <v>16181.999999999998</v>
      </c>
      <c r="H536">
        <f>AA21</f>
        <v>0.5</v>
      </c>
      <c r="I536">
        <f t="shared" si="80"/>
        <v>8090.9999999999991</v>
      </c>
      <c r="J536" s="5"/>
      <c r="K536">
        <f>AD21</f>
        <v>9.5399999999999991</v>
      </c>
      <c r="L536">
        <f t="shared" ref="L536:L537" si="84">K536*G536</f>
        <v>154376.27999999997</v>
      </c>
      <c r="M536" s="5"/>
      <c r="Q536">
        <f t="shared" si="75"/>
        <v>0</v>
      </c>
      <c r="R536" s="5"/>
      <c r="T536">
        <f t="shared" si="79"/>
        <v>0</v>
      </c>
      <c r="U536" s="5"/>
      <c r="AN536" s="5"/>
      <c r="AO536" s="5"/>
      <c r="AV536" s="5"/>
      <c r="AX536" s="5"/>
      <c r="BB536" s="6"/>
      <c r="BC536" s="5"/>
    </row>
    <row r="537" spans="1:55" x14ac:dyDescent="0.3">
      <c r="E537" s="20" t="s">
        <v>144</v>
      </c>
      <c r="F537" s="1"/>
      <c r="G537">
        <f>S56</f>
        <v>22249.500000000007</v>
      </c>
      <c r="H537" s="14">
        <f>AA60</f>
        <v>0.29199999999999998</v>
      </c>
      <c r="I537" s="14">
        <f t="shared" si="80"/>
        <v>6496.8540000000021</v>
      </c>
      <c r="J537" s="5"/>
      <c r="K537" s="14">
        <f>AD60</f>
        <v>7.26</v>
      </c>
      <c r="L537">
        <f t="shared" si="84"/>
        <v>161531.37000000005</v>
      </c>
      <c r="M537" s="5"/>
      <c r="Q537">
        <f t="shared" si="75"/>
        <v>0</v>
      </c>
      <c r="R537" s="5"/>
      <c r="T537">
        <f t="shared" si="79"/>
        <v>0</v>
      </c>
      <c r="U537" s="5"/>
      <c r="AN537" s="5"/>
      <c r="AO537" s="5"/>
      <c r="AV537" s="5"/>
      <c r="AX537" s="5"/>
      <c r="BB537" s="6"/>
      <c r="BC537" s="5"/>
    </row>
    <row r="538" spans="1:55" x14ac:dyDescent="0.3">
      <c r="F538" s="1"/>
      <c r="J538" s="5"/>
      <c r="M538" s="5"/>
      <c r="R538" s="5"/>
      <c r="U538" s="5"/>
      <c r="AN538" s="5"/>
      <c r="AO538" s="5"/>
      <c r="AV538" s="5"/>
      <c r="AX538" s="5"/>
      <c r="BB538" s="6"/>
      <c r="BC538" s="5"/>
    </row>
    <row r="539" spans="1:55" x14ac:dyDescent="0.3">
      <c r="F539" s="1"/>
      <c r="J539" s="5"/>
      <c r="M539" s="5"/>
      <c r="R539" s="5"/>
      <c r="U539" s="5"/>
      <c r="AN539" s="5"/>
      <c r="AO539" s="5"/>
      <c r="AV539" s="5"/>
      <c r="AX539" s="5"/>
      <c r="BB539" s="6"/>
      <c r="BC539" s="5"/>
    </row>
    <row r="540" spans="1:55" x14ac:dyDescent="0.3">
      <c r="F540" s="1"/>
      <c r="J540" s="5"/>
      <c r="M540" s="5"/>
      <c r="P540" s="3"/>
      <c r="Q540" s="3"/>
      <c r="R540" s="5"/>
      <c r="S540" s="3"/>
      <c r="U540" s="5"/>
      <c r="AN540" s="5"/>
      <c r="AO540" s="5"/>
      <c r="AV540" s="5"/>
      <c r="AX540" s="5"/>
      <c r="BB540" s="6"/>
      <c r="BC540" s="5"/>
    </row>
    <row r="541" spans="1:55" s="19" customFormat="1" x14ac:dyDescent="0.3">
      <c r="A541"/>
      <c r="I541" s="19" t="s">
        <v>32</v>
      </c>
      <c r="J541" s="21">
        <f>SUM(J295:J540)</f>
        <v>2923915.7427901062</v>
      </c>
      <c r="M541" s="21">
        <f>SUM(M295:M540)</f>
        <v>46299294.710681409</v>
      </c>
      <c r="R541" s="22">
        <f>SUM(R295:R539)</f>
        <v>62728.703114979158</v>
      </c>
      <c r="U541" s="22">
        <f>SUM(U295:U539)</f>
        <v>168120.86055103675</v>
      </c>
      <c r="AN541" s="22">
        <f>SUM(AN295:AN540)</f>
        <v>146740.56971699037</v>
      </c>
      <c r="AO541" s="22">
        <f>SUM(AO295:AO540)</f>
        <v>2101732.434235258</v>
      </c>
      <c r="AV541" s="22">
        <f>SUM(AV295:AV540)</f>
        <v>14952.076292395603</v>
      </c>
      <c r="AX541" s="22">
        <f>SUM(AX295:AX540)</f>
        <v>252588.99963440938</v>
      </c>
      <c r="BA541" s="19">
        <f>SUM(BB295:BB540)</f>
        <v>3148337.0919144712</v>
      </c>
      <c r="BB541" s="75"/>
      <c r="BC541" s="21"/>
    </row>
    <row r="542" spans="1:55" x14ac:dyDescent="0.3">
      <c r="C542">
        <f>(I529+I530)/J524</f>
        <v>6.137512407593216E-2</v>
      </c>
      <c r="J542" s="5"/>
      <c r="M542" s="5"/>
      <c r="BA542">
        <f>AV541+AN541+R541+J541</f>
        <v>3148337.0919144712</v>
      </c>
      <c r="BB542" s="6"/>
      <c r="BC542" s="5"/>
    </row>
    <row r="543" spans="1:55" x14ac:dyDescent="0.3">
      <c r="P543" s="376" t="s">
        <v>47</v>
      </c>
      <c r="Q543" s="376"/>
      <c r="R543" s="376"/>
      <c r="S543" s="376"/>
      <c r="T543" s="376"/>
      <c r="U543" s="376"/>
      <c r="BB543" s="6"/>
      <c r="BC543" s="5"/>
    </row>
    <row r="544" spans="1:55" s="18" customFormat="1" x14ac:dyDescent="0.3">
      <c r="A544"/>
      <c r="B544" s="25" t="s">
        <v>49</v>
      </c>
      <c r="H544" s="377" t="s">
        <v>32</v>
      </c>
      <c r="I544" s="377"/>
      <c r="J544" s="377"/>
      <c r="K544" s="378" t="s">
        <v>162</v>
      </c>
      <c r="L544" s="378"/>
      <c r="M544" s="378"/>
      <c r="P544" s="377" t="s">
        <v>32</v>
      </c>
      <c r="Q544" s="377"/>
      <c r="R544" s="377"/>
      <c r="S544" s="378" t="s">
        <v>162</v>
      </c>
      <c r="T544" s="378"/>
      <c r="U544" s="378"/>
      <c r="BB544" s="76"/>
      <c r="BC544" s="24"/>
    </row>
    <row r="545" spans="1:55" x14ac:dyDescent="0.3">
      <c r="J545" s="5"/>
      <c r="M545" s="5"/>
      <c r="BB545" s="6"/>
      <c r="BC545" s="5"/>
    </row>
    <row r="546" spans="1:55" x14ac:dyDescent="0.3">
      <c r="J546" s="5"/>
      <c r="M546" s="5"/>
      <c r="BB546" s="6"/>
      <c r="BC546" s="5"/>
    </row>
    <row r="547" spans="1:55" x14ac:dyDescent="0.3">
      <c r="J547" s="5"/>
      <c r="M547" s="5"/>
      <c r="BB547" s="6"/>
      <c r="BC547" s="5"/>
    </row>
    <row r="548" spans="1:55" s="9" customFormat="1" x14ac:dyDescent="0.3">
      <c r="A548"/>
      <c r="B548"/>
      <c r="C548" s="9" t="s">
        <v>67</v>
      </c>
      <c r="G548" s="9" t="s">
        <v>92</v>
      </c>
      <c r="H548" s="9" t="s">
        <v>507</v>
      </c>
      <c r="I548" s="9" t="s">
        <v>32</v>
      </c>
      <c r="J548" s="11">
        <f>SUM(I549:I551)</f>
        <v>1813.6480000000001</v>
      </c>
      <c r="K548" s="9" t="s">
        <v>160</v>
      </c>
      <c r="M548" s="11">
        <f>SUM(L549:L551)</f>
        <v>26928.880000000001</v>
      </c>
      <c r="BB548" s="74">
        <f>J548</f>
        <v>1813.6480000000001</v>
      </c>
      <c r="BC548" s="11">
        <f>M548</f>
        <v>26928.880000000001</v>
      </c>
    </row>
    <row r="549" spans="1:55" x14ac:dyDescent="0.3">
      <c r="D549" t="s">
        <v>68</v>
      </c>
      <c r="G549">
        <f>Q61</f>
        <v>3302.4000000000005</v>
      </c>
      <c r="H549">
        <f>AA78</f>
        <v>0.52600000000000002</v>
      </c>
      <c r="I549">
        <f>H549*G549</f>
        <v>1737.0624000000003</v>
      </c>
      <c r="J549" s="5"/>
      <c r="K549">
        <f>AD78</f>
        <v>7.81</v>
      </c>
      <c r="L549">
        <f>K549*G549</f>
        <v>25791.744000000002</v>
      </c>
      <c r="M549" s="5"/>
      <c r="BB549" s="6"/>
      <c r="BC549" s="5"/>
    </row>
    <row r="550" spans="1:55" x14ac:dyDescent="0.3">
      <c r="D550" t="s">
        <v>27</v>
      </c>
      <c r="G550">
        <f>O22</f>
        <v>145.6</v>
      </c>
      <c r="H550">
        <f>AA78</f>
        <v>0.52600000000000002</v>
      </c>
      <c r="I550">
        <f>H550*G550</f>
        <v>76.585599999999999</v>
      </c>
      <c r="J550" s="5"/>
      <c r="K550">
        <f>AD78</f>
        <v>7.81</v>
      </c>
      <c r="L550">
        <f t="shared" ref="L550:L551" si="85">K550*G550</f>
        <v>1137.136</v>
      </c>
      <c r="M550" s="5"/>
      <c r="BB550" s="6"/>
      <c r="BC550" s="5"/>
    </row>
    <row r="551" spans="1:55" x14ac:dyDescent="0.3">
      <c r="J551" s="5"/>
      <c r="L551">
        <f t="shared" si="85"/>
        <v>0</v>
      </c>
      <c r="M551" s="5"/>
      <c r="BB551" s="6"/>
      <c r="BC551" s="5"/>
    </row>
    <row r="552" spans="1:55" s="9" customFormat="1" x14ac:dyDescent="0.3">
      <c r="A552"/>
      <c r="B552"/>
      <c r="C552" s="9" t="s">
        <v>169</v>
      </c>
      <c r="G552" s="9" t="s">
        <v>93</v>
      </c>
      <c r="H552" s="9" t="s">
        <v>455</v>
      </c>
      <c r="I552" s="9" t="s">
        <v>32</v>
      </c>
      <c r="J552" s="11">
        <f>SUM(I553:I555)</f>
        <v>1800.384</v>
      </c>
      <c r="K552" s="9" t="s">
        <v>160</v>
      </c>
      <c r="M552" s="11">
        <f>SUM(L553:L555)</f>
        <v>26856.468729281776</v>
      </c>
      <c r="BB552" s="74">
        <f>J552</f>
        <v>1800.384</v>
      </c>
      <c r="BC552" s="11">
        <f>M552</f>
        <v>26856.468729281776</v>
      </c>
    </row>
    <row r="553" spans="1:55" x14ac:dyDescent="0.3">
      <c r="D553" t="s">
        <v>69</v>
      </c>
      <c r="E553" t="s">
        <v>70</v>
      </c>
      <c r="G553">
        <f>F28</f>
        <v>20</v>
      </c>
      <c r="H553">
        <f>AA79</f>
        <v>90</v>
      </c>
      <c r="I553">
        <f>H553*G553</f>
        <v>1800</v>
      </c>
      <c r="J553" s="5"/>
      <c r="K553">
        <f>AD79</f>
        <v>1342.5414364640887</v>
      </c>
      <c r="L553">
        <f>K553*G553</f>
        <v>26850.828729281777</v>
      </c>
      <c r="M553" s="5"/>
      <c r="BB553" s="6"/>
      <c r="BC553" s="5"/>
    </row>
    <row r="554" spans="1:55" x14ac:dyDescent="0.3">
      <c r="D554" t="s">
        <v>21</v>
      </c>
      <c r="E554" t="s">
        <v>70</v>
      </c>
      <c r="G554">
        <f>F29</f>
        <v>20</v>
      </c>
      <c r="H554">
        <f>AA80</f>
        <v>1.9199999999999998E-2</v>
      </c>
      <c r="I554">
        <f>H554*G554</f>
        <v>0.38399999999999995</v>
      </c>
      <c r="J554" s="5"/>
      <c r="K554">
        <f>AD80</f>
        <v>0.28199999999999997</v>
      </c>
      <c r="L554">
        <f t="shared" ref="L554:L555" si="86">K554*G554</f>
        <v>5.64</v>
      </c>
      <c r="M554" s="5"/>
      <c r="BB554" s="6"/>
      <c r="BC554" s="5"/>
    </row>
    <row r="555" spans="1:55" x14ac:dyDescent="0.3">
      <c r="J555" s="5"/>
      <c r="L555">
        <f t="shared" si="86"/>
        <v>0</v>
      </c>
      <c r="M555" s="5"/>
      <c r="BB555" s="6"/>
      <c r="BC555" s="5"/>
    </row>
    <row r="556" spans="1:55" s="9" customFormat="1" x14ac:dyDescent="0.3">
      <c r="A556"/>
      <c r="B556"/>
      <c r="C556" s="9" t="s">
        <v>167</v>
      </c>
      <c r="I556" s="9" t="s">
        <v>32</v>
      </c>
      <c r="J556" s="11">
        <f>I557</f>
        <v>146740.56971699037</v>
      </c>
      <c r="M556" s="11">
        <f>L557</f>
        <v>2101732.434235258</v>
      </c>
      <c r="BB556" s="74">
        <f>J556</f>
        <v>146740.56971699037</v>
      </c>
      <c r="BC556" s="11">
        <f>M556</f>
        <v>2101732.434235258</v>
      </c>
    </row>
    <row r="557" spans="1:55" x14ac:dyDescent="0.3">
      <c r="D557" t="s">
        <v>168</v>
      </c>
      <c r="I557">
        <f>AN541</f>
        <v>146740.56971699037</v>
      </c>
      <c r="J557" s="5"/>
      <c r="L557">
        <f>AO541</f>
        <v>2101732.434235258</v>
      </c>
      <c r="M557" s="5"/>
      <c r="BB557" s="6"/>
      <c r="BC557" s="5"/>
    </row>
    <row r="558" spans="1:55" x14ac:dyDescent="0.3">
      <c r="D558" t="s">
        <v>997</v>
      </c>
      <c r="J558" s="5"/>
      <c r="M558" s="5"/>
      <c r="BB558" s="6"/>
      <c r="BC558" s="5"/>
    </row>
    <row r="559" spans="1:55" x14ac:dyDescent="0.3">
      <c r="A559" s="23"/>
      <c r="J559" s="5"/>
      <c r="M559" s="5"/>
      <c r="BB559" s="6"/>
      <c r="BC559" s="5"/>
    </row>
    <row r="560" spans="1:55" s="19" customFormat="1" x14ac:dyDescent="0.3">
      <c r="A560" s="23"/>
      <c r="J560" s="21">
        <f>SUM(J545:J559)</f>
        <v>150354.60171699038</v>
      </c>
      <c r="M560" s="21">
        <f>SUM(M545:M559)</f>
        <v>2155517.7829645397</v>
      </c>
      <c r="BB560" s="75"/>
      <c r="BC560" s="21"/>
    </row>
    <row r="561" spans="1:55" x14ac:dyDescent="0.3">
      <c r="A561" s="23"/>
      <c r="P561" s="376" t="s">
        <v>47</v>
      </c>
      <c r="Q561" s="376"/>
      <c r="R561" s="376"/>
      <c r="S561" s="376"/>
      <c r="T561" s="376"/>
      <c r="U561" s="376"/>
      <c r="X561" s="376" t="s">
        <v>43</v>
      </c>
      <c r="Y561" s="376"/>
      <c r="Z561" s="376"/>
      <c r="AA561" s="376"/>
      <c r="AB561" s="376"/>
      <c r="AC561" s="376"/>
      <c r="AD561" s="376"/>
      <c r="AE561" s="376"/>
      <c r="AF561" s="376"/>
      <c r="AG561" s="376"/>
      <c r="AH561" s="376"/>
      <c r="AI561" s="376"/>
      <c r="AJ561" s="376"/>
      <c r="AK561" s="376"/>
      <c r="AL561" s="376"/>
      <c r="AM561" s="376"/>
      <c r="AN561" s="376"/>
      <c r="AO561" s="376"/>
      <c r="AR561" s="376" t="s">
        <v>77</v>
      </c>
      <c r="AS561" s="376"/>
      <c r="AT561" s="376"/>
      <c r="AU561" s="376"/>
      <c r="AV561" s="376"/>
      <c r="AW561" s="376"/>
      <c r="AX561" s="376"/>
      <c r="AY561" s="376"/>
      <c r="BB561" s="6"/>
      <c r="BC561" s="5"/>
    </row>
    <row r="562" spans="1:55" s="18" customFormat="1" x14ac:dyDescent="0.3">
      <c r="A562" s="23"/>
      <c r="B562" s="25" t="s">
        <v>170</v>
      </c>
      <c r="J562" s="24"/>
      <c r="M562" s="24"/>
      <c r="P562" s="377" t="s">
        <v>32</v>
      </c>
      <c r="Q562" s="377"/>
      <c r="R562" s="377"/>
      <c r="S562" s="378" t="s">
        <v>162</v>
      </c>
      <c r="T562" s="378"/>
      <c r="U562" s="378"/>
      <c r="X562" s="381" t="s">
        <v>158</v>
      </c>
      <c r="Y562" s="381"/>
      <c r="Z562" s="381"/>
      <c r="AA562" s="381"/>
      <c r="AB562" s="381"/>
      <c r="AC562" s="381"/>
      <c r="AD562" s="381"/>
      <c r="AE562" s="381" t="s">
        <v>467</v>
      </c>
      <c r="AF562" s="381"/>
      <c r="AG562" s="381"/>
      <c r="AH562" s="381"/>
      <c r="AI562" s="381"/>
      <c r="AJ562" s="381"/>
      <c r="AK562" s="381"/>
      <c r="AL562" s="381"/>
      <c r="AM562" s="381"/>
      <c r="BB562" s="76"/>
      <c r="BC562" s="24"/>
    </row>
    <row r="563" spans="1:55" s="27" customFormat="1" x14ac:dyDescent="0.3">
      <c r="A563"/>
      <c r="B563" s="28" t="s">
        <v>51</v>
      </c>
      <c r="E563" s="27" t="s">
        <v>66</v>
      </c>
      <c r="G563" s="27" t="s">
        <v>65</v>
      </c>
      <c r="H563" s="377" t="s">
        <v>32</v>
      </c>
      <c r="I563" s="377"/>
      <c r="J563" s="377"/>
      <c r="K563" s="378" t="s">
        <v>162</v>
      </c>
      <c r="L563" s="378"/>
      <c r="M563" s="378"/>
      <c r="P563" s="27" t="s">
        <v>160</v>
      </c>
      <c r="Q563" s="27" t="s">
        <v>32</v>
      </c>
      <c r="R563" s="30" t="s">
        <v>32</v>
      </c>
      <c r="S563" s="27" t="s">
        <v>160</v>
      </c>
      <c r="U563" s="30" t="s">
        <v>162</v>
      </c>
      <c r="X563" s="28" t="s">
        <v>1</v>
      </c>
      <c r="Y563" s="28" t="s">
        <v>848</v>
      </c>
      <c r="Z563" s="28" t="s">
        <v>156</v>
      </c>
      <c r="AA563" s="71" t="s">
        <v>54</v>
      </c>
      <c r="AB563" s="71" t="s">
        <v>32</v>
      </c>
      <c r="AC563" s="36" t="s">
        <v>54</v>
      </c>
      <c r="AD563" s="36" t="s">
        <v>162</v>
      </c>
      <c r="AE563" s="28"/>
      <c r="AF563" s="28" t="s">
        <v>375</v>
      </c>
      <c r="AG563" s="28" t="s">
        <v>2102</v>
      </c>
      <c r="AH563" s="71" t="s">
        <v>54</v>
      </c>
      <c r="AI563" s="71" t="s">
        <v>32</v>
      </c>
      <c r="AJ563" s="36" t="s">
        <v>54</v>
      </c>
      <c r="AK563" s="36" t="s">
        <v>162</v>
      </c>
      <c r="AL563" s="71" t="s">
        <v>32</v>
      </c>
      <c r="AM563" s="36" t="s">
        <v>162</v>
      </c>
      <c r="AN563" s="369" t="s">
        <v>32</v>
      </c>
      <c r="AO563" s="370" t="s">
        <v>162</v>
      </c>
      <c r="AR563" s="27" t="s">
        <v>214</v>
      </c>
      <c r="AS563" s="27" t="s">
        <v>213</v>
      </c>
      <c r="AT563" s="47" t="s">
        <v>54</v>
      </c>
      <c r="AU563" s="47" t="s">
        <v>32</v>
      </c>
      <c r="AV563" s="48" t="s">
        <v>32</v>
      </c>
      <c r="AW563" s="34" t="s">
        <v>54</v>
      </c>
      <c r="AX563" s="34" t="s">
        <v>162</v>
      </c>
      <c r="AY563" s="49" t="s">
        <v>162</v>
      </c>
      <c r="BB563" s="77"/>
      <c r="BC563" s="29"/>
    </row>
    <row r="564" spans="1:55" x14ac:dyDescent="0.3">
      <c r="B564" s="9"/>
      <c r="C564" s="9"/>
      <c r="D564" s="9" t="s">
        <v>51</v>
      </c>
      <c r="E564" s="9"/>
      <c r="F564" s="9"/>
      <c r="G564" s="9"/>
      <c r="H564" s="9" t="s">
        <v>160</v>
      </c>
      <c r="I564" s="9" t="s">
        <v>32</v>
      </c>
      <c r="J564" s="11">
        <f>SUM(I565:I568)</f>
        <v>348671.12808522565</v>
      </c>
      <c r="K564" s="9" t="s">
        <v>160</v>
      </c>
      <c r="L564" s="9" t="s">
        <v>162</v>
      </c>
      <c r="M564" s="11">
        <f>SUM(L565:L568)</f>
        <v>9598041.4833705444</v>
      </c>
      <c r="P564" s="9"/>
      <c r="Q564" s="9"/>
      <c r="R564" s="11">
        <f>SUM(Q565:Q568)</f>
        <v>40970.246568774361</v>
      </c>
      <c r="S564" s="9"/>
      <c r="T564" s="9"/>
      <c r="U564" s="11">
        <f>SUM(T565:T568)</f>
        <v>6714.3756789151876</v>
      </c>
      <c r="X564" s="9"/>
      <c r="Y564" s="9"/>
      <c r="Z564" s="9"/>
      <c r="AA564" s="9"/>
      <c r="AB564" s="9"/>
      <c r="AF564" s="9"/>
      <c r="AG564" s="9"/>
      <c r="AH564" s="9"/>
      <c r="AI564" s="9"/>
      <c r="AJ564" s="9"/>
      <c r="AN564" s="11">
        <f>SUM(AL565:AL568)</f>
        <v>10317.727834283014</v>
      </c>
      <c r="AO564" s="11">
        <f>SUM(AM565:AM568)</f>
        <v>147514.6998374367</v>
      </c>
      <c r="AR564" s="9"/>
      <c r="AS564" s="9"/>
      <c r="AT564" s="9"/>
      <c r="AU564" s="9"/>
      <c r="AV564" s="11">
        <f>SUM(AU565:AU568)</f>
        <v>706.00554173861019</v>
      </c>
      <c r="AY564" s="11">
        <f>SUM(AX565:AX568)</f>
        <v>5.3656421172134365</v>
      </c>
      <c r="BB564" s="74">
        <f>AV564+AN564+R564+J564</f>
        <v>400665.10803002166</v>
      </c>
      <c r="BC564" s="11">
        <f>AX564+AO564+U564+M564</f>
        <v>9752270.5588868968</v>
      </c>
    </row>
    <row r="565" spans="1:55" x14ac:dyDescent="0.3">
      <c r="D565" t="s">
        <v>208</v>
      </c>
      <c r="E565">
        <f>F38</f>
        <v>19</v>
      </c>
      <c r="F565" t="s">
        <v>64</v>
      </c>
      <c r="G565">
        <f>G295*E565</f>
        <v>23561.079545454548</v>
      </c>
      <c r="I565">
        <f>E565*J295</f>
        <v>219442.80569318184</v>
      </c>
      <c r="J565" s="5"/>
      <c r="L565">
        <f>E565*M295</f>
        <v>7102435.5946022728</v>
      </c>
      <c r="M565" s="5"/>
      <c r="P565">
        <f>0.88*P296+0.12*P297</f>
        <v>1.4358</v>
      </c>
      <c r="Q565">
        <f>P565*G565</f>
        <v>33828.998011363641</v>
      </c>
      <c r="R565" s="5"/>
      <c r="S565">
        <f>0.88*S296+0.12*S297</f>
        <v>0.21554000000000001</v>
      </c>
      <c r="T565">
        <f>S565*G565</f>
        <v>5078.3550852272738</v>
      </c>
      <c r="U565" s="5"/>
      <c r="X565">
        <f>G565</f>
        <v>23561.079545454548</v>
      </c>
      <c r="Y565" t="s">
        <v>60</v>
      </c>
      <c r="Z565">
        <f>F20</f>
        <v>2000</v>
      </c>
      <c r="AA565" s="9">
        <f>$AA$83</f>
        <v>0.109</v>
      </c>
      <c r="AB565">
        <f>AA565*Z565*X565/1000</f>
        <v>5136.3153409090919</v>
      </c>
      <c r="AC565" s="9">
        <f>$AD$83</f>
        <v>1.5</v>
      </c>
      <c r="AD565" s="9">
        <f>AC565*Z565*X565/1000</f>
        <v>70683.238636363647</v>
      </c>
      <c r="AF565" s="23" t="s">
        <v>61</v>
      </c>
      <c r="AG565">
        <f>G20</f>
        <v>500</v>
      </c>
      <c r="AH565" s="9">
        <f>$AA$81</f>
        <v>8.9976823999999997E-2</v>
      </c>
      <c r="AI565">
        <f>AH565*AG565*X565/1000</f>
        <v>1059.9755537556819</v>
      </c>
      <c r="AJ565" s="9">
        <f>$AD$81</f>
        <v>1.52</v>
      </c>
      <c r="AK565" s="9">
        <f>AJ565*AG565*X565/1000</f>
        <v>17906.420454545456</v>
      </c>
      <c r="AL565">
        <f>AI565+AB565</f>
        <v>6196.290894664774</v>
      </c>
      <c r="AM565">
        <f>AK565+AD565</f>
        <v>88589.659090909103</v>
      </c>
      <c r="AN565" s="5"/>
      <c r="AO565" s="5"/>
      <c r="AR565" t="s">
        <v>61</v>
      </c>
      <c r="AS565">
        <f>G24</f>
        <v>200</v>
      </c>
      <c r="AT565">
        <f>$AA$81</f>
        <v>8.9976823999999997E-2</v>
      </c>
      <c r="AU565">
        <f>(AT565*AS565*X565)/1000</f>
        <v>423.99022150227279</v>
      </c>
      <c r="AV565" s="5"/>
      <c r="AW565" s="9">
        <f>$AD$81</f>
        <v>1.52</v>
      </c>
      <c r="AX565" s="9">
        <f>(AW565*AT565*X565)/1000</f>
        <v>3.2223256834172731</v>
      </c>
      <c r="AY565" s="5"/>
      <c r="BB565" s="6">
        <f>AU565+AL565+Q565+I565</f>
        <v>259892.08482071254</v>
      </c>
      <c r="BC565" s="5">
        <f>L565+T565+AM565+AX565</f>
        <v>7196106.8311040932</v>
      </c>
    </row>
    <row r="566" spans="1:55" x14ac:dyDescent="0.3">
      <c r="D566" t="s">
        <v>207</v>
      </c>
      <c r="E566">
        <f>F39</f>
        <v>2</v>
      </c>
      <c r="F566" t="s">
        <v>64</v>
      </c>
      <c r="G566">
        <f>E566*G300</f>
        <v>3895.7533900339345</v>
      </c>
      <c r="I566">
        <f>E566*J300</f>
        <v>36284.205592043822</v>
      </c>
      <c r="J566" s="5"/>
      <c r="L566">
        <f>E566*M300</f>
        <v>1174366.2887682714</v>
      </c>
      <c r="M566" s="5"/>
      <c r="P566">
        <f>P565</f>
        <v>1.4358</v>
      </c>
      <c r="Q566">
        <f>P566*G566</f>
        <v>5593.5227174107231</v>
      </c>
      <c r="R566" s="5"/>
      <c r="S566">
        <f>S565</f>
        <v>0.21554000000000001</v>
      </c>
      <c r="T566">
        <f t="shared" ref="T566" si="87">S566*G566</f>
        <v>839.69068568791431</v>
      </c>
      <c r="U566" s="5"/>
      <c r="X566">
        <f>G566</f>
        <v>3895.7533900339345</v>
      </c>
      <c r="Y566" t="s">
        <v>60</v>
      </c>
      <c r="Z566">
        <f>F20</f>
        <v>2000</v>
      </c>
      <c r="AA566" s="9">
        <f>$AA$83</f>
        <v>0.109</v>
      </c>
      <c r="AB566">
        <f>AA566*Z566*X566/1000</f>
        <v>849.2742390273977</v>
      </c>
      <c r="AC566" s="9">
        <f>$AD$83</f>
        <v>1.5</v>
      </c>
      <c r="AD566" s="9">
        <f>AC566*Z566*X566/1000</f>
        <v>11687.260170101803</v>
      </c>
      <c r="AF566" s="23" t="s">
        <v>61</v>
      </c>
      <c r="AG566">
        <f>G20</f>
        <v>500</v>
      </c>
      <c r="AH566" s="9">
        <f>$AA$81</f>
        <v>8.9976823999999997E-2</v>
      </c>
      <c r="AI566">
        <f>AH566*AG566*X566/1000</f>
        <v>175.26375856124332</v>
      </c>
      <c r="AJ566" s="9">
        <f>$AD$81</f>
        <v>1.52</v>
      </c>
      <c r="AK566" s="9">
        <f>AJ566*AG566*X566/1000</f>
        <v>2960.7725764257902</v>
      </c>
      <c r="AL566">
        <f>AI566+AB566</f>
        <v>1024.537997588641</v>
      </c>
      <c r="AM566">
        <f t="shared" ref="AM566:AM567" si="88">AK566+AD566</f>
        <v>14648.032746527593</v>
      </c>
      <c r="AN566" s="5"/>
      <c r="AO566" s="5"/>
      <c r="AR566" t="s">
        <v>61</v>
      </c>
      <c r="AS566">
        <f>G24</f>
        <v>200</v>
      </c>
      <c r="AT566">
        <f>$AA$81</f>
        <v>8.9976823999999997E-2</v>
      </c>
      <c r="AU566">
        <f>(AT566*AS566*X566)/1000</f>
        <v>70.105503424497343</v>
      </c>
      <c r="AV566" s="5"/>
      <c r="AW566" s="9">
        <f>$AD$81</f>
        <v>1.52</v>
      </c>
      <c r="AX566" s="9">
        <f>(AW566*AT566*X566)/1000</f>
        <v>0.53280182602617965</v>
      </c>
      <c r="AY566" s="5"/>
      <c r="BB566" s="6">
        <f t="shared" ref="BB566:BB567" si="89">AU566+AL566+Q566+I566</f>
        <v>42972.371810467681</v>
      </c>
      <c r="BC566" s="5">
        <f>L566+T566+AM566+AX566</f>
        <v>1189854.5450023129</v>
      </c>
    </row>
    <row r="567" spans="1:55" x14ac:dyDescent="0.3">
      <c r="B567">
        <v>1</v>
      </c>
      <c r="C567" t="s">
        <v>1633</v>
      </c>
      <c r="D567" t="s">
        <v>42</v>
      </c>
      <c r="E567">
        <f>F40</f>
        <v>3</v>
      </c>
      <c r="F567" t="s">
        <v>1634</v>
      </c>
      <c r="G567">
        <f>E567*F187+B567*F188</f>
        <v>3296.88</v>
      </c>
      <c r="H567" s="14">
        <f>AA46</f>
        <v>7.72</v>
      </c>
      <c r="I567">
        <f>H567*G567</f>
        <v>25451.9136</v>
      </c>
      <c r="J567" s="5"/>
      <c r="K567" s="14">
        <f>AD46</f>
        <v>123</v>
      </c>
      <c r="L567">
        <f>K567*G567</f>
        <v>405516.24</v>
      </c>
      <c r="M567" s="5"/>
      <c r="P567" s="14">
        <f>AI46</f>
        <v>0.31</v>
      </c>
      <c r="Q567">
        <f>P567*G567</f>
        <v>1022.0328000000001</v>
      </c>
      <c r="R567" s="5"/>
      <c r="S567" s="14">
        <f>AL46</f>
        <v>0.1595</v>
      </c>
      <c r="T567">
        <f>S567*G567</f>
        <v>525.85235999999998</v>
      </c>
      <c r="U567" s="5"/>
      <c r="X567">
        <f>G567</f>
        <v>3296.88</v>
      </c>
      <c r="Y567" t="s">
        <v>60</v>
      </c>
      <c r="Z567">
        <f>F20</f>
        <v>2000</v>
      </c>
      <c r="AA567" s="9">
        <f>$AA$83</f>
        <v>0.109</v>
      </c>
      <c r="AB567">
        <f>AA567*Z567*X567/1000</f>
        <v>718.71983999999998</v>
      </c>
      <c r="AC567" s="9">
        <f>$AD$83</f>
        <v>1.5</v>
      </c>
      <c r="AD567" s="9">
        <f>AC567*Z567*X567/1000</f>
        <v>9890.64</v>
      </c>
      <c r="AF567" s="23" t="s">
        <v>61</v>
      </c>
      <c r="AG567">
        <f>G20</f>
        <v>500</v>
      </c>
      <c r="AH567" s="9">
        <f>$AA$81</f>
        <v>8.9976823999999997E-2</v>
      </c>
      <c r="AI567">
        <f>AH567*AG567*X567/1000</f>
        <v>148.32139575455997</v>
      </c>
      <c r="AJ567" s="9">
        <f>$AD$81</f>
        <v>1.52</v>
      </c>
      <c r="AK567" s="9">
        <f>AJ567*AG567*X567/1000</f>
        <v>2505.6288000000004</v>
      </c>
      <c r="AL567">
        <f>AI567+AB567</f>
        <v>867.04123575455992</v>
      </c>
      <c r="AM567">
        <f t="shared" si="88"/>
        <v>12396.2688</v>
      </c>
      <c r="AN567" s="5"/>
      <c r="AO567" s="5"/>
      <c r="AR567" t="s">
        <v>61</v>
      </c>
      <c r="AS567">
        <f>G24</f>
        <v>200</v>
      </c>
      <c r="AT567">
        <f>$AA$81</f>
        <v>8.9976823999999997E-2</v>
      </c>
      <c r="AU567">
        <f>(AT567*AS567*X567)/1000</f>
        <v>59.328558301824003</v>
      </c>
      <c r="AV567" s="5"/>
      <c r="AW567" s="9">
        <f>$AD$81</f>
        <v>1.52</v>
      </c>
      <c r="AX567" s="9">
        <f>(AW567*AT567*X567)/1000</f>
        <v>0.45089704309386242</v>
      </c>
      <c r="AY567" s="5"/>
      <c r="BB567" s="6">
        <f t="shared" si="89"/>
        <v>27400.316194056384</v>
      </c>
      <c r="BC567" s="5">
        <f>L567+T567+AM567+AX567</f>
        <v>418438.81205704313</v>
      </c>
    </row>
    <row r="568" spans="1:55" x14ac:dyDescent="0.3">
      <c r="D568" t="s">
        <v>1490</v>
      </c>
      <c r="E568">
        <f>F41</f>
        <v>5</v>
      </c>
      <c r="G568">
        <f>E568*F186</f>
        <v>8478.92</v>
      </c>
      <c r="H568" s="14">
        <f>AA43</f>
        <v>7.96</v>
      </c>
      <c r="I568">
        <f>H568*G568</f>
        <v>67492.203200000004</v>
      </c>
      <c r="J568" s="5"/>
      <c r="K568" s="14">
        <f>AD43</f>
        <v>108</v>
      </c>
      <c r="L568">
        <f>K568*G568</f>
        <v>915723.36</v>
      </c>
      <c r="M568" s="5"/>
      <c r="P568" s="14">
        <f>AI43</f>
        <v>6.2E-2</v>
      </c>
      <c r="Q568">
        <f>P568*G568</f>
        <v>525.69304</v>
      </c>
      <c r="R568" s="5"/>
      <c r="S568" s="14">
        <f>AL43</f>
        <v>3.1900000000000005E-2</v>
      </c>
      <c r="T568">
        <f>S568*G568</f>
        <v>270.47754800000007</v>
      </c>
      <c r="U568" s="5"/>
      <c r="X568">
        <f>G568</f>
        <v>8478.92</v>
      </c>
      <c r="Y568" t="s">
        <v>60</v>
      </c>
      <c r="Z568">
        <f>F20</f>
        <v>2000</v>
      </c>
      <c r="AA568" s="9">
        <f>$AA$83</f>
        <v>0.109</v>
      </c>
      <c r="AB568">
        <f>AA568*Z568*X568/1000</f>
        <v>1848.4045599999999</v>
      </c>
      <c r="AC568" s="9">
        <f>$AD$83</f>
        <v>1.5</v>
      </c>
      <c r="AD568" s="9">
        <f>AC568*Z568*X568/1000</f>
        <v>25436.76</v>
      </c>
      <c r="AF568" s="23" t="s">
        <v>61</v>
      </c>
      <c r="AG568">
        <f>G20</f>
        <v>500</v>
      </c>
      <c r="AH568" s="9">
        <f>$AA$81</f>
        <v>8.9976823999999997E-2</v>
      </c>
      <c r="AI568">
        <f>AH568*AG568*X568/1000</f>
        <v>381.45314627504001</v>
      </c>
      <c r="AJ568" s="9">
        <f>$AD$81</f>
        <v>1.52</v>
      </c>
      <c r="AK568" s="9">
        <f>AJ568*AG568*X568/1000</f>
        <v>6443.9791999999998</v>
      </c>
      <c r="AL568">
        <f>AI568+AB568</f>
        <v>2229.8577062750401</v>
      </c>
      <c r="AM568">
        <f t="shared" ref="AM568" si="90">AK568+AD568</f>
        <v>31880.739199999996</v>
      </c>
      <c r="AN568" s="5"/>
      <c r="AO568" s="5"/>
      <c r="AR568" t="s">
        <v>61</v>
      </c>
      <c r="AS568">
        <f>G24</f>
        <v>200</v>
      </c>
      <c r="AT568">
        <f>$AA$81</f>
        <v>8.9976823999999997E-2</v>
      </c>
      <c r="AU568">
        <f>(AT568*AS568*X568)/1000</f>
        <v>152.58125851001603</v>
      </c>
      <c r="AV568" s="5"/>
      <c r="AW568" s="9">
        <f>$AD$81</f>
        <v>1.52</v>
      </c>
      <c r="AX568" s="9">
        <f>(AW568*AT568*X568)/1000</f>
        <v>1.1596175646761215</v>
      </c>
      <c r="AY568" s="5"/>
      <c r="BB568" s="6">
        <f t="shared" ref="BB568" si="91">AU568+AL568+Q568+I568</f>
        <v>70400.335204785064</v>
      </c>
      <c r="BC568" s="5">
        <f>L568+T568+AM568+AX568</f>
        <v>947875.73636556463</v>
      </c>
    </row>
    <row r="569" spans="1:55" x14ac:dyDescent="0.3">
      <c r="E569" s="20"/>
      <c r="J569" s="5"/>
      <c r="M569" s="5"/>
      <c r="R569" s="5"/>
      <c r="U569" s="5"/>
      <c r="AN569" s="5"/>
      <c r="AO569" s="5"/>
      <c r="AV569" s="5"/>
      <c r="AY569" s="5"/>
      <c r="BB569" s="6"/>
      <c r="BC569" s="5"/>
    </row>
    <row r="570" spans="1:55" x14ac:dyDescent="0.3">
      <c r="E570" s="20"/>
      <c r="J570" s="5"/>
      <c r="M570" s="5"/>
      <c r="R570" s="5"/>
      <c r="U570" s="5"/>
      <c r="AD570" s="368" t="s">
        <v>2103</v>
      </c>
      <c r="AE570" s="368"/>
      <c r="AF570" s="368"/>
      <c r="AG570" s="368"/>
      <c r="AH570" s="368"/>
      <c r="AI570" s="368"/>
      <c r="AJ570" s="368"/>
      <c r="AN570" s="5"/>
      <c r="AO570" s="5"/>
      <c r="AV570" s="5"/>
      <c r="AY570" s="5"/>
      <c r="BB570" s="6"/>
      <c r="BC570" s="5"/>
    </row>
    <row r="571" spans="1:55" x14ac:dyDescent="0.3">
      <c r="J571" s="5"/>
      <c r="M571" s="5"/>
      <c r="R571" s="5"/>
      <c r="U571" s="5"/>
      <c r="AE571" s="368" t="s">
        <v>2101</v>
      </c>
      <c r="AF571" s="368"/>
      <c r="AG571" s="368"/>
      <c r="AH571" s="368"/>
      <c r="AN571" s="5"/>
      <c r="AO571" s="5"/>
      <c r="AV571" s="5"/>
      <c r="AY571" s="5"/>
      <c r="BB571" s="6"/>
      <c r="BC571" s="5"/>
    </row>
    <row r="572" spans="1:55" s="27" customFormat="1" x14ac:dyDescent="0.3">
      <c r="A572"/>
      <c r="B572" s="28" t="s">
        <v>172</v>
      </c>
      <c r="J572" s="29">
        <f>SUM(I573:I576)</f>
        <v>56032.227690923013</v>
      </c>
      <c r="M572" s="29">
        <f>SUM(L573:L576)</f>
        <v>284861.89983743674</v>
      </c>
      <c r="R572" s="29"/>
      <c r="U572" s="29"/>
      <c r="AA572" s="47"/>
      <c r="AB572" s="47"/>
      <c r="AC572" s="34"/>
      <c r="AD572" s="34"/>
      <c r="AH572" s="47"/>
      <c r="AI572" s="47"/>
      <c r="AJ572" s="34"/>
      <c r="AK572" s="34"/>
      <c r="AL572" s="47"/>
      <c r="AM572" s="34"/>
      <c r="AN572" s="50">
        <f>SUM(AL573:AL576)</f>
        <v>45682.108200000002</v>
      </c>
      <c r="AO572" s="35">
        <f>SUM(AM573:AM576)</f>
        <v>136800</v>
      </c>
      <c r="AT572" s="47"/>
      <c r="AU572" s="47"/>
      <c r="AV572" s="50"/>
      <c r="AW572" s="34"/>
      <c r="AX572" s="34"/>
      <c r="AY572" s="35"/>
      <c r="BB572" s="74">
        <f>AV572+AN572+R572+J572</f>
        <v>101714.33589092302</v>
      </c>
      <c r="BC572" s="11">
        <f>AX572+AO572+U572+M572</f>
        <v>421661.89983743674</v>
      </c>
    </row>
    <row r="573" spans="1:55" x14ac:dyDescent="0.3">
      <c r="D573" t="s">
        <v>173</v>
      </c>
      <c r="I573">
        <f>AN564</f>
        <v>10317.727834283014</v>
      </c>
      <c r="J573" s="5"/>
      <c r="L573">
        <f>AO564</f>
        <v>147514.6998374367</v>
      </c>
      <c r="M573" s="5"/>
      <c r="R573" s="5"/>
      <c r="U573" s="5"/>
      <c r="AN573" s="5"/>
      <c r="AO573" s="5"/>
      <c r="AV573" s="5"/>
      <c r="AY573" s="5"/>
      <c r="BB573" s="6">
        <f>I573</f>
        <v>10317.727834283014</v>
      </c>
      <c r="BC573" s="5">
        <f>L573</f>
        <v>147514.6998374367</v>
      </c>
    </row>
    <row r="574" spans="1:55" x14ac:dyDescent="0.3">
      <c r="D574" t="s">
        <v>174</v>
      </c>
      <c r="I574">
        <f>AN577</f>
        <v>32.391656640000001</v>
      </c>
      <c r="J574" s="5"/>
      <c r="L574">
        <f>AO577</f>
        <v>547.20000000000005</v>
      </c>
      <c r="M574" s="5"/>
      <c r="R574" s="5"/>
      <c r="U574" s="5"/>
      <c r="AN574" s="5"/>
      <c r="AO574" s="5"/>
      <c r="AV574" s="5"/>
      <c r="AY574" s="5"/>
      <c r="BB574" s="6">
        <f>I574</f>
        <v>32.391656640000001</v>
      </c>
      <c r="BC574" s="5">
        <f>L574</f>
        <v>547.20000000000005</v>
      </c>
    </row>
    <row r="575" spans="1:55" x14ac:dyDescent="0.3">
      <c r="D575" t="s">
        <v>180</v>
      </c>
      <c r="E575">
        <f>F50</f>
        <v>120</v>
      </c>
      <c r="F575" t="s">
        <v>64</v>
      </c>
      <c r="G575">
        <f>F46*E575</f>
        <v>900000</v>
      </c>
      <c r="H575" t="s">
        <v>181</v>
      </c>
      <c r="I575">
        <f>AN572</f>
        <v>45682.108200000002</v>
      </c>
      <c r="J575" s="5"/>
      <c r="L575">
        <f>AO572</f>
        <v>136800</v>
      </c>
      <c r="M575" s="5"/>
      <c r="R575" s="5"/>
      <c r="U575" s="5"/>
      <c r="X575">
        <f>G575</f>
        <v>900000</v>
      </c>
      <c r="Y575" t="s">
        <v>60</v>
      </c>
      <c r="Z575">
        <v>0</v>
      </c>
      <c r="AA575">
        <f>AA83</f>
        <v>0.109</v>
      </c>
      <c r="AB575">
        <f>AA575*Z575*G575/1000</f>
        <v>0</v>
      </c>
      <c r="AC575" s="9">
        <f>$AD$83</f>
        <v>1.5</v>
      </c>
      <c r="AD575" s="9">
        <f>AC575*Z575*X575/1000</f>
        <v>0</v>
      </c>
      <c r="AF575" t="s">
        <v>62</v>
      </c>
      <c r="AG575">
        <f>F51</f>
        <v>100</v>
      </c>
      <c r="AH575">
        <f>AA82</f>
        <v>0.50757898000000001</v>
      </c>
      <c r="AI575">
        <f>AH575*AG575*X575/1000</f>
        <v>45682.108200000002</v>
      </c>
      <c r="AJ575" s="9">
        <f>$AD$81</f>
        <v>1.52</v>
      </c>
      <c r="AK575" s="9">
        <f>AJ575*AG575*X575/1000</f>
        <v>136800</v>
      </c>
      <c r="AL575">
        <f>AI575+AB575</f>
        <v>45682.108200000002</v>
      </c>
      <c r="AM575">
        <f>AK575+AD575</f>
        <v>136800</v>
      </c>
      <c r="AN575" s="5"/>
      <c r="AO575" s="5"/>
      <c r="AV575" s="5"/>
      <c r="AY575" s="5"/>
      <c r="BB575" s="6">
        <f>I575</f>
        <v>45682.108200000002</v>
      </c>
      <c r="BC575" s="5">
        <f>L575</f>
        <v>136800</v>
      </c>
    </row>
    <row r="576" spans="1:55" x14ac:dyDescent="0.3">
      <c r="J576" s="5"/>
      <c r="M576" s="5"/>
      <c r="R576" s="5"/>
      <c r="U576" s="5"/>
      <c r="AN576" s="5"/>
      <c r="AO576" s="5"/>
      <c r="AV576" s="5"/>
      <c r="AY576" s="5"/>
      <c r="BB576" s="6"/>
      <c r="BC576" s="5"/>
    </row>
    <row r="577" spans="1:55" s="27" customFormat="1" x14ac:dyDescent="0.3">
      <c r="A577"/>
      <c r="B577" s="28" t="s">
        <v>171</v>
      </c>
      <c r="G577" s="27" t="s">
        <v>65</v>
      </c>
      <c r="J577" s="29">
        <f>SUM(I578:I580)</f>
        <v>2506</v>
      </c>
      <c r="M577" s="29">
        <f>SUM(L578:L580)</f>
        <v>116100</v>
      </c>
      <c r="R577" s="29">
        <f>SUM(Q578:Q580)</f>
        <v>932.40000000000009</v>
      </c>
      <c r="U577" s="29">
        <f>SUM(T578:T580)</f>
        <v>651.6</v>
      </c>
      <c r="AA577" s="47"/>
      <c r="AB577" s="47"/>
      <c r="AC577" s="34"/>
      <c r="AD577" s="34"/>
      <c r="AH577" s="47"/>
      <c r="AI577" s="47"/>
      <c r="AJ577" s="34"/>
      <c r="AK577" s="34"/>
      <c r="AL577" s="47"/>
      <c r="AM577" s="34"/>
      <c r="AN577" s="50">
        <f>SUM(AL578:AL580)</f>
        <v>32.391656640000001</v>
      </c>
      <c r="AO577" s="35">
        <f>SUM(AM578:AM580)</f>
        <v>547.20000000000005</v>
      </c>
      <c r="AT577" s="47"/>
      <c r="AU577" s="47"/>
      <c r="AV577" s="50">
        <f>SUM(AU578:AU580)</f>
        <v>32.391656640000001</v>
      </c>
      <c r="AW577" s="34"/>
      <c r="AX577" s="34"/>
      <c r="AY577" s="35">
        <f>SUM(AX578:AX580)</f>
        <v>0.24617659046400001</v>
      </c>
      <c r="BB577" s="74">
        <f>AV577+AN577+R577+J577</f>
        <v>3503.1833132800002</v>
      </c>
      <c r="BC577" s="11">
        <f>AX577+AO577+U577+M577</f>
        <v>117298.8</v>
      </c>
    </row>
    <row r="578" spans="1:55" x14ac:dyDescent="0.3">
      <c r="D578" t="s">
        <v>45</v>
      </c>
      <c r="G578" s="38">
        <f>H65</f>
        <v>1400</v>
      </c>
      <c r="H578" s="38">
        <f>AA93</f>
        <v>1.21</v>
      </c>
      <c r="I578">
        <f>H578*G578</f>
        <v>1694</v>
      </c>
      <c r="J578" s="5"/>
      <c r="K578" s="38">
        <f>AD93</f>
        <v>67.3</v>
      </c>
      <c r="L578">
        <f>K578*G578</f>
        <v>94220</v>
      </c>
      <c r="M578" s="5"/>
      <c r="P578">
        <f>AI93</f>
        <v>0.51800000000000002</v>
      </c>
      <c r="Q578">
        <f>P578*G578</f>
        <v>725.2</v>
      </c>
      <c r="R578" s="5"/>
      <c r="S578">
        <f>AL93</f>
        <v>0.36199999999999999</v>
      </c>
      <c r="T578">
        <f>S578*G578</f>
        <v>506.8</v>
      </c>
      <c r="U578" s="5"/>
      <c r="X578">
        <f>G578</f>
        <v>1400</v>
      </c>
      <c r="Y578" t="s">
        <v>60</v>
      </c>
      <c r="Z578" s="23">
        <f>F25</f>
        <v>0</v>
      </c>
      <c r="AA578" s="9">
        <f>$AA$83</f>
        <v>0.109</v>
      </c>
      <c r="AB578">
        <f>AA578*Z578*X578/1000</f>
        <v>0</v>
      </c>
      <c r="AC578" s="9">
        <f>$AD$83</f>
        <v>1.5</v>
      </c>
      <c r="AD578" s="9">
        <f>AC578*Z578*X578/1000</f>
        <v>0</v>
      </c>
      <c r="AF578" s="23" t="s">
        <v>61</v>
      </c>
      <c r="AG578">
        <f>G25</f>
        <v>200</v>
      </c>
      <c r="AH578" s="9">
        <f>$AA$81</f>
        <v>8.9976823999999997E-2</v>
      </c>
      <c r="AI578">
        <f>AH578*AG578*X578/1000</f>
        <v>25.193510720000003</v>
      </c>
      <c r="AJ578" s="9">
        <f>$AD$81</f>
        <v>1.52</v>
      </c>
      <c r="AK578" s="9">
        <f>AJ578*AG578*X578/1000</f>
        <v>425.6</v>
      </c>
      <c r="AL578">
        <f>AI578+AB578</f>
        <v>25.193510720000003</v>
      </c>
      <c r="AM578">
        <f>AK578+AD578</f>
        <v>425.6</v>
      </c>
      <c r="AN578" s="5"/>
      <c r="AO578" s="5"/>
      <c r="AR578" t="s">
        <v>61</v>
      </c>
      <c r="AS578">
        <f>$G$21</f>
        <v>200</v>
      </c>
      <c r="AT578">
        <f>$AA$81</f>
        <v>8.9976823999999997E-2</v>
      </c>
      <c r="AU578">
        <f>(AT578*AS578*X578)/1000</f>
        <v>25.193510720000003</v>
      </c>
      <c r="AV578" s="5"/>
      <c r="AW578" s="9">
        <f>$AD$81</f>
        <v>1.52</v>
      </c>
      <c r="AX578" s="9">
        <f>(AW578*AT578*X578)/1000</f>
        <v>0.191470681472</v>
      </c>
      <c r="AY578" s="5"/>
      <c r="BB578" s="6"/>
      <c r="BC578" s="5"/>
    </row>
    <row r="579" spans="1:55" x14ac:dyDescent="0.3">
      <c r="D579" t="s">
        <v>46</v>
      </c>
      <c r="G579" s="38">
        <f>H66</f>
        <v>400</v>
      </c>
      <c r="H579" s="38">
        <f>AA94</f>
        <v>2.0299999999999998</v>
      </c>
      <c r="I579">
        <f>H579*G579</f>
        <v>811.99999999999989</v>
      </c>
      <c r="J579" s="5"/>
      <c r="K579" s="38">
        <f>AD94</f>
        <v>54.7</v>
      </c>
      <c r="L579">
        <f t="shared" ref="L579:L580" si="92">K579*G579</f>
        <v>21880</v>
      </c>
      <c r="M579" s="5"/>
      <c r="P579">
        <f>AI94</f>
        <v>0.51800000000000002</v>
      </c>
      <c r="Q579">
        <f>P579*G579</f>
        <v>207.20000000000002</v>
      </c>
      <c r="R579" s="5"/>
      <c r="S579">
        <f>AL94</f>
        <v>0.36199999999999999</v>
      </c>
      <c r="T579">
        <f t="shared" ref="T579" si="93">S579*G579</f>
        <v>144.79999999999998</v>
      </c>
      <c r="U579" s="5"/>
      <c r="X579">
        <f>G579</f>
        <v>400</v>
      </c>
      <c r="Y579" t="s">
        <v>60</v>
      </c>
      <c r="Z579" s="23">
        <f>F25</f>
        <v>0</v>
      </c>
      <c r="AA579" s="9">
        <f>$AA$83</f>
        <v>0.109</v>
      </c>
      <c r="AB579">
        <f>AA579*Z579*X579/1000</f>
        <v>0</v>
      </c>
      <c r="AC579" s="9">
        <f>$AD$83</f>
        <v>1.5</v>
      </c>
      <c r="AD579" s="9">
        <f>AC579*Z579*X579/1000</f>
        <v>0</v>
      </c>
      <c r="AF579" s="23" t="s">
        <v>61</v>
      </c>
      <c r="AG579">
        <f>G25</f>
        <v>200</v>
      </c>
      <c r="AH579" s="9">
        <f>$AA$81</f>
        <v>8.9976823999999997E-2</v>
      </c>
      <c r="AI579">
        <f>AH579*AG579*X579/1000</f>
        <v>7.19814592</v>
      </c>
      <c r="AJ579" s="9">
        <f>$AD$81</f>
        <v>1.52</v>
      </c>
      <c r="AK579" s="9">
        <f>AJ579*AG579*X579/1000</f>
        <v>121.6</v>
      </c>
      <c r="AL579">
        <f>AI579+AB579</f>
        <v>7.19814592</v>
      </c>
      <c r="AM579">
        <f>AK579+AD579</f>
        <v>121.6</v>
      </c>
      <c r="AN579" s="5"/>
      <c r="AO579" s="5"/>
      <c r="AR579" t="s">
        <v>61</v>
      </c>
      <c r="AS579">
        <f>$G$21</f>
        <v>200</v>
      </c>
      <c r="AT579">
        <f>$AA$81</f>
        <v>8.9976823999999997E-2</v>
      </c>
      <c r="AU579">
        <f>(AT579*AS579*X579)/1000</f>
        <v>7.19814592</v>
      </c>
      <c r="AV579" s="5"/>
      <c r="AW579" s="9">
        <f>$AD$81</f>
        <v>1.52</v>
      </c>
      <c r="AX579" s="9">
        <f>(AW579*AT579*X579)/1000</f>
        <v>5.4705908992000001E-2</v>
      </c>
      <c r="AY579" s="5"/>
      <c r="BB579" s="6"/>
      <c r="BC579" s="5"/>
    </row>
    <row r="580" spans="1:55" x14ac:dyDescent="0.3">
      <c r="H580" s="38"/>
      <c r="J580" s="5"/>
      <c r="K580" s="38"/>
      <c r="L580">
        <f t="shared" si="92"/>
        <v>0</v>
      </c>
      <c r="M580" s="5"/>
      <c r="R580" s="5"/>
      <c r="U580" s="5"/>
      <c r="AN580" s="5"/>
      <c r="AO580" s="5"/>
      <c r="AV580" s="5"/>
      <c r="AY580" s="5"/>
      <c r="BB580" s="6"/>
      <c r="BC580" s="5"/>
    </row>
    <row r="581" spans="1:55" x14ac:dyDescent="0.3">
      <c r="J581" s="5"/>
      <c r="M581" s="5"/>
      <c r="R581" s="5"/>
      <c r="U581" s="5"/>
      <c r="AN581" s="5"/>
      <c r="AO581" s="5"/>
      <c r="AV581" s="5"/>
      <c r="AY581" s="5"/>
      <c r="BB581" s="6"/>
      <c r="BC581" s="5"/>
    </row>
    <row r="582" spans="1:55" s="19" customFormat="1" x14ac:dyDescent="0.3">
      <c r="A582"/>
      <c r="J582" s="21">
        <f>SUM(J563:J580)</f>
        <v>407209.35577614867</v>
      </c>
      <c r="M582" s="21">
        <f>SUM(M563:M580)</f>
        <v>9999003.3832079805</v>
      </c>
      <c r="R582" s="22">
        <f>SUM(R564:R580)</f>
        <v>41902.646568774362</v>
      </c>
      <c r="U582" s="22">
        <f>SUM(U564:U580)</f>
        <v>7365.9756789151879</v>
      </c>
      <c r="AN582" s="22"/>
      <c r="AO582" s="22"/>
      <c r="AV582" s="22"/>
      <c r="AY582" s="22"/>
      <c r="BB582" s="78"/>
      <c r="BC582" s="21"/>
    </row>
    <row r="583" spans="1:55" x14ac:dyDescent="0.3">
      <c r="BB583" s="4"/>
      <c r="BC583" s="5"/>
    </row>
    <row r="584" spans="1:55" s="18" customFormat="1" x14ac:dyDescent="0.3">
      <c r="A584"/>
      <c r="B584" s="25" t="s">
        <v>47</v>
      </c>
      <c r="H584" s="377" t="s">
        <v>32</v>
      </c>
      <c r="I584" s="377"/>
      <c r="J584" s="377"/>
      <c r="K584" s="378" t="s">
        <v>162</v>
      </c>
      <c r="L584" s="378"/>
      <c r="M584" s="378"/>
      <c r="BB584" s="24"/>
      <c r="BC584" s="24"/>
    </row>
    <row r="585" spans="1:55" x14ac:dyDescent="0.3">
      <c r="J585" s="5"/>
      <c r="M585" s="5"/>
      <c r="BB585" s="5"/>
      <c r="BC585" s="5"/>
    </row>
    <row r="586" spans="1:55" s="31" customFormat="1" x14ac:dyDescent="0.3">
      <c r="A586"/>
      <c r="B586" s="33" t="s">
        <v>179</v>
      </c>
      <c r="J586" s="32">
        <f>SUM(I587:I590)</f>
        <v>104631.34968375351</v>
      </c>
      <c r="M586" s="32">
        <f>SUM(L587:L590)</f>
        <v>175486.83622995194</v>
      </c>
      <c r="BB586" s="74">
        <f>J586</f>
        <v>104631.34968375351</v>
      </c>
      <c r="BC586" s="11">
        <f>M586</f>
        <v>175486.83622995194</v>
      </c>
    </row>
    <row r="587" spans="1:55" x14ac:dyDescent="0.3">
      <c r="C587" t="s">
        <v>175</v>
      </c>
      <c r="I587">
        <f>R541</f>
        <v>62728.703114979158</v>
      </c>
      <c r="J587" s="5"/>
      <c r="L587">
        <f>U541</f>
        <v>168120.86055103675</v>
      </c>
      <c r="M587" s="5"/>
      <c r="BB587" s="5"/>
      <c r="BC587" s="5"/>
    </row>
    <row r="588" spans="1:55" x14ac:dyDescent="0.3">
      <c r="C588" t="s">
        <v>176</v>
      </c>
      <c r="I588">
        <f>R564</f>
        <v>40970.246568774361</v>
      </c>
      <c r="J588" s="5"/>
      <c r="L588">
        <f>U564</f>
        <v>6714.3756789151876</v>
      </c>
      <c r="M588" s="5"/>
      <c r="BB588" s="5"/>
      <c r="BC588" s="5"/>
    </row>
    <row r="589" spans="1:55" x14ac:dyDescent="0.3">
      <c r="C589" t="s">
        <v>177</v>
      </c>
      <c r="I589">
        <f>R577</f>
        <v>932.40000000000009</v>
      </c>
      <c r="J589" s="5"/>
      <c r="L589">
        <f>U577</f>
        <v>651.6</v>
      </c>
      <c r="M589" s="5"/>
      <c r="BB589" s="5"/>
      <c r="BC589" s="5"/>
    </row>
    <row r="590" spans="1:55" x14ac:dyDescent="0.3">
      <c r="J590" s="5"/>
      <c r="M590" s="5"/>
      <c r="BB590" s="5"/>
      <c r="BC590" s="5"/>
    </row>
    <row r="591" spans="1:55" s="31" customFormat="1" x14ac:dyDescent="0.3">
      <c r="A591"/>
      <c r="B591" s="33" t="s">
        <v>178</v>
      </c>
      <c r="J591" s="32">
        <f>SUM(I592:I595)</f>
        <v>15690.473490774213</v>
      </c>
      <c r="M591" s="32">
        <f>SUM(L592:L595)</f>
        <v>252594.61145311708</v>
      </c>
      <c r="BB591" s="74">
        <f>J591</f>
        <v>15690.473490774213</v>
      </c>
      <c r="BC591" s="11">
        <f>M591</f>
        <v>252594.61145311708</v>
      </c>
    </row>
    <row r="592" spans="1:55" x14ac:dyDescent="0.3">
      <c r="C592" t="s">
        <v>188</v>
      </c>
      <c r="I592">
        <f>AV541</f>
        <v>14952.076292395603</v>
      </c>
      <c r="J592" s="5"/>
      <c r="L592">
        <f>AX541</f>
        <v>252588.99963440938</v>
      </c>
      <c r="M592" s="5"/>
      <c r="BB592" s="5"/>
      <c r="BC592" s="5"/>
    </row>
    <row r="593" spans="1:55" x14ac:dyDescent="0.3">
      <c r="C593" t="s">
        <v>189</v>
      </c>
      <c r="I593">
        <f>AV564</f>
        <v>706.00554173861019</v>
      </c>
      <c r="J593" s="5"/>
      <c r="L593">
        <f>AY564</f>
        <v>5.3656421172134365</v>
      </c>
      <c r="M593" s="5"/>
      <c r="BB593" s="5"/>
      <c r="BC593" s="5"/>
    </row>
    <row r="594" spans="1:55" x14ac:dyDescent="0.3">
      <c r="C594" t="s">
        <v>190</v>
      </c>
      <c r="I594">
        <f>AV577</f>
        <v>32.391656640000001</v>
      </c>
      <c r="J594" s="5"/>
      <c r="L594">
        <f>AY577</f>
        <v>0.24617659046400001</v>
      </c>
      <c r="M594" s="5"/>
      <c r="BB594" s="5"/>
      <c r="BC594" s="5"/>
    </row>
    <row r="595" spans="1:55" x14ac:dyDescent="0.3">
      <c r="J595" s="5"/>
      <c r="M595" s="5"/>
      <c r="BB595" s="5"/>
      <c r="BC595" s="5"/>
    </row>
    <row r="596" spans="1:55" s="31" customFormat="1" x14ac:dyDescent="0.3">
      <c r="A596"/>
      <c r="B596" s="33" t="s">
        <v>194</v>
      </c>
      <c r="F596" s="31" t="s">
        <v>92</v>
      </c>
      <c r="G596" s="31" t="s">
        <v>1350</v>
      </c>
      <c r="H596" s="31" t="s">
        <v>1351</v>
      </c>
      <c r="I596" s="31" t="s">
        <v>1352</v>
      </c>
      <c r="J596" s="32">
        <f>SUM(I597:I605)</f>
        <v>5127.1021404000003</v>
      </c>
      <c r="K596" s="31" t="s">
        <v>162</v>
      </c>
      <c r="L596" s="31" t="s">
        <v>162</v>
      </c>
      <c r="M596" s="32">
        <f>SUM(L597:L605)</f>
        <v>76361.309409281777</v>
      </c>
      <c r="BB596" s="74">
        <f>J596</f>
        <v>5127.1021404000003</v>
      </c>
      <c r="BC596" s="11">
        <f>M596</f>
        <v>76361.309409281777</v>
      </c>
    </row>
    <row r="597" spans="1:55" s="9" customFormat="1" x14ac:dyDescent="0.3">
      <c r="A597"/>
      <c r="B597"/>
      <c r="C597" s="9" t="s">
        <v>1347</v>
      </c>
      <c r="F597" s="9">
        <f>O13</f>
        <v>145.6</v>
      </c>
      <c r="J597" s="11"/>
      <c r="M597" s="11"/>
      <c r="BB597" s="11"/>
      <c r="BC597" s="11"/>
    </row>
    <row r="598" spans="1:55" x14ac:dyDescent="0.3">
      <c r="D598" t="s">
        <v>1348</v>
      </c>
      <c r="G598">
        <v>2.4319999999999999</v>
      </c>
      <c r="H598" s="14">
        <f>AA85</f>
        <v>3.4616249999999997</v>
      </c>
      <c r="I598">
        <f>H598*G598*F597</f>
        <v>1225.7586431999998</v>
      </c>
      <c r="J598" s="5"/>
      <c r="K598" s="14">
        <f>AD85</f>
        <v>51.637500000000003</v>
      </c>
      <c r="L598">
        <f>K598*G598*F597</f>
        <v>18284.797440000002</v>
      </c>
      <c r="M598" s="5"/>
      <c r="BB598" s="5"/>
      <c r="BC598" s="5"/>
    </row>
    <row r="599" spans="1:55" x14ac:dyDescent="0.3">
      <c r="D599" t="s">
        <v>1346</v>
      </c>
      <c r="G599">
        <v>0.72200000000000009</v>
      </c>
      <c r="H599" s="14">
        <f>AA85</f>
        <v>3.4616249999999997</v>
      </c>
      <c r="I599">
        <f>H599*G599*F597</f>
        <v>363.89709719999996</v>
      </c>
      <c r="J599" s="5"/>
      <c r="K599" s="14">
        <f>AD85</f>
        <v>51.637500000000003</v>
      </c>
      <c r="L599">
        <f>K599*G599*F597</f>
        <v>5428.2992400000003</v>
      </c>
      <c r="M599" s="5"/>
      <c r="BB599" s="5"/>
      <c r="BC599" s="5"/>
    </row>
    <row r="600" spans="1:55" s="9" customFormat="1" x14ac:dyDescent="0.3">
      <c r="A600"/>
      <c r="B600"/>
      <c r="C600" s="9" t="s">
        <v>1360</v>
      </c>
      <c r="H600" s="245"/>
      <c r="J600" s="11"/>
      <c r="K600" s="245"/>
      <c r="M600" s="11"/>
      <c r="BB600" s="11"/>
      <c r="BC600" s="11"/>
    </row>
    <row r="601" spans="1:55" x14ac:dyDescent="0.3">
      <c r="D601" t="s">
        <v>69</v>
      </c>
      <c r="G601">
        <f>G553</f>
        <v>20</v>
      </c>
      <c r="H601" s="57">
        <f>AA79</f>
        <v>90</v>
      </c>
      <c r="I601" s="38">
        <f>H601*G601</f>
        <v>1800</v>
      </c>
      <c r="J601" s="5"/>
      <c r="K601" s="14">
        <f>AD79</f>
        <v>1342.5414364640887</v>
      </c>
      <c r="L601">
        <f>K601*G601</f>
        <v>26850.828729281777</v>
      </c>
      <c r="M601" s="5"/>
      <c r="BB601" s="5"/>
      <c r="BC601" s="5"/>
    </row>
    <row r="602" spans="1:55" x14ac:dyDescent="0.3">
      <c r="D602" t="s">
        <v>1152</v>
      </c>
      <c r="G602">
        <f>G554</f>
        <v>20</v>
      </c>
      <c r="H602" s="57">
        <f>AA80</f>
        <v>1.9199999999999998E-2</v>
      </c>
      <c r="I602" s="38">
        <f>H602*G602</f>
        <v>0.38399999999999995</v>
      </c>
      <c r="J602" s="5"/>
      <c r="K602" s="14">
        <f>AD80</f>
        <v>0.28199999999999997</v>
      </c>
      <c r="L602">
        <f t="shared" ref="L602" si="94">K602*G602</f>
        <v>5.64</v>
      </c>
      <c r="M602" s="5"/>
      <c r="BB602" s="5"/>
      <c r="BC602" s="5"/>
    </row>
    <row r="603" spans="1:55" x14ac:dyDescent="0.3">
      <c r="D603" t="s">
        <v>1553</v>
      </c>
      <c r="F603">
        <f>G549</f>
        <v>3302.4000000000005</v>
      </c>
      <c r="H603">
        <f t="shared" ref="H603:K603" si="95">H549</f>
        <v>0.52600000000000002</v>
      </c>
      <c r="I603">
        <f>H603*F603</f>
        <v>1737.0624000000003</v>
      </c>
      <c r="K603">
        <f t="shared" si="95"/>
        <v>7.81</v>
      </c>
      <c r="L603">
        <f>K603*F603</f>
        <v>25791.744000000002</v>
      </c>
      <c r="BB603" s="5"/>
      <c r="BC603" s="5"/>
    </row>
    <row r="604" spans="1:55" x14ac:dyDescent="0.3">
      <c r="H604" s="14"/>
      <c r="J604" s="5"/>
      <c r="K604" s="14"/>
      <c r="M604" s="5"/>
      <c r="BB604" s="5"/>
      <c r="BC604" s="5"/>
    </row>
    <row r="605" spans="1:55" x14ac:dyDescent="0.3">
      <c r="H605" s="14"/>
      <c r="J605" s="5"/>
      <c r="K605" s="14"/>
      <c r="M605" s="5"/>
      <c r="BB605" s="5"/>
      <c r="BC605" s="5"/>
    </row>
    <row r="606" spans="1:55" s="19" customFormat="1" x14ac:dyDescent="0.3">
      <c r="A606"/>
      <c r="J606" s="21">
        <f>SUM(J585:J605)</f>
        <v>125448.92531492772</v>
      </c>
      <c r="M606" s="21">
        <f>SUM(M585:M605)</f>
        <v>504442.7570923508</v>
      </c>
      <c r="BB606" s="21"/>
      <c r="BC606" s="21"/>
    </row>
    <row r="607" spans="1:55" x14ac:dyDescent="0.3">
      <c r="J607" s="5"/>
      <c r="M607" s="5"/>
      <c r="BB607" s="5"/>
      <c r="BC607" s="5"/>
    </row>
    <row r="608" spans="1:55" s="34" customFormat="1" x14ac:dyDescent="0.3">
      <c r="A608"/>
      <c r="B608" s="36" t="s">
        <v>191</v>
      </c>
      <c r="I608" s="34" t="s">
        <v>32</v>
      </c>
      <c r="J608" s="37">
        <f>J606+J582+J560+J541</f>
        <v>3606928.6255981731</v>
      </c>
      <c r="L608" s="34" t="s">
        <v>162</v>
      </c>
      <c r="M608" s="37">
        <f>M606+M582+M560+M541</f>
        <v>58958258.633946285</v>
      </c>
      <c r="BB608" s="37"/>
      <c r="BC608" s="37"/>
    </row>
    <row r="609" spans="2:16" x14ac:dyDescent="0.3">
      <c r="J609" t="s">
        <v>267</v>
      </c>
      <c r="M609" t="s">
        <v>268</v>
      </c>
    </row>
    <row r="611" spans="2:16" s="18" customFormat="1" x14ac:dyDescent="0.3"/>
    <row r="614" spans="2:16" s="70" customFormat="1" x14ac:dyDescent="0.3">
      <c r="B614" s="71"/>
      <c r="C614" s="47"/>
    </row>
    <row r="621" spans="2:16" s="70" customFormat="1" x14ac:dyDescent="0.3">
      <c r="B621" s="71" t="s">
        <v>307</v>
      </c>
      <c r="C621" s="47"/>
      <c r="D621" s="47"/>
    </row>
    <row r="622" spans="2:16" x14ac:dyDescent="0.3">
      <c r="F622" s="379" t="s">
        <v>397</v>
      </c>
      <c r="G622" s="379"/>
      <c r="H622" s="379"/>
      <c r="I622" s="379"/>
      <c r="J622" s="379" t="s">
        <v>398</v>
      </c>
      <c r="K622" s="379"/>
      <c r="L622" s="379"/>
      <c r="M622" s="379"/>
      <c r="N622" s="379"/>
      <c r="O622" s="379"/>
    </row>
    <row r="623" spans="2:16" x14ac:dyDescent="0.3">
      <c r="F623" s="377" t="s">
        <v>32</v>
      </c>
      <c r="G623" s="377"/>
      <c r="H623" s="378" t="s">
        <v>162</v>
      </c>
      <c r="I623" s="378"/>
      <c r="J623" s="377" t="s">
        <v>32</v>
      </c>
      <c r="K623" s="377"/>
      <c r="L623" s="377"/>
      <c r="M623" s="378" t="s">
        <v>162</v>
      </c>
      <c r="N623" s="378"/>
      <c r="O623" s="378"/>
    </row>
    <row r="624" spans="2:16" ht="52.8" x14ac:dyDescent="0.35">
      <c r="F624" s="65" t="s">
        <v>288</v>
      </c>
      <c r="G624" s="65" t="s">
        <v>287</v>
      </c>
      <c r="H624" s="65" t="s">
        <v>286</v>
      </c>
      <c r="I624" s="65" t="s">
        <v>287</v>
      </c>
      <c r="J624" s="65" t="s">
        <v>283</v>
      </c>
      <c r="K624" s="65" t="s">
        <v>284</v>
      </c>
      <c r="L624" s="65" t="s">
        <v>285</v>
      </c>
      <c r="M624" s="65" t="s">
        <v>283</v>
      </c>
      <c r="N624" s="65" t="s">
        <v>284</v>
      </c>
      <c r="O624" s="65" t="s">
        <v>285</v>
      </c>
      <c r="P624" s="66"/>
    </row>
    <row r="626" spans="3:27" x14ac:dyDescent="0.3">
      <c r="C626" t="s">
        <v>272</v>
      </c>
      <c r="G626">
        <f>J541</f>
        <v>2923915.7427901062</v>
      </c>
      <c r="I626">
        <f>M541</f>
        <v>46299294.710681409</v>
      </c>
      <c r="L626" s="1">
        <f>G626/$G$669</f>
        <v>0.81063864752943471</v>
      </c>
      <c r="O626" s="1">
        <f>I626/$I$669</f>
        <v>0.7852893858032598</v>
      </c>
      <c r="T626" t="s">
        <v>272</v>
      </c>
    </row>
    <row r="627" spans="3:27" x14ac:dyDescent="0.3">
      <c r="L627" s="1"/>
      <c r="O627" s="1"/>
    </row>
    <row r="628" spans="3:27" x14ac:dyDescent="0.3">
      <c r="D628" t="s">
        <v>14</v>
      </c>
      <c r="F628" s="14">
        <f>J295+J300</f>
        <v>29691.724148294641</v>
      </c>
      <c r="H628" s="14">
        <f>M295+M300</f>
        <v>960995.54410004476</v>
      </c>
      <c r="J628" s="1">
        <f>F628/$G$669</f>
        <v>8.2318579684594016E-3</v>
      </c>
      <c r="K628" s="1">
        <f t="shared" ref="K628:K650" si="96">F628/$G$626</f>
        <v>1.0154781040291442E-2</v>
      </c>
      <c r="L628" s="1"/>
      <c r="M628" s="1">
        <f>H628/$I$669</f>
        <v>1.6299591717363483E-2</v>
      </c>
      <c r="N628" s="1">
        <f>H628/$I$626</f>
        <v>2.0756159464311228E-2</v>
      </c>
      <c r="O628" s="1"/>
      <c r="U628" t="s">
        <v>14</v>
      </c>
      <c r="X628" s="79">
        <f>BB295+BB300+BB565+BB566</f>
        <v>338166.4903645991</v>
      </c>
      <c r="Y628" s="79">
        <f>BC295+BC300+BC565+BC566</f>
        <v>9360620.4230092093</v>
      </c>
      <c r="AA628" s="1">
        <f t="shared" ref="AA628:AA637" si="97">Y628/$Y$669</f>
        <v>0.15876690863973994</v>
      </c>
    </row>
    <row r="629" spans="3:27" x14ac:dyDescent="0.3">
      <c r="F629" s="14"/>
      <c r="H629" s="14"/>
      <c r="J629" s="1"/>
      <c r="K629" s="1">
        <f t="shared" si="96"/>
        <v>0</v>
      </c>
      <c r="L629" s="1"/>
      <c r="M629" s="1"/>
      <c r="N629" s="1"/>
      <c r="O629" s="1"/>
      <c r="P629" s="371" t="s">
        <v>2104</v>
      </c>
      <c r="Q629" s="372"/>
      <c r="R629" s="372"/>
      <c r="S629" s="372"/>
      <c r="AA629" s="1">
        <f t="shared" si="97"/>
        <v>0</v>
      </c>
    </row>
    <row r="630" spans="3:27" x14ac:dyDescent="0.3">
      <c r="D630" t="s">
        <v>15</v>
      </c>
      <c r="F630" s="14">
        <f>J306</f>
        <v>412683.55602658965</v>
      </c>
      <c r="H630" s="14">
        <f>M306</f>
        <v>7551759.3113427823</v>
      </c>
      <c r="J630" s="1">
        <f>F630/$G$669</f>
        <v>0.11441411762289866</v>
      </c>
      <c r="K630" s="1">
        <f t="shared" si="96"/>
        <v>0.14114071414136992</v>
      </c>
      <c r="L630" s="1"/>
      <c r="M630" s="1">
        <f>H630/$I$669</f>
        <v>0.12808653929603547</v>
      </c>
      <c r="N630" s="1">
        <f>H630/$I$626</f>
        <v>0.16310743734937641</v>
      </c>
      <c r="O630" s="1"/>
      <c r="P630" t="s">
        <v>1767</v>
      </c>
      <c r="Q630" s="14">
        <f>F628</f>
        <v>29691.724148294641</v>
      </c>
      <c r="R630" s="14">
        <f>H628</f>
        <v>960995.54410004476</v>
      </c>
      <c r="U630" t="s">
        <v>15</v>
      </c>
      <c r="X630" s="79">
        <f>BB306+BB567+BB568</f>
        <v>525737.34070318146</v>
      </c>
      <c r="Y630" s="79">
        <f>BC306+BC567+BC568</f>
        <v>9004616.608429689</v>
      </c>
      <c r="AA630" s="1">
        <f t="shared" si="97"/>
        <v>0.15272867372041657</v>
      </c>
    </row>
    <row r="631" spans="3:27" x14ac:dyDescent="0.3">
      <c r="F631" s="14"/>
      <c r="H631" s="14"/>
      <c r="J631" s="1"/>
      <c r="K631" s="1">
        <f t="shared" si="96"/>
        <v>0</v>
      </c>
      <c r="L631" s="1"/>
      <c r="M631" s="1"/>
      <c r="N631" s="1"/>
      <c r="O631" s="1"/>
      <c r="P631" t="s">
        <v>1183</v>
      </c>
      <c r="Q631" s="14">
        <f>F630</f>
        <v>412683.55602658965</v>
      </c>
      <c r="R631" s="14">
        <f>H630</f>
        <v>7551759.3113427823</v>
      </c>
      <c r="AA631" s="1">
        <f t="shared" si="97"/>
        <v>0</v>
      </c>
    </row>
    <row r="632" spans="3:27" x14ac:dyDescent="0.3">
      <c r="D632" t="s">
        <v>1143</v>
      </c>
      <c r="F632" s="14">
        <f>J333+J338</f>
        <v>470496.6822765742</v>
      </c>
      <c r="H632" s="14">
        <f>M333+M338</f>
        <v>6813242.5653764559</v>
      </c>
      <c r="J632" s="1">
        <f>F632/$G$669</f>
        <v>0.13044247089822769</v>
      </c>
      <c r="K632" s="1">
        <f t="shared" si="96"/>
        <v>0.16091321490256394</v>
      </c>
      <c r="L632" s="1"/>
      <c r="M632" s="1">
        <f>H632/$I$669</f>
        <v>0.11556044434211984</v>
      </c>
      <c r="N632" s="1">
        <f>H632/$I$626</f>
        <v>0.14715650871037173</v>
      </c>
      <c r="O632" s="1"/>
      <c r="P632" t="s">
        <v>1763</v>
      </c>
      <c r="Q632" s="14">
        <f>SUM(F637:F646)</f>
        <v>1227442.3414840626</v>
      </c>
      <c r="R632" s="14">
        <f>SUM(H637:H646)</f>
        <v>19546535.711506441</v>
      </c>
      <c r="U632" t="s">
        <v>1143</v>
      </c>
      <c r="X632">
        <f>BB333+BB338</f>
        <v>506545.42645427783</v>
      </c>
      <c r="Y632">
        <f>BC333+BC338</f>
        <v>7335419.4981212914</v>
      </c>
      <c r="AA632" s="1">
        <f t="shared" si="97"/>
        <v>0.12441716730972761</v>
      </c>
    </row>
    <row r="633" spans="3:27" x14ac:dyDescent="0.3">
      <c r="D633" t="s">
        <v>1144</v>
      </c>
      <c r="F633" s="14">
        <f>J343</f>
        <v>132296.28</v>
      </c>
      <c r="H633" s="14">
        <f>M343</f>
        <v>1953272.4</v>
      </c>
      <c r="J633" s="1">
        <f>F633/$G$669</f>
        <v>3.667837479818719E-2</v>
      </c>
      <c r="K633" s="1">
        <f t="shared" si="96"/>
        <v>4.5246269604799931E-2</v>
      </c>
      <c r="L633" s="1"/>
      <c r="M633" s="1">
        <f>H633/$I$669</f>
        <v>3.3129750526169177E-2</v>
      </c>
      <c r="N633" s="1">
        <f>H633/$I$626</f>
        <v>4.2187951505649461E-2</v>
      </c>
      <c r="O633" s="1"/>
      <c r="P633" t="s">
        <v>16</v>
      </c>
      <c r="Q633" s="14">
        <f>SUM(F632:F635)</f>
        <v>875210.98828210938</v>
      </c>
      <c r="R633" s="14">
        <f>SUM(H632:H635)</f>
        <v>12691014.483678827</v>
      </c>
      <c r="U633" t="s">
        <v>1144</v>
      </c>
      <c r="X633">
        <f>BB343</f>
        <v>141723.76371904</v>
      </c>
      <c r="Y633">
        <f>BC343</f>
        <v>2087025.1431999998</v>
      </c>
      <c r="AA633" s="1">
        <f t="shared" si="97"/>
        <v>3.5398351312781198E-2</v>
      </c>
    </row>
    <row r="634" spans="3:27" x14ac:dyDescent="0.3">
      <c r="D634" t="s">
        <v>1429</v>
      </c>
      <c r="F634" s="14">
        <f>J356</f>
        <v>198322.30600553524</v>
      </c>
      <c r="H634" s="14">
        <f>M356</f>
        <v>2842213.918302373</v>
      </c>
      <c r="J634" s="1">
        <f>F634/$G$669</f>
        <v>5.4983706801973502E-2</v>
      </c>
      <c r="K634" s="1">
        <f t="shared" ref="K634" si="98">F634/$G$626</f>
        <v>6.7827640551737969E-2</v>
      </c>
      <c r="L634" s="1"/>
      <c r="M634" s="1">
        <f>H634/$I$669</f>
        <v>4.8207222943079213E-2</v>
      </c>
      <c r="N634" s="1">
        <f>H634/$I$626</f>
        <v>6.1387844805477446E-2</v>
      </c>
      <c r="O634" s="1"/>
      <c r="P634" t="s">
        <v>50</v>
      </c>
      <c r="Q634" s="14">
        <f>F648</f>
        <v>75122.49969897652</v>
      </c>
      <c r="R634" s="14">
        <f>H648</f>
        <v>700681.37266706803</v>
      </c>
      <c r="U634" t="s">
        <v>1619</v>
      </c>
      <c r="X634">
        <f>BB356</f>
        <v>211075.57597406325</v>
      </c>
      <c r="Y634">
        <f>BC356</f>
        <v>3023540.4493223731</v>
      </c>
      <c r="AA634" s="1">
        <f t="shared" si="97"/>
        <v>5.1282730053464023E-2</v>
      </c>
    </row>
    <row r="635" spans="3:27" x14ac:dyDescent="0.3">
      <c r="D635" t="s">
        <v>253</v>
      </c>
      <c r="F635" s="14">
        <f>J374</f>
        <v>74095.72</v>
      </c>
      <c r="H635" s="14">
        <f>M374</f>
        <v>1082285.6000000001</v>
      </c>
      <c r="J635" s="1">
        <f>F635/$G$669</f>
        <v>2.0542607767214123E-2</v>
      </c>
      <c r="K635" s="1">
        <f t="shared" si="96"/>
        <v>2.5341263742878987E-2</v>
      </c>
      <c r="L635" s="1"/>
      <c r="M635" s="1">
        <f>H635/$I$669</f>
        <v>1.8356810819661059E-2</v>
      </c>
      <c r="N635" s="1">
        <f>H635/$I$626</f>
        <v>2.3375855005201906E-2</v>
      </c>
      <c r="O635" s="1"/>
      <c r="P635" t="s">
        <v>139</v>
      </c>
      <c r="Q635" s="14">
        <f>F650</f>
        <v>303764.63315007358</v>
      </c>
      <c r="R635" s="14">
        <f>H650</f>
        <v>4848308.287386233</v>
      </c>
      <c r="U635" t="s">
        <v>253</v>
      </c>
      <c r="X635">
        <f>BB374</f>
        <v>80762.961617360008</v>
      </c>
      <c r="Y635">
        <f>BC374</f>
        <v>1174892.8127000001</v>
      </c>
      <c r="AA635" s="1">
        <f t="shared" si="97"/>
        <v>1.9927535935215488E-2</v>
      </c>
    </row>
    <row r="636" spans="3:27" x14ac:dyDescent="0.3">
      <c r="F636" s="14"/>
      <c r="H636" s="14"/>
      <c r="J636" s="1"/>
      <c r="K636" s="1">
        <f t="shared" si="96"/>
        <v>0</v>
      </c>
      <c r="L636" s="1"/>
      <c r="M636" s="1"/>
      <c r="N636" s="1"/>
      <c r="O636" s="1"/>
      <c r="P636" t="s">
        <v>55</v>
      </c>
      <c r="Q636" s="14">
        <f>SUM(Q630:Q635)</f>
        <v>2923915.7427901062</v>
      </c>
      <c r="R636" s="14">
        <f>SUM(R630:R635)</f>
        <v>46299294.710681394</v>
      </c>
      <c r="AA636" s="1">
        <f t="shared" si="97"/>
        <v>0</v>
      </c>
    </row>
    <row r="637" spans="3:27" x14ac:dyDescent="0.3">
      <c r="D637" t="s">
        <v>1145</v>
      </c>
      <c r="F637" s="14">
        <f>J396</f>
        <v>69937.890992530345</v>
      </c>
      <c r="H637" s="14">
        <f>M396</f>
        <v>1050779.3883367174</v>
      </c>
      <c r="J637" s="1">
        <f>F637/$G$669</f>
        <v>1.9389873837864433E-2</v>
      </c>
      <c r="K637" s="1">
        <f t="shared" si="96"/>
        <v>2.3919256621872789E-2</v>
      </c>
      <c r="L637" s="1"/>
      <c r="M637" s="1">
        <f>H637/$I$669</f>
        <v>1.7822429167399328E-2</v>
      </c>
      <c r="N637" s="1">
        <f t="shared" ref="N637:N643" si="99">H637/$I$626</f>
        <v>2.2695364905727149E-2</v>
      </c>
      <c r="O637" s="1"/>
      <c r="P637" s="371" t="s">
        <v>2104</v>
      </c>
      <c r="Q637" s="372"/>
      <c r="R637" s="372"/>
      <c r="S637" s="372"/>
      <c r="U637" t="s">
        <v>1145</v>
      </c>
      <c r="X637">
        <f>BB396</f>
        <v>75168.304350945662</v>
      </c>
      <c r="Y637">
        <f>BC396</f>
        <v>1124858.8757055728</v>
      </c>
      <c r="AA637" s="1">
        <f t="shared" si="97"/>
        <v>1.9078902709563653E-2</v>
      </c>
    </row>
    <row r="638" spans="3:27" x14ac:dyDescent="0.3">
      <c r="F638" s="14"/>
      <c r="H638" s="14"/>
      <c r="J638" s="1"/>
      <c r="K638" s="1"/>
      <c r="L638" s="1"/>
      <c r="M638" s="1"/>
      <c r="N638" s="1"/>
      <c r="O638" s="1"/>
      <c r="P638">
        <f>F62</f>
        <v>462528</v>
      </c>
      <c r="Q638" t="s">
        <v>1772</v>
      </c>
      <c r="AA638" s="1"/>
    </row>
    <row r="639" spans="3:27" x14ac:dyDescent="0.3">
      <c r="D639" t="s">
        <v>330</v>
      </c>
      <c r="F639" s="14">
        <f>J420</f>
        <v>87457.5</v>
      </c>
      <c r="H639" s="14">
        <f>M420</f>
        <v>1542750.3</v>
      </c>
      <c r="J639" s="1">
        <f>F639/$G$669</f>
        <v>2.4247083621039504E-2</v>
      </c>
      <c r="K639" s="1">
        <f t="shared" si="96"/>
        <v>2.9911087628176621E-2</v>
      </c>
      <c r="L639" s="1"/>
      <c r="M639" s="1">
        <f>H639/$I$669</f>
        <v>2.6166822693635898E-2</v>
      </c>
      <c r="N639" s="1">
        <f t="shared" si="99"/>
        <v>3.3321248404332218E-2</v>
      </c>
      <c r="O639" s="1"/>
      <c r="P639" t="s">
        <v>1767</v>
      </c>
      <c r="Q639">
        <f>Q630/$P$638</f>
        <v>6.4194436116937009E-2</v>
      </c>
      <c r="R639">
        <f>R630/$P$638</f>
        <v>2.0777024182320742</v>
      </c>
      <c r="U639" t="s">
        <v>330</v>
      </c>
      <c r="X639">
        <f>BB420</f>
        <v>93999.037231897193</v>
      </c>
      <c r="Y639">
        <f>BC420</f>
        <v>1614672.7242750002</v>
      </c>
      <c r="AA639" s="1">
        <f>Y639/$Y$669</f>
        <v>2.7386709994980933E-2</v>
      </c>
    </row>
    <row r="640" spans="3:27" x14ac:dyDescent="0.3">
      <c r="D640" t="s">
        <v>211</v>
      </c>
      <c r="F640" s="14">
        <f>J424</f>
        <v>180964.12309176949</v>
      </c>
      <c r="H640" s="14">
        <f>M424</f>
        <v>2899466.9055184745</v>
      </c>
      <c r="J640" s="1">
        <f>F640/$G$669</f>
        <v>5.0171251465159883E-2</v>
      </c>
      <c r="K640" s="1">
        <f t="shared" si="96"/>
        <v>6.1891018418706888E-2</v>
      </c>
      <c r="L640" s="1"/>
      <c r="M640" s="1">
        <f>H640/$I$669</f>
        <v>4.9178299574964959E-2</v>
      </c>
      <c r="N640" s="1">
        <f t="shared" si="99"/>
        <v>6.2624429241025945E-2</v>
      </c>
      <c r="O640" s="1"/>
      <c r="P640" t="s">
        <v>1183</v>
      </c>
      <c r="Q640">
        <f t="shared" ref="Q640:R640" si="100">Q631/$P$638</f>
        <v>0.89223475341296021</v>
      </c>
      <c r="R640">
        <f t="shared" si="100"/>
        <v>16.327139786872973</v>
      </c>
      <c r="U640" t="s">
        <v>211</v>
      </c>
      <c r="X640">
        <f>BB424</f>
        <v>191481.03461486948</v>
      </c>
      <c r="Y640">
        <f>BC424</f>
        <v>3031630.0463903444</v>
      </c>
      <c r="AA640" s="1">
        <f>Y640/$Y$669</f>
        <v>5.1419938941399033E-2</v>
      </c>
    </row>
    <row r="641" spans="3:27" x14ac:dyDescent="0.3">
      <c r="D641" t="s">
        <v>358</v>
      </c>
      <c r="F641" s="14">
        <f>J445</f>
        <v>29959.234733096084</v>
      </c>
      <c r="H641" s="14">
        <f>M445</f>
        <v>417127.85765124555</v>
      </c>
      <c r="J641" s="1">
        <f>F641/$G$669</f>
        <v>8.3060237234740507E-3</v>
      </c>
      <c r="K641" s="1">
        <f t="shared" si="96"/>
        <v>1.0246271564757162E-2</v>
      </c>
      <c r="L641" s="1"/>
      <c r="M641" s="1">
        <f>H641/$I$669</f>
        <v>7.0749690936610645E-3</v>
      </c>
      <c r="N641" s="1">
        <f t="shared" si="99"/>
        <v>9.0093782261225826E-3</v>
      </c>
      <c r="O641" s="1"/>
      <c r="P641" t="s">
        <v>1763</v>
      </c>
      <c r="Q641">
        <f t="shared" ref="Q641:R641" si="101">Q632/$P$638</f>
        <v>2.6537687263994019</v>
      </c>
      <c r="R641">
        <f t="shared" si="101"/>
        <v>42.260221460120128</v>
      </c>
      <c r="U641" t="s">
        <v>358</v>
      </c>
      <c r="X641">
        <f>BB445</f>
        <v>32381.646184730722</v>
      </c>
      <c r="Y641">
        <f>BC445</f>
        <v>448110.66217793594</v>
      </c>
      <c r="AA641" s="1">
        <f>Y641/$Y$669</f>
        <v>7.6004731895352624E-3</v>
      </c>
    </row>
    <row r="642" spans="3:27" x14ac:dyDescent="0.3">
      <c r="D642" t="s">
        <v>133</v>
      </c>
      <c r="F642" s="14">
        <f>J462</f>
        <v>18300</v>
      </c>
      <c r="H642" s="14">
        <f>M462</f>
        <v>285000</v>
      </c>
      <c r="J642" s="1">
        <f>F642/$G$669</f>
        <v>5.0735686506591529E-3</v>
      </c>
      <c r="K642" s="1">
        <f t="shared" ref="K642" si="102">F642/$G$626</f>
        <v>6.2587302815153897E-3</v>
      </c>
      <c r="L642" s="1"/>
      <c r="M642" s="1">
        <f>H642/$I$669</f>
        <v>4.8339283860040286E-3</v>
      </c>
      <c r="N642" s="1">
        <f t="shared" ref="N642" si="103">H642/$I$626</f>
        <v>6.1556013278588782E-3</v>
      </c>
      <c r="O642" s="1"/>
      <c r="P642" t="s">
        <v>16</v>
      </c>
      <c r="Q642">
        <f t="shared" ref="Q642:R642" si="104">Q633/$P$638</f>
        <v>1.8922335259316396</v>
      </c>
      <c r="R642">
        <f t="shared" si="104"/>
        <v>27.438370182299941</v>
      </c>
      <c r="U642" t="s">
        <v>328</v>
      </c>
      <c r="X642">
        <f>BB462</f>
        <v>18595.4918884</v>
      </c>
      <c r="Y642">
        <f>BC462</f>
        <v>287111.75</v>
      </c>
      <c r="AA642" s="1">
        <f>Y642/$Y$669</f>
        <v>4.8697461195624219E-3</v>
      </c>
    </row>
    <row r="643" spans="3:27" x14ac:dyDescent="0.3">
      <c r="D643" t="s">
        <v>2082</v>
      </c>
      <c r="F643" s="14">
        <f>J497</f>
        <v>16717.742666666669</v>
      </c>
      <c r="H643" s="14">
        <f>M497</f>
        <v>745011.01333333331</v>
      </c>
      <c r="J643" s="1">
        <f>F643/$G$669</f>
        <v>4.6348970001850801E-3</v>
      </c>
      <c r="K643" s="1">
        <f t="shared" ref="K643" si="105">F643/$G$626</f>
        <v>5.7175870090955469E-3</v>
      </c>
      <c r="L643" s="1"/>
      <c r="M643" s="1">
        <f>H643/$I$669</f>
        <v>1.263624521136009E-2</v>
      </c>
      <c r="N643" s="1">
        <f t="shared" si="99"/>
        <v>1.6091195729628614E-2</v>
      </c>
      <c r="O643" s="1"/>
      <c r="P643" t="s">
        <v>50</v>
      </c>
      <c r="Q643">
        <f t="shared" ref="Q643:R643" si="106">Q634/$P$638</f>
        <v>0.16241719355147477</v>
      </c>
      <c r="R643">
        <f t="shared" si="106"/>
        <v>1.5148950391480474</v>
      </c>
      <c r="U643" t="s">
        <v>1587</v>
      </c>
      <c r="X643" s="14">
        <f>BB497</f>
        <v>27361.433590959918</v>
      </c>
      <c r="Y643" s="14">
        <f>BC497</f>
        <v>828101.94287999999</v>
      </c>
      <c r="AA643" s="1">
        <f>Y643/$Y$669</f>
        <v>1.4045563175112068E-2</v>
      </c>
    </row>
    <row r="644" spans="3:27" x14ac:dyDescent="0.3">
      <c r="D644" t="s">
        <v>2083</v>
      </c>
      <c r="F644" s="14">
        <f>J466</f>
        <v>609112.09960000007</v>
      </c>
      <c r="H644" s="14">
        <f>M466</f>
        <v>9322752.0546666663</v>
      </c>
      <c r="J644" s="1">
        <f t="shared" ref="J644:J647" si="107">F644/$G$669</f>
        <v>0.16887278979605116</v>
      </c>
      <c r="K644" s="1">
        <f t="shared" ref="K644:K647" si="108">F644/$G$626</f>
        <v>0.20832067445923161</v>
      </c>
      <c r="L644" s="1"/>
      <c r="M644" s="1">
        <f t="shared" ref="M644:M647" si="109">H644/$I$669</f>
        <v>0.15812461681659851</v>
      </c>
      <c r="N644" s="1">
        <f t="shared" ref="N644:N647" si="110">H644/$I$626</f>
        <v>0.20135840325264986</v>
      </c>
      <c r="O644" s="1"/>
      <c r="P644" t="s">
        <v>139</v>
      </c>
      <c r="Q644">
        <f t="shared" ref="Q644:R644" si="111">Q635/$P$638</f>
        <v>0.65674863608273137</v>
      </c>
      <c r="R644">
        <f t="shared" si="111"/>
        <v>10.482194131784958</v>
      </c>
      <c r="U644" t="s">
        <v>1584</v>
      </c>
      <c r="X644" s="14">
        <f>BB466</f>
        <v>636350.12566808751</v>
      </c>
      <c r="Y644" s="14">
        <f>BC466</f>
        <v>9717281.7347306665</v>
      </c>
      <c r="AA644" s="1">
        <f t="shared" ref="AA644:AA646" si="112">Y644/$Y$669</f>
        <v>0.1648162954682261</v>
      </c>
    </row>
    <row r="645" spans="3:27" x14ac:dyDescent="0.3">
      <c r="D645" t="s">
        <v>2084</v>
      </c>
      <c r="F645" s="14">
        <f>J483</f>
        <v>198224</v>
      </c>
      <c r="H645" s="14">
        <f>M483</f>
        <v>3027520</v>
      </c>
      <c r="J645" s="1">
        <f t="shared" si="107"/>
        <v>5.4956452033238248E-2</v>
      </c>
      <c r="K645" s="1">
        <f t="shared" si="108"/>
        <v>6.779401919798396E-2</v>
      </c>
      <c r="L645" s="1"/>
      <c r="M645" s="1">
        <f t="shared" si="109"/>
        <v>5.1350227604192687E-2</v>
      </c>
      <c r="N645" s="1">
        <f t="shared" si="110"/>
        <v>6.5390196954804594E-2</v>
      </c>
      <c r="O645" s="1"/>
      <c r="P645" t="s">
        <v>55</v>
      </c>
      <c r="Q645">
        <f t="shared" ref="Q645:R645" si="113">Q636/$P$638</f>
        <v>6.3215972714951443</v>
      </c>
      <c r="R645">
        <f t="shared" si="113"/>
        <v>100.10052301845811</v>
      </c>
      <c r="U645" t="s">
        <v>1585</v>
      </c>
      <c r="X645" s="14">
        <f>BB483</f>
        <v>210465.88707200001</v>
      </c>
      <c r="Y645" s="14">
        <f>BC483</f>
        <v>3190838.76</v>
      </c>
      <c r="AA645" s="1">
        <f t="shared" si="112"/>
        <v>5.4120302180803707E-2</v>
      </c>
    </row>
    <row r="646" spans="3:27" x14ac:dyDescent="0.3">
      <c r="D646" t="s">
        <v>2085</v>
      </c>
      <c r="F646" s="14">
        <f>J490</f>
        <v>16769.750400000001</v>
      </c>
      <c r="H646" s="14">
        <f>M490</f>
        <v>256128.19199999998</v>
      </c>
      <c r="J646" s="1">
        <f t="shared" si="107"/>
        <v>4.649315842011956E-3</v>
      </c>
      <c r="K646" s="1">
        <f t="shared" si="108"/>
        <v>5.7353740241494434E-3</v>
      </c>
      <c r="L646" s="1"/>
      <c r="M646" s="1">
        <f t="shared" si="109"/>
        <v>4.3442292553147015E-3</v>
      </c>
      <c r="N646" s="1">
        <f t="shared" si="110"/>
        <v>5.5320106623764683E-3</v>
      </c>
      <c r="O646" s="1"/>
      <c r="U646" t="s">
        <v>1586</v>
      </c>
      <c r="X646" s="14">
        <f>BB490</f>
        <v>17805.4140462912</v>
      </c>
      <c r="Y646" s="14">
        <f>BC490</f>
        <v>269944.95909600001</v>
      </c>
      <c r="AA646" s="1">
        <f t="shared" si="112"/>
        <v>4.5785775644959946E-3</v>
      </c>
    </row>
    <row r="647" spans="3:27" x14ac:dyDescent="0.3">
      <c r="F647" s="14"/>
      <c r="H647" s="14"/>
      <c r="J647" s="1">
        <f t="shared" si="107"/>
        <v>0</v>
      </c>
      <c r="K647" s="1">
        <f t="shared" si="108"/>
        <v>0</v>
      </c>
      <c r="L647" s="1"/>
      <c r="M647" s="1">
        <f t="shared" si="109"/>
        <v>0</v>
      </c>
      <c r="N647" s="1">
        <f t="shared" si="110"/>
        <v>0</v>
      </c>
      <c r="O647" s="1"/>
      <c r="AA647" s="1">
        <f t="shared" ref="AA647:AA669" si="114">Y647/$Y$669</f>
        <v>0</v>
      </c>
    </row>
    <row r="648" spans="3:27" x14ac:dyDescent="0.3">
      <c r="D648" t="s">
        <v>1146</v>
      </c>
      <c r="F648" s="14">
        <f>J518</f>
        <v>75122.49969897652</v>
      </c>
      <c r="H648" s="14">
        <f>M518</f>
        <v>700681.37266706803</v>
      </c>
      <c r="J648" s="1">
        <f>F648/$G$669</f>
        <v>2.0827276471687375E-2</v>
      </c>
      <c r="K648" s="1">
        <f t="shared" si="96"/>
        <v>2.5692429709787707E-2</v>
      </c>
      <c r="L648" s="1"/>
      <c r="M648" s="1">
        <f>H648/$I$669</f>
        <v>1.1884363427647746E-2</v>
      </c>
      <c r="N648" s="1">
        <f>H648/$I$626</f>
        <v>1.5133737501738194E-2</v>
      </c>
      <c r="O648" s="1"/>
      <c r="U648" t="s">
        <v>1146</v>
      </c>
      <c r="X648">
        <f>BB519+BB520+BB521</f>
        <v>88760.035330215615</v>
      </c>
      <c r="Y648">
        <f>BC519+BC520+BC521</f>
        <v>958497.19017138262</v>
      </c>
      <c r="AA648" s="1">
        <f t="shared" si="114"/>
        <v>1.6257216823932059E-2</v>
      </c>
    </row>
    <row r="649" spans="3:27" x14ac:dyDescent="0.3">
      <c r="F649" s="14"/>
      <c r="H649" s="14"/>
      <c r="J649" s="1"/>
      <c r="K649" s="1">
        <f t="shared" si="96"/>
        <v>0</v>
      </c>
      <c r="L649" s="1"/>
      <c r="M649" s="1"/>
      <c r="N649" s="1"/>
      <c r="O649" s="1"/>
      <c r="AA649" s="1">
        <f t="shared" si="114"/>
        <v>0</v>
      </c>
    </row>
    <row r="650" spans="3:27" x14ac:dyDescent="0.3">
      <c r="D650" t="s">
        <v>1147</v>
      </c>
      <c r="F650" s="14">
        <f>J524+J531</f>
        <v>303764.63315007358</v>
      </c>
      <c r="H650" s="14">
        <f>M524+M531</f>
        <v>4848308.287386233</v>
      </c>
      <c r="J650" s="1">
        <f>F650/$G$669</f>
        <v>8.421697923110337E-2</v>
      </c>
      <c r="K650" s="1">
        <f t="shared" si="96"/>
        <v>0.10388966710108082</v>
      </c>
      <c r="L650" s="1"/>
      <c r="M650" s="1">
        <f>H650/$I$669</f>
        <v>8.2232894928052233E-2</v>
      </c>
      <c r="N650" s="1">
        <f>H650/$I$626</f>
        <v>0.10471667695334701</v>
      </c>
      <c r="O650" s="1"/>
      <c r="U650" t="s">
        <v>1147</v>
      </c>
      <c r="X650">
        <f>BB524+BB531</f>
        <v>352622.23113357427</v>
      </c>
      <c r="Y650">
        <f>BC524+BC531</f>
        <v>5116849.3494216511</v>
      </c>
      <c r="AA650" s="1">
        <f t="shared" si="114"/>
        <v>8.6787661124045221E-2</v>
      </c>
    </row>
    <row r="651" spans="3:27" x14ac:dyDescent="0.3">
      <c r="F651" s="14"/>
      <c r="J651" s="1"/>
      <c r="K651" s="1"/>
      <c r="L651" s="1"/>
      <c r="M651" s="1"/>
      <c r="N651" s="1"/>
      <c r="O651" s="1"/>
      <c r="AA651" s="1">
        <f t="shared" si="114"/>
        <v>0</v>
      </c>
    </row>
    <row r="652" spans="3:27" x14ac:dyDescent="0.3">
      <c r="J652" s="1"/>
      <c r="L652" s="1"/>
      <c r="M652" s="1"/>
      <c r="O652" s="1"/>
      <c r="AA652" s="1">
        <f t="shared" si="114"/>
        <v>0</v>
      </c>
    </row>
    <row r="653" spans="3:27" x14ac:dyDescent="0.3">
      <c r="C653" t="s">
        <v>273</v>
      </c>
      <c r="G653">
        <f>J560</f>
        <v>150354.60171699038</v>
      </c>
      <c r="I653">
        <f>M560</f>
        <v>2155517.7829645397</v>
      </c>
      <c r="J653" s="1"/>
      <c r="L653" s="1">
        <f>G653/$G$669</f>
        <v>4.1684939549380615E-2</v>
      </c>
      <c r="M653" s="1"/>
      <c r="O653" s="1">
        <f>I653/$I$669</f>
        <v>3.6560065254767578E-2</v>
      </c>
      <c r="T653" t="s">
        <v>273</v>
      </c>
      <c r="AA653" s="1">
        <f t="shared" si="114"/>
        <v>0</v>
      </c>
    </row>
    <row r="654" spans="3:27" x14ac:dyDescent="0.3">
      <c r="D654" t="s">
        <v>4</v>
      </c>
      <c r="F654">
        <f>J556</f>
        <v>146740.56971699037</v>
      </c>
      <c r="H654">
        <f>M556</f>
        <v>2101732.434235258</v>
      </c>
      <c r="J654" s="1">
        <f>F654/$G$669</f>
        <v>4.0682970180108538E-2</v>
      </c>
      <c r="L654" s="1"/>
      <c r="M654" s="1">
        <f>H654/$I$669</f>
        <v>3.5647803767140905E-2</v>
      </c>
      <c r="O654" s="1"/>
      <c r="AA654" s="1">
        <f t="shared" si="114"/>
        <v>0</v>
      </c>
    </row>
    <row r="655" spans="3:27" x14ac:dyDescent="0.3">
      <c r="D655" t="s">
        <v>277</v>
      </c>
      <c r="F655">
        <f>J548</f>
        <v>1813.6480000000001</v>
      </c>
      <c r="H655">
        <f>M548</f>
        <v>26928.880000000001</v>
      </c>
      <c r="J655" s="1">
        <f>F655/$G$669</f>
        <v>5.028233680945723E-4</v>
      </c>
      <c r="L655" s="1"/>
      <c r="M655" s="1">
        <f>H655/$I$669</f>
        <v>4.5674483310630235E-4</v>
      </c>
      <c r="O655" s="1"/>
      <c r="U655" t="s">
        <v>277</v>
      </c>
      <c r="X655">
        <f>BB548</f>
        <v>1813.6480000000001</v>
      </c>
      <c r="Y655">
        <f>BC548</f>
        <v>26928.880000000001</v>
      </c>
      <c r="AA655" s="1">
        <f t="shared" si="114"/>
        <v>4.5674483501341245E-4</v>
      </c>
    </row>
    <row r="656" spans="3:27" x14ac:dyDescent="0.3">
      <c r="D656" t="s">
        <v>278</v>
      </c>
      <c r="F656">
        <f>J552</f>
        <v>1800.384</v>
      </c>
      <c r="H656">
        <f>M552</f>
        <v>26856.468729281776</v>
      </c>
      <c r="J656" s="1">
        <f>F656/$G$669</f>
        <v>4.9914600117750428E-4</v>
      </c>
      <c r="L656" s="1"/>
      <c r="M656" s="1">
        <f>H656/$I$669</f>
        <v>4.5551665452036742E-4</v>
      </c>
      <c r="O656" s="1"/>
      <c r="U656" t="s">
        <v>278</v>
      </c>
      <c r="X656">
        <f>BB552</f>
        <v>1800.384</v>
      </c>
      <c r="Y656">
        <f>BC552</f>
        <v>26856.468729281776</v>
      </c>
      <c r="AA656" s="1">
        <f t="shared" si="114"/>
        <v>4.5551665642234936E-4</v>
      </c>
    </row>
    <row r="657" spans="3:27" x14ac:dyDescent="0.3">
      <c r="J657" s="1"/>
      <c r="L657" s="1"/>
      <c r="M657" s="1"/>
      <c r="O657" s="1"/>
      <c r="AA657" s="1">
        <f t="shared" si="114"/>
        <v>0</v>
      </c>
    </row>
    <row r="658" spans="3:27" x14ac:dyDescent="0.3">
      <c r="J658" s="1"/>
      <c r="L658" s="1"/>
      <c r="M658" s="1"/>
      <c r="O658" s="1"/>
      <c r="AA658" s="1">
        <f t="shared" si="114"/>
        <v>0</v>
      </c>
    </row>
    <row r="659" spans="3:27" x14ac:dyDescent="0.3">
      <c r="C659" t="s">
        <v>170</v>
      </c>
      <c r="G659">
        <f>J582</f>
        <v>407209.35577614867</v>
      </c>
      <c r="I659">
        <f>M582</f>
        <v>9999003.3832079805</v>
      </c>
      <c r="J659" s="1"/>
      <c r="L659" s="1">
        <f>G659/$G$669</f>
        <v>0.11289642741644687</v>
      </c>
      <c r="M659" s="1"/>
      <c r="O659" s="1">
        <f>I659/$I$669</f>
        <v>0.16959461854680483</v>
      </c>
      <c r="T659" t="s">
        <v>170</v>
      </c>
      <c r="AA659" s="1">
        <f t="shared" si="114"/>
        <v>0</v>
      </c>
    </row>
    <row r="660" spans="3:27" x14ac:dyDescent="0.3">
      <c r="D660" t="s">
        <v>41</v>
      </c>
      <c r="F660">
        <f>J564</f>
        <v>348671.12808522565</v>
      </c>
      <c r="H660">
        <f>M564</f>
        <v>9598041.4833705444</v>
      </c>
      <c r="J660" s="1">
        <f>F660/$G$669</f>
        <v>9.6667043980500716E-2</v>
      </c>
      <c r="L660" s="1"/>
      <c r="M660" s="1">
        <f>H660/$I$669</f>
        <v>0.1627938427245933</v>
      </c>
      <c r="O660" s="1"/>
      <c r="AA660" s="1">
        <f t="shared" si="114"/>
        <v>0</v>
      </c>
    </row>
    <row r="661" spans="3:27" x14ac:dyDescent="0.3">
      <c r="D661" t="s">
        <v>4</v>
      </c>
      <c r="F661">
        <f>J572</f>
        <v>56032.227690923013</v>
      </c>
      <c r="H661">
        <f>M572</f>
        <v>284861.89983743674</v>
      </c>
      <c r="J661" s="1">
        <f>F661/$G$669</f>
        <v>1.5534609499413264E-2</v>
      </c>
      <c r="L661" s="1"/>
      <c r="M661" s="1">
        <f>H661/$I$669</f>
        <v>4.8315860481235855E-3</v>
      </c>
      <c r="O661" s="1"/>
      <c r="U661" t="s">
        <v>1594</v>
      </c>
      <c r="X661">
        <f>BB575</f>
        <v>45682.108200000002</v>
      </c>
      <c r="Y661">
        <f>BC575</f>
        <v>136800</v>
      </c>
      <c r="AA661" s="1">
        <f t="shared" si="114"/>
        <v>2.3202856349701442E-3</v>
      </c>
    </row>
    <row r="662" spans="3:27" x14ac:dyDescent="0.3">
      <c r="D662" t="s">
        <v>276</v>
      </c>
      <c r="F662">
        <f>J577</f>
        <v>2506</v>
      </c>
      <c r="H662">
        <f>M577</f>
        <v>116100</v>
      </c>
      <c r="J662" s="1">
        <f>F662/$G$669</f>
        <v>6.9477393653288736E-4</v>
      </c>
      <c r="L662" s="1"/>
      <c r="M662" s="1">
        <f>H662/$I$669</f>
        <v>1.969189774087957E-3</v>
      </c>
      <c r="O662" s="1"/>
      <c r="U662" t="s">
        <v>276</v>
      </c>
      <c r="X662">
        <f>BB577</f>
        <v>3503.1833132800002</v>
      </c>
      <c r="Y662">
        <f>BC577</f>
        <v>117298.8</v>
      </c>
      <c r="AA662" s="1">
        <f t="shared" si="114"/>
        <v>1.9895228116903214E-3</v>
      </c>
    </row>
    <row r="663" spans="3:27" x14ac:dyDescent="0.3">
      <c r="J663" s="1"/>
      <c r="L663" s="1"/>
      <c r="M663" s="1"/>
      <c r="O663" s="1"/>
      <c r="AA663" s="1">
        <f t="shared" si="114"/>
        <v>0</v>
      </c>
    </row>
    <row r="664" spans="3:27" x14ac:dyDescent="0.3">
      <c r="C664" t="s">
        <v>47</v>
      </c>
      <c r="G664">
        <f>J606</f>
        <v>125448.92531492772</v>
      </c>
      <c r="I664">
        <f>M606</f>
        <v>504442.7570923508</v>
      </c>
      <c r="J664" s="1"/>
      <c r="L664" s="1">
        <f>G664/$G$669</f>
        <v>3.4779985504737633E-2</v>
      </c>
      <c r="M664" s="1"/>
      <c r="O664" s="1">
        <f>I664/$I$669</f>
        <v>8.555930395167893E-3</v>
      </c>
      <c r="T664" t="s">
        <v>47</v>
      </c>
      <c r="AA664" s="1">
        <f t="shared" si="114"/>
        <v>0</v>
      </c>
    </row>
    <row r="665" spans="3:27" x14ac:dyDescent="0.3">
      <c r="D665" t="s">
        <v>274</v>
      </c>
      <c r="F665">
        <f>J586</f>
        <v>104631.34968375351</v>
      </c>
      <c r="H665">
        <f>M586</f>
        <v>175486.83622995194</v>
      </c>
      <c r="J665" s="1">
        <f>F665/$G$669</f>
        <v>2.9008433641073621E-2</v>
      </c>
      <c r="L665" s="1"/>
      <c r="M665" s="1">
        <f>H665/$I$669</f>
        <v>2.9764589439368592E-3</v>
      </c>
      <c r="O665" s="1"/>
      <c r="AA665" s="1">
        <f t="shared" si="114"/>
        <v>0</v>
      </c>
    </row>
    <row r="666" spans="3:27" x14ac:dyDescent="0.3">
      <c r="D666" t="s">
        <v>4</v>
      </c>
      <c r="F666">
        <f>J591</f>
        <v>15690.473490774213</v>
      </c>
      <c r="H666">
        <f>M591</f>
        <v>252594.61145311708</v>
      </c>
      <c r="J666" s="1">
        <f>F666/$G$669</f>
        <v>4.3500925910814501E-3</v>
      </c>
      <c r="K666" s="1"/>
      <c r="M666" s="1">
        <f>H666/$I$669</f>
        <v>4.2842956577364239E-3</v>
      </c>
      <c r="N666" s="1"/>
      <c r="AA666" s="1">
        <f t="shared" si="114"/>
        <v>0</v>
      </c>
    </row>
    <row r="667" spans="3:27" x14ac:dyDescent="0.3">
      <c r="D667" t="s">
        <v>275</v>
      </c>
      <c r="F667">
        <f>J596</f>
        <v>5127.1021404000003</v>
      </c>
      <c r="H667">
        <f>M596</f>
        <v>76361.309409281777</v>
      </c>
      <c r="J667" s="1">
        <f>F667/$G$669</f>
        <v>1.4214592725825621E-3</v>
      </c>
      <c r="K667" s="1"/>
      <c r="M667" s="1">
        <f>H667/$I$669</f>
        <v>1.2951757934946094E-3</v>
      </c>
      <c r="N667" s="1"/>
      <c r="U667" t="s">
        <v>275</v>
      </c>
      <c r="X667">
        <f>BB596</f>
        <v>5127.1021404000003</v>
      </c>
      <c r="Y667">
        <f>BC596</f>
        <v>76361.309409281777</v>
      </c>
      <c r="AA667" s="1">
        <f t="shared" si="114"/>
        <v>1.2951757989025368E-3</v>
      </c>
    </row>
    <row r="668" spans="3:27" x14ac:dyDescent="0.3">
      <c r="K668" s="1"/>
      <c r="N668" s="1"/>
      <c r="AA668" s="1">
        <f t="shared" si="114"/>
        <v>0</v>
      </c>
    </row>
    <row r="669" spans="3:27" x14ac:dyDescent="0.3">
      <c r="C669" t="s">
        <v>191</v>
      </c>
      <c r="F669">
        <f>SUM(F626:F668)</f>
        <v>3606928.6255981736</v>
      </c>
      <c r="G669">
        <f>SUM(G626:G668)</f>
        <v>3606928.6255981736</v>
      </c>
      <c r="H669">
        <f>SUM(H626:H668)</f>
        <v>58958258.633946262</v>
      </c>
      <c r="I669">
        <f>SUM(I626:I668)</f>
        <v>58958258.633946277</v>
      </c>
      <c r="J669" s="1">
        <f>SUM(J628:J668)</f>
        <v>1</v>
      </c>
      <c r="K669" s="1">
        <f>SUM(K628:K668)</f>
        <v>1.0000000000000002</v>
      </c>
      <c r="M669" s="1">
        <f>SUM(M628:M668)</f>
        <v>1</v>
      </c>
      <c r="N669" s="1">
        <f>SUM(N628:N668)</f>
        <v>0.99999999999999967</v>
      </c>
      <c r="X669" s="14">
        <f>SUM(X628:X668)</f>
        <v>3606928.6255981736</v>
      </c>
      <c r="Y669">
        <f>SUM(Y628:Y667)</f>
        <v>58958258.387769677</v>
      </c>
      <c r="AA669" s="1">
        <f t="shared" si="114"/>
        <v>1</v>
      </c>
    </row>
    <row r="670" spans="3:27" x14ac:dyDescent="0.3">
      <c r="C670" t="s">
        <v>282</v>
      </c>
      <c r="G670">
        <f>J608</f>
        <v>3606928.6255981731</v>
      </c>
      <c r="I670">
        <f>M608</f>
        <v>58958258.633946285</v>
      </c>
    </row>
    <row r="672" spans="3:27" x14ac:dyDescent="0.3">
      <c r="T672">
        <f>F669/X669</f>
        <v>1</v>
      </c>
      <c r="X672" s="14">
        <f>F669-X669</f>
        <v>0</v>
      </c>
      <c r="Y672">
        <f>Y669-I669</f>
        <v>-0.24617660045623779</v>
      </c>
    </row>
    <row r="674" spans="2:18" x14ac:dyDescent="0.3">
      <c r="C674" t="s">
        <v>1756</v>
      </c>
      <c r="F674">
        <f>I565+I566</f>
        <v>255727.01128522566</v>
      </c>
      <c r="H674">
        <f>L565+L566</f>
        <v>8276801.8833705448</v>
      </c>
    </row>
    <row r="675" spans="2:18" x14ac:dyDescent="0.3">
      <c r="C675" t="s">
        <v>42</v>
      </c>
      <c r="F675">
        <f>I567</f>
        <v>25451.9136</v>
      </c>
      <c r="H675">
        <f>L567</f>
        <v>405516.24</v>
      </c>
    </row>
    <row r="676" spans="2:18" x14ac:dyDescent="0.3">
      <c r="C676" t="s">
        <v>1491</v>
      </c>
      <c r="F676">
        <f>I568</f>
        <v>67492.203200000004</v>
      </c>
      <c r="H676">
        <f>L568</f>
        <v>915723.36</v>
      </c>
    </row>
    <row r="680" spans="2:18" s="70" customFormat="1" x14ac:dyDescent="0.3">
      <c r="B680" s="71" t="s">
        <v>308</v>
      </c>
      <c r="C680" s="47"/>
      <c r="D680" s="47"/>
    </row>
    <row r="683" spans="2:18" x14ac:dyDescent="0.3">
      <c r="O683" s="371" t="s">
        <v>2104</v>
      </c>
      <c r="P683" s="372"/>
      <c r="Q683" s="372"/>
      <c r="R683" s="372"/>
    </row>
    <row r="684" spans="2:18" x14ac:dyDescent="0.3">
      <c r="O684" s="42"/>
      <c r="P684" s="42"/>
      <c r="Q684" s="42"/>
      <c r="R684" s="42"/>
    </row>
    <row r="685" spans="2:18" x14ac:dyDescent="0.3">
      <c r="C685" t="s">
        <v>309</v>
      </c>
      <c r="O685" s="44" t="s">
        <v>211</v>
      </c>
      <c r="P685" s="299">
        <f>F640</f>
        <v>180964.12309176949</v>
      </c>
      <c r="Q685" s="299">
        <f>H640</f>
        <v>2899466.9055184745</v>
      </c>
    </row>
    <row r="686" spans="2:18" x14ac:dyDescent="0.3">
      <c r="G686" s="376" t="s">
        <v>32</v>
      </c>
      <c r="H686" s="376"/>
      <c r="O686" s="44" t="s">
        <v>1778</v>
      </c>
      <c r="P686" s="299">
        <f>F645</f>
        <v>198224</v>
      </c>
      <c r="Q686" s="299">
        <f>H645</f>
        <v>3027520</v>
      </c>
    </row>
    <row r="687" spans="2:18" x14ac:dyDescent="0.3">
      <c r="D687" t="s">
        <v>310</v>
      </c>
      <c r="F687" t="s">
        <v>1140</v>
      </c>
      <c r="G687">
        <f>G626</f>
        <v>2923915.7427901062</v>
      </c>
      <c r="H687" s="1">
        <f>G687/$G$691</f>
        <v>0.81063864752943471</v>
      </c>
      <c r="O687" s="44" t="s">
        <v>1779</v>
      </c>
      <c r="P687" s="299">
        <f>F644</f>
        <v>609112.09960000007</v>
      </c>
      <c r="Q687" s="299">
        <f>H644</f>
        <v>9322752.0546666663</v>
      </c>
    </row>
    <row r="688" spans="2:18" x14ac:dyDescent="0.3">
      <c r="F688" t="s">
        <v>49</v>
      </c>
      <c r="G688">
        <f>G653</f>
        <v>150354.60171699038</v>
      </c>
      <c r="H688" s="1">
        <f>G688/$G$691</f>
        <v>4.1684939549380615E-2</v>
      </c>
      <c r="O688" s="44" t="s">
        <v>1780</v>
      </c>
      <c r="P688" s="299">
        <f>F643</f>
        <v>16717.742666666669</v>
      </c>
      <c r="Q688" s="299">
        <f>H643</f>
        <v>745011.01333333331</v>
      </c>
    </row>
    <row r="689" spans="6:17" x14ac:dyDescent="0.3">
      <c r="F689" t="s">
        <v>1138</v>
      </c>
      <c r="G689">
        <f>G659</f>
        <v>407209.35577614867</v>
      </c>
      <c r="H689" s="1">
        <f t="shared" ref="H689:H691" si="115">G689/$G$691</f>
        <v>0.11289642741644687</v>
      </c>
      <c r="O689" s="44" t="s">
        <v>1781</v>
      </c>
      <c r="P689" s="299">
        <f>F646</f>
        <v>16769.750400000001</v>
      </c>
      <c r="Q689" s="299">
        <f>H646</f>
        <v>256128.19199999998</v>
      </c>
    </row>
    <row r="690" spans="6:17" x14ac:dyDescent="0.3">
      <c r="F690" t="s">
        <v>1139</v>
      </c>
      <c r="G690">
        <f>G664</f>
        <v>125448.92531492772</v>
      </c>
      <c r="H690" s="1">
        <f t="shared" si="115"/>
        <v>3.4779985504737633E-2</v>
      </c>
      <c r="O690" s="44" t="s">
        <v>1152</v>
      </c>
      <c r="P690" s="299">
        <f>F637</f>
        <v>69937.890992530345</v>
      </c>
      <c r="Q690" s="299">
        <f>H637</f>
        <v>1050779.3883367174</v>
      </c>
    </row>
    <row r="691" spans="6:17" x14ac:dyDescent="0.3">
      <c r="F691" t="s">
        <v>55</v>
      </c>
      <c r="G691">
        <f>G669</f>
        <v>3606928.6255981736</v>
      </c>
      <c r="H691" s="1">
        <f t="shared" si="115"/>
        <v>1</v>
      </c>
      <c r="O691" s="44" t="s">
        <v>358</v>
      </c>
      <c r="P691" s="299">
        <f>F641</f>
        <v>29959.234733096084</v>
      </c>
      <c r="Q691" s="299">
        <f>H641</f>
        <v>417127.85765124555</v>
      </c>
    </row>
    <row r="692" spans="6:17" x14ac:dyDescent="0.3">
      <c r="O692" s="44" t="s">
        <v>330</v>
      </c>
      <c r="P692" s="299">
        <f>F639</f>
        <v>87457.5</v>
      </c>
      <c r="Q692" s="299">
        <f>H639</f>
        <v>1542750.3</v>
      </c>
    </row>
    <row r="693" spans="6:17" x14ac:dyDescent="0.3">
      <c r="G693" s="376" t="s">
        <v>162</v>
      </c>
      <c r="H693" s="376"/>
      <c r="O693" s="44" t="s">
        <v>133</v>
      </c>
      <c r="P693" s="299">
        <f>F642</f>
        <v>18300</v>
      </c>
      <c r="Q693" s="299">
        <f>H642</f>
        <v>285000</v>
      </c>
    </row>
    <row r="694" spans="6:17" x14ac:dyDescent="0.3">
      <c r="G694">
        <f>I626</f>
        <v>46299294.710681409</v>
      </c>
      <c r="H694" s="1">
        <f>G694/$G$698</f>
        <v>0.7852893858032598</v>
      </c>
    </row>
    <row r="695" spans="6:17" x14ac:dyDescent="0.3">
      <c r="G695">
        <f>I653</f>
        <v>2155517.7829645397</v>
      </c>
      <c r="H695" s="1">
        <f>G695/$G$698</f>
        <v>3.6560065254767578E-2</v>
      </c>
    </row>
    <row r="696" spans="6:17" x14ac:dyDescent="0.3">
      <c r="G696">
        <f>I659</f>
        <v>9999003.3832079805</v>
      </c>
      <c r="H696" s="1">
        <f>G696/$G$698</f>
        <v>0.16959461854680483</v>
      </c>
    </row>
    <row r="697" spans="6:17" x14ac:dyDescent="0.3">
      <c r="G697">
        <f>I664</f>
        <v>504442.7570923508</v>
      </c>
      <c r="H697" s="1">
        <f>G697/$G$698</f>
        <v>8.555930395167893E-3</v>
      </c>
    </row>
    <row r="698" spans="6:17" x14ac:dyDescent="0.3">
      <c r="G698">
        <f>I669</f>
        <v>58958258.633946277</v>
      </c>
      <c r="H698" s="1">
        <f>G698/$G$698</f>
        <v>1</v>
      </c>
    </row>
    <row r="713" spans="2:11" x14ac:dyDescent="0.3">
      <c r="B713" s="70"/>
      <c r="C713" s="70"/>
      <c r="D713" s="70"/>
      <c r="E713" s="70"/>
      <c r="F713" s="70"/>
      <c r="G713" s="70"/>
      <c r="H713" s="70"/>
      <c r="I713" s="70"/>
      <c r="J713" s="70"/>
      <c r="K713" s="70"/>
    </row>
    <row r="714" spans="2:11" x14ac:dyDescent="0.3">
      <c r="C714" t="s">
        <v>272</v>
      </c>
      <c r="F714">
        <f>G626</f>
        <v>2923915.7427901062</v>
      </c>
      <c r="G714">
        <f>F626</f>
        <v>0</v>
      </c>
      <c r="H714">
        <f>F714/$F$62</f>
        <v>6.3215972714951443</v>
      </c>
      <c r="I714">
        <f t="shared" ref="H714:I743" si="116">G714/$F$62</f>
        <v>0</v>
      </c>
      <c r="J714" s="1">
        <f t="shared" ref="J714:J727" si="117">H714/$I$744</f>
        <v>0.85780388482631886</v>
      </c>
      <c r="K714" s="1">
        <f t="shared" ref="K714:K727" si="118">I714/$I$744</f>
        <v>0</v>
      </c>
    </row>
    <row r="715" spans="2:11" x14ac:dyDescent="0.3">
      <c r="D715" t="str">
        <f>D628</f>
        <v>Tether</v>
      </c>
      <c r="F715">
        <f>G628</f>
        <v>0</v>
      </c>
      <c r="G715">
        <f>F628</f>
        <v>29691.724148294641</v>
      </c>
      <c r="H715">
        <f t="shared" ref="H715" si="119">G628</f>
        <v>0</v>
      </c>
      <c r="I715">
        <f t="shared" si="116"/>
        <v>6.4194436116937009E-2</v>
      </c>
      <c r="J715" s="1">
        <f t="shared" si="117"/>
        <v>0</v>
      </c>
      <c r="K715" s="1">
        <f t="shared" si="118"/>
        <v>8.7108106259226464E-3</v>
      </c>
    </row>
    <row r="716" spans="2:11" x14ac:dyDescent="0.3">
      <c r="D716" t="str">
        <f>D630</f>
        <v>Aircraft</v>
      </c>
      <c r="F716">
        <f>G630</f>
        <v>0</v>
      </c>
      <c r="G716">
        <f>F630</f>
        <v>412683.55602658965</v>
      </c>
      <c r="H716">
        <f t="shared" ref="H716" si="120">G630</f>
        <v>0</v>
      </c>
      <c r="I716">
        <f t="shared" si="116"/>
        <v>0.89223475341296021</v>
      </c>
      <c r="J716" s="1">
        <f t="shared" si="117"/>
        <v>0</v>
      </c>
      <c r="K716" s="1">
        <f t="shared" si="118"/>
        <v>0.12107105289762807</v>
      </c>
    </row>
    <row r="717" spans="2:11" x14ac:dyDescent="0.3">
      <c r="D717" t="str">
        <f>D632</f>
        <v>Full deck</v>
      </c>
      <c r="F717">
        <f>G632</f>
        <v>0</v>
      </c>
      <c r="G717">
        <f>F632</f>
        <v>470496.6822765742</v>
      </c>
      <c r="H717">
        <f t="shared" ref="H717" si="121">G632</f>
        <v>0</v>
      </c>
      <c r="I717">
        <f t="shared" si="116"/>
        <v>1.0172285402755599</v>
      </c>
      <c r="J717" s="1">
        <f t="shared" si="117"/>
        <v>0</v>
      </c>
      <c r="K717" s="1">
        <f t="shared" si="118"/>
        <v>0.13803198086331164</v>
      </c>
    </row>
    <row r="718" spans="2:11" x14ac:dyDescent="0.3">
      <c r="D718" t="str">
        <f>D633</f>
        <v>Catapult</v>
      </c>
      <c r="F718">
        <f>G633</f>
        <v>0</v>
      </c>
      <c r="G718">
        <f>F633</f>
        <v>132296.28</v>
      </c>
      <c r="H718">
        <f t="shared" ref="H718" si="122">G633</f>
        <v>0</v>
      </c>
      <c r="I718">
        <f t="shared" si="116"/>
        <v>0.28602869447903695</v>
      </c>
      <c r="J718" s="1">
        <f t="shared" si="117"/>
        <v>0</v>
      </c>
      <c r="K718" s="1">
        <f t="shared" si="118"/>
        <v>3.8812425840896371E-2</v>
      </c>
    </row>
    <row r="719" spans="2:11" x14ac:dyDescent="0.3">
      <c r="D719" t="str">
        <f t="shared" ref="D719" si="123">D635</f>
        <v>Yaw</v>
      </c>
      <c r="F719">
        <f>G635</f>
        <v>0</v>
      </c>
      <c r="G719">
        <f>F635</f>
        <v>74095.72</v>
      </c>
      <c r="H719">
        <f t="shared" ref="H719" si="124">G635</f>
        <v>0</v>
      </c>
      <c r="I719">
        <f t="shared" si="116"/>
        <v>0.16019726373322263</v>
      </c>
      <c r="J719" s="1">
        <f t="shared" si="117"/>
        <v>0</v>
      </c>
      <c r="K719" s="1">
        <f t="shared" si="118"/>
        <v>2.1737834485049935E-2</v>
      </c>
    </row>
    <row r="720" spans="2:11" x14ac:dyDescent="0.3">
      <c r="D720" t="str">
        <f>D637</f>
        <v xml:space="preserve">Generator </v>
      </c>
      <c r="F720">
        <f>G637</f>
        <v>0</v>
      </c>
      <c r="G720" s="14">
        <f t="shared" ref="G720:H728" si="125">F637</f>
        <v>69937.890992530345</v>
      </c>
      <c r="H720" s="14">
        <f t="shared" si="125"/>
        <v>0</v>
      </c>
      <c r="I720">
        <f t="shared" si="116"/>
        <v>0.15120790739702319</v>
      </c>
      <c r="J720" s="1">
        <f t="shared" si="117"/>
        <v>0</v>
      </c>
      <c r="K720" s="1">
        <f t="shared" si="118"/>
        <v>2.0518031252400131E-2</v>
      </c>
    </row>
    <row r="721" spans="3:11" x14ac:dyDescent="0.3">
      <c r="D721">
        <f t="shared" ref="D721:D728" si="126">D638</f>
        <v>0</v>
      </c>
      <c r="F721">
        <f>G638</f>
        <v>0</v>
      </c>
      <c r="G721" s="14">
        <f t="shared" si="125"/>
        <v>0</v>
      </c>
      <c r="H721" s="14">
        <f t="shared" si="125"/>
        <v>0</v>
      </c>
      <c r="I721">
        <f t="shared" si="116"/>
        <v>0</v>
      </c>
      <c r="J721" s="1">
        <f t="shared" si="117"/>
        <v>0</v>
      </c>
      <c r="K721" s="1">
        <f t="shared" si="118"/>
        <v>0</v>
      </c>
    </row>
    <row r="722" spans="3:11" x14ac:dyDescent="0.3">
      <c r="D722" t="str">
        <f t="shared" si="126"/>
        <v>Transformer</v>
      </c>
      <c r="F722">
        <f>G639</f>
        <v>0</v>
      </c>
      <c r="G722" s="14">
        <f t="shared" si="125"/>
        <v>87457.5</v>
      </c>
      <c r="H722" s="14">
        <f t="shared" si="125"/>
        <v>0</v>
      </c>
      <c r="I722">
        <f t="shared" si="116"/>
        <v>0.1890858499377335</v>
      </c>
      <c r="J722" s="1">
        <f t="shared" si="117"/>
        <v>0</v>
      </c>
      <c r="K722" s="1">
        <f t="shared" si="118"/>
        <v>2.5657847166830349E-2</v>
      </c>
    </row>
    <row r="723" spans="3:11" x14ac:dyDescent="0.3">
      <c r="D723" t="str">
        <f t="shared" si="126"/>
        <v>Drum</v>
      </c>
      <c r="F723">
        <f>G640</f>
        <v>0</v>
      </c>
      <c r="G723" s="14">
        <f t="shared" si="125"/>
        <v>180964.12309176949</v>
      </c>
      <c r="H723" s="14">
        <f t="shared" si="125"/>
        <v>0</v>
      </c>
      <c r="I723">
        <f t="shared" si="116"/>
        <v>0.39125009316575321</v>
      </c>
      <c r="J723" s="1">
        <f t="shared" si="117"/>
        <v>0</v>
      </c>
      <c r="K723" s="1">
        <f t="shared" si="118"/>
        <v>5.3090356035424023E-2</v>
      </c>
    </row>
    <row r="724" spans="3:11" x14ac:dyDescent="0.3">
      <c r="D724" t="str">
        <f t="shared" si="126"/>
        <v>Converter</v>
      </c>
      <c r="F724">
        <f>G641</f>
        <v>0</v>
      </c>
      <c r="G724" s="14">
        <f t="shared" si="125"/>
        <v>29959.234733096084</v>
      </c>
      <c r="H724" s="14">
        <f t="shared" si="125"/>
        <v>0</v>
      </c>
      <c r="I724">
        <f t="shared" si="116"/>
        <v>6.4772802366767163E-2</v>
      </c>
      <c r="J724" s="1">
        <f t="shared" si="117"/>
        <v>0</v>
      </c>
      <c r="K724" s="1">
        <f t="shared" si="118"/>
        <v>8.7892915532341385E-3</v>
      </c>
    </row>
    <row r="725" spans="3:11" x14ac:dyDescent="0.3">
      <c r="D725" t="str">
        <f t="shared" si="126"/>
        <v>Electronics</v>
      </c>
      <c r="F725">
        <f t="shared" ref="F725" si="127">G643</f>
        <v>0</v>
      </c>
      <c r="G725" s="14">
        <f t="shared" si="125"/>
        <v>18300</v>
      </c>
      <c r="H725" s="14">
        <f t="shared" si="125"/>
        <v>0</v>
      </c>
      <c r="I725">
        <f t="shared" si="116"/>
        <v>3.9565172270651726E-2</v>
      </c>
      <c r="J725" s="1">
        <f t="shared" si="117"/>
        <v>0</v>
      </c>
      <c r="K725" s="1">
        <f t="shared" si="118"/>
        <v>5.3687631495640221E-3</v>
      </c>
    </row>
    <row r="726" spans="3:11" x14ac:dyDescent="0.3">
      <c r="D726" t="str">
        <f>D643</f>
        <v>Hydro extras</v>
      </c>
      <c r="F726">
        <f>G648</f>
        <v>0</v>
      </c>
      <c r="G726" s="14">
        <f t="shared" si="125"/>
        <v>16717.742666666669</v>
      </c>
      <c r="H726" s="14">
        <f t="shared" si="125"/>
        <v>0</v>
      </c>
      <c r="I726">
        <f t="shared" si="116"/>
        <v>3.6144282436234493E-2</v>
      </c>
      <c r="J726" s="1">
        <f t="shared" si="117"/>
        <v>0</v>
      </c>
      <c r="K726" s="1">
        <f t="shared" si="118"/>
        <v>4.9045683482346536E-3</v>
      </c>
    </row>
    <row r="727" spans="3:11" x14ac:dyDescent="0.3">
      <c r="D727" t="str">
        <f t="shared" si="126"/>
        <v>Hydro accumul</v>
      </c>
      <c r="F727">
        <f>G650</f>
        <v>0</v>
      </c>
      <c r="G727" s="14">
        <f t="shared" si="125"/>
        <v>609112.09960000007</v>
      </c>
      <c r="H727" s="14">
        <f t="shared" si="125"/>
        <v>0</v>
      </c>
      <c r="I727">
        <f t="shared" si="116"/>
        <v>1.3169194072575068</v>
      </c>
      <c r="J727" s="1">
        <f t="shared" si="117"/>
        <v>0</v>
      </c>
      <c r="K727" s="1">
        <f t="shared" si="118"/>
        <v>0.17869828384076777</v>
      </c>
    </row>
    <row r="728" spans="3:11" x14ac:dyDescent="0.3">
      <c r="D728" t="str">
        <f t="shared" si="126"/>
        <v>Hydro pistons</v>
      </c>
      <c r="G728" s="14">
        <f>F645</f>
        <v>198224</v>
      </c>
      <c r="H728" s="14">
        <f t="shared" si="125"/>
        <v>0</v>
      </c>
      <c r="I728">
        <f t="shared" si="116"/>
        <v>0.42856648678566489</v>
      </c>
      <c r="J728" s="1">
        <f t="shared" ref="J728:J731" si="128">H728/$I$744</f>
        <v>0</v>
      </c>
      <c r="K728" s="1">
        <f t="shared" ref="K728:K731" si="129">I728/$I$744</f>
        <v>5.8153973036020691E-2</v>
      </c>
    </row>
    <row r="729" spans="3:11" x14ac:dyDescent="0.3">
      <c r="D729" t="str">
        <f>D646</f>
        <v>Hydro motor grid</v>
      </c>
      <c r="G729" s="14">
        <f>F646</f>
        <v>16769.750400000001</v>
      </c>
      <c r="H729" s="14">
        <f t="shared" ref="H729" si="130">G646</f>
        <v>0</v>
      </c>
      <c r="I729">
        <f t="shared" si="116"/>
        <v>3.6256724782067248E-2</v>
      </c>
      <c r="J729" s="1">
        <f t="shared" si="128"/>
        <v>0</v>
      </c>
      <c r="K729" s="1">
        <f t="shared" si="129"/>
        <v>4.9198261188473499E-3</v>
      </c>
    </row>
    <row r="730" spans="3:11" x14ac:dyDescent="0.3">
      <c r="D730" s="14" t="str">
        <f>D648</f>
        <v>Foundations</v>
      </c>
      <c r="G730" s="14">
        <f>F648</f>
        <v>75122.49969897652</v>
      </c>
      <c r="H730" s="14">
        <f t="shared" ref="H730" si="131">G648</f>
        <v>0</v>
      </c>
      <c r="I730">
        <f t="shared" si="116"/>
        <v>0.16241719355147477</v>
      </c>
      <c r="J730" s="1">
        <f t="shared" si="128"/>
        <v>0</v>
      </c>
      <c r="K730" s="1">
        <f t="shared" si="129"/>
        <v>2.2039066015683031E-2</v>
      </c>
    </row>
    <row r="731" spans="3:11" x14ac:dyDescent="0.3">
      <c r="D731" s="14" t="str">
        <f>D650</f>
        <v>Cables</v>
      </c>
      <c r="G731" s="14">
        <f>F650</f>
        <v>303764.63315007358</v>
      </c>
      <c r="H731" s="14">
        <f t="shared" ref="H731" si="132">G650</f>
        <v>0</v>
      </c>
      <c r="I731">
        <f t="shared" si="116"/>
        <v>0.65674863608273137</v>
      </c>
      <c r="J731" s="1">
        <f t="shared" si="128"/>
        <v>0</v>
      </c>
      <c r="K731" s="1">
        <f t="shared" si="129"/>
        <v>8.9116960032620138E-2</v>
      </c>
    </row>
    <row r="732" spans="3:11" x14ac:dyDescent="0.3">
      <c r="C732" t="s">
        <v>273</v>
      </c>
      <c r="F732">
        <f>G653</f>
        <v>150354.60171699038</v>
      </c>
      <c r="G732">
        <f>F653</f>
        <v>0</v>
      </c>
      <c r="H732">
        <f t="shared" si="116"/>
        <v>0.32507135074415039</v>
      </c>
      <c r="I732">
        <f t="shared" si="116"/>
        <v>0</v>
      </c>
      <c r="J732" s="1">
        <f t="shared" ref="J732:J743" si="133">H732/$I$744</f>
        <v>4.4110286615604004E-2</v>
      </c>
      <c r="K732" s="1">
        <f t="shared" ref="K732:K743" si="134">I732/$I$744</f>
        <v>0</v>
      </c>
    </row>
    <row r="733" spans="3:11" x14ac:dyDescent="0.3">
      <c r="D733" t="s">
        <v>4</v>
      </c>
      <c r="F733">
        <f>G654</f>
        <v>0</v>
      </c>
      <c r="G733">
        <f>F654</f>
        <v>146740.56971699037</v>
      </c>
      <c r="H733">
        <f t="shared" si="116"/>
        <v>0</v>
      </c>
      <c r="I733">
        <f t="shared" si="116"/>
        <v>0.31725770054351382</v>
      </c>
      <c r="J733" s="1">
        <f t="shared" si="133"/>
        <v>0</v>
      </c>
      <c r="K733" s="1">
        <f t="shared" si="134"/>
        <v>4.3050019849322843E-2</v>
      </c>
    </row>
    <row r="734" spans="3:11" x14ac:dyDescent="0.3">
      <c r="D734" t="s">
        <v>277</v>
      </c>
      <c r="F734">
        <f>G655</f>
        <v>0</v>
      </c>
      <c r="G734">
        <f>F655</f>
        <v>1813.6480000000001</v>
      </c>
      <c r="H734">
        <f t="shared" si="116"/>
        <v>0</v>
      </c>
      <c r="I734">
        <f>G734/$F$62</f>
        <v>3.9211636917116368E-3</v>
      </c>
      <c r="J734" s="1">
        <f t="shared" si="133"/>
        <v>0</v>
      </c>
      <c r="K734" s="1">
        <f t="shared" si="134"/>
        <v>5.32079046375983E-4</v>
      </c>
    </row>
    <row r="735" spans="3:11" x14ac:dyDescent="0.3">
      <c r="D735" t="s">
        <v>278</v>
      </c>
      <c r="F735">
        <f>G656</f>
        <v>0</v>
      </c>
      <c r="G735">
        <f>F656</f>
        <v>1800.384</v>
      </c>
      <c r="H735">
        <f t="shared" si="116"/>
        <v>0</v>
      </c>
      <c r="I735">
        <f t="shared" si="116"/>
        <v>3.892486508924865E-3</v>
      </c>
      <c r="J735" s="1">
        <f t="shared" si="133"/>
        <v>0</v>
      </c>
      <c r="K735" s="1">
        <f t="shared" si="134"/>
        <v>5.2818771990517329E-4</v>
      </c>
    </row>
    <row r="736" spans="3:11" x14ac:dyDescent="0.3">
      <c r="C736" t="s">
        <v>170</v>
      </c>
      <c r="F736">
        <f>G659</f>
        <v>407209.35577614867</v>
      </c>
      <c r="G736">
        <f>F659</f>
        <v>0</v>
      </c>
      <c r="H736">
        <f t="shared" si="116"/>
        <v>0.880399361284395</v>
      </c>
      <c r="I736">
        <f t="shared" si="116"/>
        <v>0</v>
      </c>
      <c r="J736" s="1">
        <f t="shared" si="133"/>
        <v>0.11946505920484655</v>
      </c>
      <c r="K736" s="1">
        <f t="shared" si="134"/>
        <v>0</v>
      </c>
    </row>
    <row r="737" spans="3:11" x14ac:dyDescent="0.3">
      <c r="D737" t="s">
        <v>41</v>
      </c>
      <c r="F737">
        <f>G660</f>
        <v>0</v>
      </c>
      <c r="G737">
        <f>F660</f>
        <v>348671.12808522565</v>
      </c>
      <c r="H737">
        <f t="shared" si="116"/>
        <v>0</v>
      </c>
      <c r="I737">
        <f t="shared" si="116"/>
        <v>0.75383788243138938</v>
      </c>
      <c r="J737" s="1">
        <f t="shared" si="133"/>
        <v>0</v>
      </c>
      <c r="K737" s="1">
        <f t="shared" si="134"/>
        <v>0.10229140457818997</v>
      </c>
    </row>
    <row r="738" spans="3:11" x14ac:dyDescent="0.3">
      <c r="D738" t="s">
        <v>4</v>
      </c>
      <c r="F738">
        <f>G661</f>
        <v>0</v>
      </c>
      <c r="G738">
        <f>F661</f>
        <v>56032.227690923013</v>
      </c>
      <c r="H738">
        <f t="shared" si="116"/>
        <v>0</v>
      </c>
      <c r="I738">
        <f t="shared" si="116"/>
        <v>0.12114342848632519</v>
      </c>
      <c r="J738" s="1">
        <f t="shared" si="133"/>
        <v>0</v>
      </c>
      <c r="K738" s="1">
        <f t="shared" si="134"/>
        <v>1.6438456787705367E-2</v>
      </c>
    </row>
    <row r="739" spans="3:11" x14ac:dyDescent="0.3">
      <c r="D739" t="s">
        <v>276</v>
      </c>
      <c r="F739">
        <f>G662</f>
        <v>0</v>
      </c>
      <c r="G739">
        <f>F662</f>
        <v>2506</v>
      </c>
      <c r="H739">
        <f t="shared" si="116"/>
        <v>0</v>
      </c>
      <c r="I739">
        <f t="shared" si="116"/>
        <v>5.4180503666805034E-3</v>
      </c>
      <c r="J739" s="1">
        <f t="shared" si="133"/>
        <v>0</v>
      </c>
      <c r="K739" s="1">
        <f t="shared" si="134"/>
        <v>7.3519783895122602E-4</v>
      </c>
    </row>
    <row r="740" spans="3:11" x14ac:dyDescent="0.3">
      <c r="C740" t="s">
        <v>47</v>
      </c>
      <c r="F740">
        <f>G664</f>
        <v>125448.92531492772</v>
      </c>
      <c r="G740">
        <f>F664</f>
        <v>0</v>
      </c>
      <c r="H740">
        <f t="shared" si="116"/>
        <v>0.27122449952203481</v>
      </c>
      <c r="I740">
        <f t="shared" si="116"/>
        <v>0</v>
      </c>
      <c r="J740" s="1">
        <f t="shared" si="133"/>
        <v>3.6803582917114372E-2</v>
      </c>
      <c r="K740" s="1">
        <f t="shared" si="134"/>
        <v>0</v>
      </c>
    </row>
    <row r="741" spans="3:11" x14ac:dyDescent="0.3">
      <c r="D741" t="s">
        <v>274</v>
      </c>
      <c r="F741">
        <f>G665</f>
        <v>0</v>
      </c>
      <c r="G741">
        <f>F665</f>
        <v>104631.34968375351</v>
      </c>
      <c r="H741">
        <f t="shared" si="116"/>
        <v>0</v>
      </c>
      <c r="I741">
        <f t="shared" si="116"/>
        <v>0.22621625000811521</v>
      </c>
      <c r="J741" s="1">
        <f t="shared" si="133"/>
        <v>0</v>
      </c>
      <c r="K741" s="1">
        <f t="shared" si="134"/>
        <v>3.0696225927392511E-2</v>
      </c>
    </row>
    <row r="742" spans="3:11" x14ac:dyDescent="0.3">
      <c r="D742" t="s">
        <v>4</v>
      </c>
      <c r="F742">
        <f>G666</f>
        <v>0</v>
      </c>
      <c r="G742">
        <f>F666</f>
        <v>15690.473490774213</v>
      </c>
      <c r="H742">
        <f t="shared" si="116"/>
        <v>0</v>
      </c>
      <c r="I742">
        <f t="shared" si="116"/>
        <v>3.3923294353583378E-2</v>
      </c>
      <c r="J742" s="1">
        <f t="shared" si="133"/>
        <v>0</v>
      </c>
      <c r="K742" s="1">
        <f t="shared" si="134"/>
        <v>4.6031932172939747E-3</v>
      </c>
    </row>
    <row r="743" spans="3:11" x14ac:dyDescent="0.3">
      <c r="D743" t="s">
        <v>275</v>
      </c>
      <c r="F743">
        <f>G667</f>
        <v>0</v>
      </c>
      <c r="G743">
        <f>F667</f>
        <v>5127.1021404000003</v>
      </c>
      <c r="H743">
        <f t="shared" si="116"/>
        <v>0</v>
      </c>
      <c r="I743">
        <f t="shared" si="116"/>
        <v>1.108495516033624E-2</v>
      </c>
      <c r="J743" s="1">
        <f t="shared" si="133"/>
        <v>0</v>
      </c>
      <c r="K743" s="1">
        <f t="shared" si="134"/>
        <v>1.5041637724278875E-3</v>
      </c>
    </row>
    <row r="744" spans="3:11" x14ac:dyDescent="0.3">
      <c r="I744">
        <f>SUM(I714:I743)</f>
        <v>7.369513455601906</v>
      </c>
      <c r="J744" s="1"/>
      <c r="K744" s="1"/>
    </row>
    <row r="758" spans="2:12" x14ac:dyDescent="0.3">
      <c r="B758" s="368"/>
      <c r="C758" s="368"/>
      <c r="D758" s="368"/>
      <c r="E758" s="368"/>
      <c r="F758" s="368"/>
      <c r="G758" s="368"/>
      <c r="H758" s="368"/>
      <c r="I758" s="368"/>
      <c r="J758" s="368"/>
      <c r="K758" s="368">
        <v>0</v>
      </c>
      <c r="L758" s="368"/>
    </row>
    <row r="759" spans="2:12" x14ac:dyDescent="0.3">
      <c r="B759" s="368"/>
      <c r="C759" s="368" t="s">
        <v>272</v>
      </c>
      <c r="D759" s="368"/>
      <c r="E759" s="368"/>
      <c r="F759" s="368"/>
      <c r="G759" s="368"/>
      <c r="H759" s="368"/>
      <c r="I759" s="368"/>
      <c r="J759" s="368"/>
      <c r="K759" s="368"/>
      <c r="L759" s="368"/>
    </row>
    <row r="760" spans="2:12" x14ac:dyDescent="0.3">
      <c r="B760" s="368"/>
      <c r="C760" s="368"/>
      <c r="D760" s="368" t="s">
        <v>14</v>
      </c>
      <c r="E760" s="368"/>
      <c r="F760" s="368"/>
      <c r="G760" s="368"/>
      <c r="H760" s="368"/>
      <c r="I760" s="368"/>
      <c r="J760" s="368"/>
      <c r="K760" s="368"/>
      <c r="L760" s="368"/>
    </row>
    <row r="761" spans="2:12" x14ac:dyDescent="0.3">
      <c r="B761" s="368"/>
      <c r="C761" s="368"/>
      <c r="D761" s="368" t="s">
        <v>15</v>
      </c>
      <c r="E761" s="368"/>
      <c r="F761" s="368">
        <v>3.9211636917116368E-3</v>
      </c>
      <c r="G761" s="368"/>
      <c r="H761" s="368"/>
      <c r="I761" s="368"/>
      <c r="J761" s="368"/>
      <c r="K761" s="368">
        <v>6.4194436116937009E-2</v>
      </c>
      <c r="L761" s="368"/>
    </row>
    <row r="762" spans="2:12" x14ac:dyDescent="0.3">
      <c r="B762" s="368"/>
      <c r="C762" s="368"/>
      <c r="D762" s="368" t="s">
        <v>1143</v>
      </c>
      <c r="E762" s="368"/>
      <c r="F762" s="368">
        <v>3.892486508924865E-3</v>
      </c>
      <c r="G762" s="368"/>
      <c r="H762" s="368"/>
      <c r="I762" s="368"/>
      <c r="J762" s="368"/>
      <c r="K762" s="368">
        <v>0.89223475341296021</v>
      </c>
      <c r="L762" s="368"/>
    </row>
    <row r="763" spans="2:12" x14ac:dyDescent="0.3">
      <c r="B763" s="368"/>
      <c r="C763" s="368"/>
      <c r="D763" s="368" t="s">
        <v>1144</v>
      </c>
      <c r="E763" s="368"/>
      <c r="F763" s="368">
        <v>0</v>
      </c>
      <c r="G763" s="368"/>
      <c r="H763" s="368"/>
      <c r="I763" s="368"/>
      <c r="J763" s="368"/>
      <c r="K763" s="368">
        <v>1.0172285402755599</v>
      </c>
      <c r="L763" s="368"/>
    </row>
    <row r="764" spans="2:12" x14ac:dyDescent="0.3">
      <c r="B764" s="368"/>
      <c r="C764" s="368"/>
      <c r="D764" s="368" t="s">
        <v>253</v>
      </c>
      <c r="E764" s="368"/>
      <c r="F764" s="368">
        <v>0.75383788243138905</v>
      </c>
      <c r="G764" s="368"/>
      <c r="H764" s="368"/>
      <c r="I764" s="368"/>
      <c r="J764" s="368"/>
      <c r="K764" s="368">
        <v>0.28602869447903695</v>
      </c>
      <c r="L764" s="368"/>
    </row>
    <row r="765" spans="2:12" x14ac:dyDescent="0.3">
      <c r="B765" s="368"/>
      <c r="C765" s="368"/>
      <c r="D765" s="368" t="s">
        <v>279</v>
      </c>
      <c r="E765" s="368"/>
      <c r="F765" s="368">
        <v>0.12114342848632519</v>
      </c>
      <c r="G765" s="368"/>
      <c r="H765" s="368"/>
      <c r="I765" s="368"/>
      <c r="J765" s="368"/>
      <c r="K765" s="368">
        <v>0.16019726373322263</v>
      </c>
      <c r="L765" s="368"/>
    </row>
    <row r="766" spans="2:12" x14ac:dyDescent="0.3">
      <c r="B766" s="368"/>
      <c r="C766" s="368"/>
      <c r="D766" s="368">
        <v>0</v>
      </c>
      <c r="E766" s="368"/>
      <c r="F766" s="368">
        <v>5.4180503666805034E-3</v>
      </c>
      <c r="G766" s="368"/>
      <c r="H766" s="368"/>
      <c r="I766" s="368"/>
      <c r="J766" s="368"/>
      <c r="K766" s="368">
        <v>0.15120790739702319</v>
      </c>
      <c r="L766" s="368"/>
    </row>
    <row r="767" spans="2:12" x14ac:dyDescent="0.3">
      <c r="B767" s="368"/>
      <c r="C767" s="368"/>
      <c r="D767" s="368" t="s">
        <v>26</v>
      </c>
      <c r="E767" s="368"/>
      <c r="F767" s="368">
        <v>0</v>
      </c>
      <c r="G767" s="368"/>
      <c r="H767" s="368"/>
      <c r="I767" s="368"/>
      <c r="J767" s="368"/>
      <c r="K767" s="368">
        <v>0</v>
      </c>
      <c r="L767" s="368"/>
    </row>
    <row r="768" spans="2:12" x14ac:dyDescent="0.3">
      <c r="B768" s="368"/>
      <c r="C768" s="368"/>
      <c r="D768" s="368" t="s">
        <v>280</v>
      </c>
      <c r="E768" s="368"/>
      <c r="F768" s="368">
        <v>0.22621625000811521</v>
      </c>
      <c r="G768" s="368"/>
      <c r="H768" s="368"/>
      <c r="I768" s="368"/>
      <c r="J768" s="368"/>
      <c r="K768" s="368">
        <v>0.1890858499377335</v>
      </c>
      <c r="L768" s="368"/>
    </row>
    <row r="769" spans="2:12" x14ac:dyDescent="0.3">
      <c r="B769" s="368"/>
      <c r="C769" s="368"/>
      <c r="D769" s="368" t="s">
        <v>212</v>
      </c>
      <c r="E769" s="368"/>
      <c r="F769" s="368">
        <v>3.3923294353583378E-2</v>
      </c>
      <c r="G769" s="368"/>
      <c r="H769" s="368"/>
      <c r="I769" s="368"/>
      <c r="J769" s="368"/>
      <c r="K769" s="368">
        <v>0.39125009316575321</v>
      </c>
      <c r="L769" s="368"/>
    </row>
    <row r="770" spans="2:12" x14ac:dyDescent="0.3">
      <c r="B770" s="368"/>
      <c r="C770" s="368"/>
      <c r="D770" s="368" t="s">
        <v>328</v>
      </c>
      <c r="E770" s="368"/>
      <c r="F770" s="368">
        <v>1.108495516033624E-2</v>
      </c>
      <c r="G770" s="368"/>
      <c r="H770" s="368"/>
      <c r="I770" s="368"/>
      <c r="J770" s="368"/>
      <c r="K770" s="368">
        <v>6.4772802366767163E-2</v>
      </c>
      <c r="L770" s="368"/>
    </row>
    <row r="771" spans="2:12" x14ac:dyDescent="0.3">
      <c r="B771" s="368"/>
      <c r="C771" s="368"/>
      <c r="D771" s="368" t="s">
        <v>1587</v>
      </c>
      <c r="E771" s="368"/>
      <c r="F771" s="368">
        <v>6.4194436116937009E-2</v>
      </c>
      <c r="G771" s="368"/>
      <c r="H771" s="368"/>
      <c r="I771" s="368"/>
      <c r="J771" s="368"/>
      <c r="K771" s="368">
        <v>3.9565172270651726E-2</v>
      </c>
      <c r="L771" s="368"/>
    </row>
    <row r="772" spans="2:12" x14ac:dyDescent="0.3">
      <c r="B772" s="368"/>
      <c r="C772" s="368"/>
      <c r="D772" s="368" t="s">
        <v>1584</v>
      </c>
      <c r="E772" s="368"/>
      <c r="F772" s="368">
        <v>0.89223475341296021</v>
      </c>
      <c r="G772" s="368"/>
      <c r="H772" s="368"/>
      <c r="I772" s="368"/>
      <c r="J772" s="368"/>
      <c r="K772" s="368">
        <v>3.6144282436234493E-2</v>
      </c>
      <c r="L772" s="368"/>
    </row>
    <row r="773" spans="2:12" x14ac:dyDescent="0.3">
      <c r="B773" s="368"/>
      <c r="C773" s="368"/>
      <c r="D773" s="368" t="s">
        <v>1585</v>
      </c>
      <c r="E773" s="368"/>
      <c r="F773" s="368">
        <v>1.0172285402755599</v>
      </c>
      <c r="G773" s="368"/>
      <c r="H773" s="368"/>
      <c r="I773" s="368"/>
      <c r="J773" s="368"/>
      <c r="K773" s="368">
        <v>1.3169194072575068</v>
      </c>
      <c r="L773" s="368"/>
    </row>
    <row r="774" spans="2:12" x14ac:dyDescent="0.3">
      <c r="B774" s="368"/>
      <c r="C774" s="368"/>
      <c r="D774" s="368" t="s">
        <v>1586</v>
      </c>
      <c r="E774" s="368"/>
      <c r="F774" s="368">
        <v>0.28602869447903695</v>
      </c>
      <c r="G774" s="368"/>
      <c r="H774" s="368"/>
      <c r="I774" s="368"/>
      <c r="J774" s="368"/>
      <c r="K774" s="368">
        <v>0.42856648678566489</v>
      </c>
      <c r="L774" s="368"/>
    </row>
    <row r="775" spans="2:12" x14ac:dyDescent="0.3">
      <c r="B775" s="368"/>
      <c r="C775" s="368"/>
      <c r="D775" s="368" t="s">
        <v>71</v>
      </c>
      <c r="E775" s="368"/>
      <c r="F775" s="368">
        <v>0.16019726373322263</v>
      </c>
      <c r="G775" s="368"/>
      <c r="H775" s="368"/>
      <c r="I775" s="368"/>
      <c r="J775" s="368"/>
      <c r="K775" s="368">
        <v>3.6256724782067248E-2</v>
      </c>
      <c r="L775" s="368"/>
    </row>
    <row r="776" spans="2:12" x14ac:dyDescent="0.3">
      <c r="B776" s="368"/>
      <c r="C776" s="368"/>
      <c r="D776" s="368" t="s">
        <v>281</v>
      </c>
      <c r="E776" s="368"/>
      <c r="F776" s="368">
        <v>0.15120790739702319</v>
      </c>
      <c r="G776" s="368"/>
      <c r="H776" s="368"/>
      <c r="I776" s="368"/>
      <c r="J776" s="368"/>
      <c r="K776" s="368">
        <v>0.16241719355147477</v>
      </c>
      <c r="L776" s="368"/>
    </row>
    <row r="777" spans="2:12" x14ac:dyDescent="0.3">
      <c r="B777" s="368"/>
      <c r="C777" s="368" t="s">
        <v>273</v>
      </c>
      <c r="D777" s="368"/>
      <c r="E777" s="368"/>
      <c r="F777" s="368">
        <v>0</v>
      </c>
      <c r="G777" s="368"/>
      <c r="H777" s="368"/>
      <c r="I777" s="368"/>
      <c r="J777" s="368"/>
      <c r="K777" s="368">
        <v>0.65674863608273137</v>
      </c>
      <c r="L777" s="368"/>
    </row>
    <row r="778" spans="2:12" x14ac:dyDescent="0.3">
      <c r="B778" s="368"/>
      <c r="C778" s="368"/>
      <c r="D778" s="368" t="s">
        <v>4</v>
      </c>
      <c r="E778" s="368"/>
      <c r="F778" s="368">
        <v>0.1890858499377335</v>
      </c>
      <c r="G778" s="368"/>
      <c r="H778" s="368"/>
      <c r="I778" s="368"/>
      <c r="J778" s="368"/>
      <c r="K778" s="368">
        <v>0</v>
      </c>
      <c r="L778" s="368"/>
    </row>
    <row r="779" spans="2:12" x14ac:dyDescent="0.3">
      <c r="B779" s="368"/>
      <c r="C779" s="368"/>
      <c r="D779" s="368" t="s">
        <v>277</v>
      </c>
      <c r="E779" s="368"/>
      <c r="F779" s="368">
        <v>0.39125009316575321</v>
      </c>
      <c r="G779" s="368"/>
      <c r="H779" s="368"/>
      <c r="I779" s="368"/>
      <c r="J779" s="368"/>
      <c r="K779" s="368">
        <v>0.31725770054351382</v>
      </c>
      <c r="L779" s="368"/>
    </row>
    <row r="780" spans="2:12" x14ac:dyDescent="0.3">
      <c r="B780" s="368"/>
      <c r="C780" s="368"/>
      <c r="D780" s="368" t="s">
        <v>278</v>
      </c>
      <c r="E780" s="368"/>
      <c r="F780" s="368">
        <v>6.4772802366767163E-2</v>
      </c>
      <c r="G780" s="368"/>
      <c r="H780" s="368"/>
      <c r="I780" s="368"/>
      <c r="J780" s="368"/>
      <c r="K780" s="368">
        <v>3.9211636917116368E-3</v>
      </c>
      <c r="L780" s="368"/>
    </row>
    <row r="781" spans="2:12" x14ac:dyDescent="0.3">
      <c r="B781" s="368"/>
      <c r="C781" s="368" t="s">
        <v>170</v>
      </c>
      <c r="D781" s="368"/>
      <c r="E781" s="368"/>
      <c r="F781" s="368">
        <v>3.9565172270651726E-2</v>
      </c>
      <c r="G781" s="368"/>
      <c r="H781" s="368"/>
      <c r="I781" s="368"/>
      <c r="J781" s="368"/>
      <c r="K781" s="368">
        <v>3.892486508924865E-3</v>
      </c>
      <c r="L781" s="368"/>
    </row>
    <row r="782" spans="2:12" x14ac:dyDescent="0.3">
      <c r="B782" s="368"/>
      <c r="C782" s="368"/>
      <c r="D782" s="368" t="s">
        <v>41</v>
      </c>
      <c r="E782" s="368"/>
      <c r="F782" s="368">
        <v>3.6144282436234493E-2</v>
      </c>
      <c r="G782" s="368"/>
      <c r="H782" s="368"/>
      <c r="I782" s="368"/>
      <c r="J782" s="368"/>
      <c r="K782" s="368">
        <v>0</v>
      </c>
      <c r="L782" s="368"/>
    </row>
    <row r="783" spans="2:12" x14ac:dyDescent="0.3">
      <c r="B783" s="368"/>
      <c r="C783" s="368"/>
      <c r="D783" s="368" t="s">
        <v>4</v>
      </c>
      <c r="E783" s="368"/>
      <c r="F783" s="368">
        <v>1.3169194072575068</v>
      </c>
      <c r="G783" s="368"/>
      <c r="H783" s="368"/>
      <c r="I783" s="368"/>
      <c r="J783" s="368"/>
      <c r="K783" s="368">
        <v>0.75383788243138938</v>
      </c>
      <c r="L783" s="368"/>
    </row>
    <row r="784" spans="2:12" x14ac:dyDescent="0.3">
      <c r="B784" s="368"/>
      <c r="C784" s="368"/>
      <c r="D784" s="368" t="s">
        <v>276</v>
      </c>
      <c r="E784" s="368"/>
      <c r="F784" s="368">
        <v>0.42856648678566489</v>
      </c>
      <c r="G784" s="368"/>
      <c r="H784" s="368"/>
      <c r="I784" s="368"/>
      <c r="J784" s="368"/>
      <c r="K784" s="368">
        <v>0.12114342848632519</v>
      </c>
      <c r="L784" s="368"/>
    </row>
    <row r="785" spans="2:12" x14ac:dyDescent="0.3">
      <c r="B785" s="368"/>
      <c r="C785" s="368" t="s">
        <v>47</v>
      </c>
      <c r="D785" s="368"/>
      <c r="E785" s="368"/>
      <c r="F785" s="368">
        <v>3.6256724782067248E-2</v>
      </c>
      <c r="G785" s="368"/>
      <c r="H785" s="368"/>
      <c r="I785" s="368"/>
      <c r="J785" s="368"/>
      <c r="K785" s="368">
        <v>5.4180503666805034E-3</v>
      </c>
      <c r="L785" s="368"/>
    </row>
    <row r="786" spans="2:12" x14ac:dyDescent="0.3">
      <c r="B786" s="368"/>
      <c r="C786" s="368"/>
      <c r="D786" s="368" t="s">
        <v>274</v>
      </c>
      <c r="E786" s="368"/>
      <c r="F786" s="368">
        <v>0.16241719355147477</v>
      </c>
      <c r="G786" s="368"/>
      <c r="H786" s="368"/>
      <c r="I786" s="368"/>
      <c r="J786" s="368"/>
      <c r="K786" s="368">
        <v>0</v>
      </c>
      <c r="L786" s="368"/>
    </row>
    <row r="787" spans="2:12" x14ac:dyDescent="0.3">
      <c r="B787" s="368"/>
      <c r="C787" s="368"/>
      <c r="D787" s="368" t="s">
        <v>4</v>
      </c>
      <c r="E787" s="368"/>
      <c r="F787" s="368">
        <v>0.65674863608273137</v>
      </c>
      <c r="G787" s="368"/>
      <c r="H787" s="368"/>
      <c r="I787" s="368"/>
      <c r="J787" s="368"/>
      <c r="K787" s="368">
        <v>0.22621625000811521</v>
      </c>
      <c r="L787" s="368"/>
    </row>
    <row r="788" spans="2:12" x14ac:dyDescent="0.3">
      <c r="B788" s="368"/>
      <c r="C788" s="368"/>
      <c r="D788" s="368" t="s">
        <v>275</v>
      </c>
      <c r="E788" s="368"/>
      <c r="F788" s="368">
        <v>0</v>
      </c>
      <c r="G788" s="368"/>
      <c r="H788" s="368"/>
      <c r="I788" s="368"/>
      <c r="J788" s="368"/>
      <c r="K788" s="368">
        <v>3.3923294353583378E-2</v>
      </c>
      <c r="L788" s="368"/>
    </row>
    <row r="789" spans="2:12" x14ac:dyDescent="0.3">
      <c r="B789" s="368"/>
      <c r="C789" s="368"/>
      <c r="D789" s="368"/>
      <c r="E789" s="368"/>
      <c r="F789" s="368"/>
      <c r="G789" s="368"/>
      <c r="H789" s="368"/>
      <c r="I789" s="368"/>
      <c r="J789" s="368"/>
      <c r="K789" s="368">
        <v>1.108495516033624E-2</v>
      </c>
      <c r="L789" s="368"/>
    </row>
    <row r="790" spans="2:12" x14ac:dyDescent="0.3">
      <c r="B790" s="368"/>
      <c r="C790" s="368"/>
      <c r="D790" s="368"/>
      <c r="E790" s="368"/>
      <c r="F790" s="368">
        <v>3.9211636917116368E-3</v>
      </c>
      <c r="G790" s="368"/>
      <c r="H790" s="368"/>
      <c r="I790" s="368"/>
      <c r="J790" s="368"/>
      <c r="K790" s="368"/>
      <c r="L790" s="368"/>
    </row>
    <row r="791" spans="2:12" x14ac:dyDescent="0.3">
      <c r="B791" s="368"/>
      <c r="C791" s="368"/>
      <c r="D791" s="368"/>
      <c r="E791" s="368"/>
      <c r="F791" s="368">
        <v>3.892486508924865E-3</v>
      </c>
      <c r="G791" s="368"/>
      <c r="H791" s="368"/>
      <c r="I791" s="368"/>
      <c r="J791" s="368"/>
      <c r="K791" s="368"/>
      <c r="L791" s="368"/>
    </row>
    <row r="792" spans="2:12" x14ac:dyDescent="0.3">
      <c r="B792" s="368"/>
      <c r="C792" s="368"/>
      <c r="D792" s="368"/>
      <c r="E792" s="368"/>
      <c r="F792" s="368">
        <v>0</v>
      </c>
      <c r="G792" s="368"/>
      <c r="H792" s="368"/>
      <c r="I792" s="368"/>
      <c r="J792" s="368"/>
      <c r="K792" s="368"/>
      <c r="L792" s="368"/>
    </row>
    <row r="793" spans="2:12" x14ac:dyDescent="0.3">
      <c r="B793" s="368"/>
      <c r="C793" s="368"/>
      <c r="D793" s="368"/>
      <c r="E793" s="368"/>
      <c r="F793" s="368">
        <v>0.75383788243138938</v>
      </c>
      <c r="G793" s="368"/>
      <c r="H793" s="368"/>
      <c r="I793" s="368"/>
      <c r="J793" s="368"/>
      <c r="K793" s="368"/>
      <c r="L793" s="368"/>
    </row>
    <row r="794" spans="2:12" x14ac:dyDescent="0.3">
      <c r="B794" s="368"/>
      <c r="C794" s="368"/>
      <c r="D794" s="368"/>
      <c r="E794" s="368"/>
      <c r="F794" s="368">
        <v>0.12114342848632519</v>
      </c>
      <c r="G794" s="368"/>
      <c r="H794" s="368"/>
      <c r="I794" s="368"/>
      <c r="J794" s="368"/>
      <c r="K794" s="368"/>
      <c r="L794" s="368"/>
    </row>
    <row r="795" spans="2:12" x14ac:dyDescent="0.3">
      <c r="B795" s="368"/>
      <c r="C795" s="368"/>
      <c r="D795" s="368"/>
      <c r="E795" s="368"/>
      <c r="F795" s="368">
        <v>5.4180503666805034E-3</v>
      </c>
      <c r="G795" s="368"/>
      <c r="H795" s="368"/>
      <c r="I795" s="368"/>
      <c r="J795" s="368"/>
      <c r="K795" s="368"/>
      <c r="L795" s="368"/>
    </row>
    <row r="796" spans="2:12" x14ac:dyDescent="0.3">
      <c r="B796" s="368"/>
      <c r="C796" s="368"/>
      <c r="D796" s="368"/>
      <c r="E796" s="368"/>
      <c r="F796" s="368">
        <v>0</v>
      </c>
      <c r="G796" s="368"/>
      <c r="H796" s="368"/>
      <c r="I796" s="368"/>
      <c r="J796" s="368"/>
      <c r="K796" s="368"/>
      <c r="L796" s="368"/>
    </row>
    <row r="797" spans="2:12" x14ac:dyDescent="0.3">
      <c r="B797" s="368"/>
      <c r="C797" s="368"/>
      <c r="D797" s="368"/>
      <c r="E797" s="368"/>
      <c r="F797" s="368">
        <v>0.22621625000811521</v>
      </c>
      <c r="G797" s="368"/>
      <c r="H797" s="368"/>
      <c r="I797" s="368"/>
      <c r="J797" s="368"/>
      <c r="K797" s="368"/>
      <c r="L797" s="368"/>
    </row>
    <row r="798" spans="2:12" x14ac:dyDescent="0.3">
      <c r="B798" s="368"/>
      <c r="C798" s="368"/>
      <c r="D798" s="368"/>
      <c r="E798" s="368"/>
      <c r="F798" s="368">
        <v>3.3923294353583378E-2</v>
      </c>
      <c r="G798" s="368"/>
      <c r="H798" s="368"/>
      <c r="I798" s="368"/>
      <c r="J798" s="368"/>
      <c r="K798" s="368"/>
      <c r="L798" s="368"/>
    </row>
    <row r="799" spans="2:12" x14ac:dyDescent="0.3">
      <c r="B799" s="368"/>
      <c r="C799" s="368"/>
      <c r="D799" s="368"/>
      <c r="E799" s="368"/>
      <c r="F799" s="368">
        <v>1.108495516033624E-2</v>
      </c>
      <c r="G799" s="368"/>
      <c r="H799" s="368"/>
      <c r="I799" s="368"/>
      <c r="J799" s="368"/>
      <c r="K799" s="368"/>
      <c r="L799" s="368"/>
    </row>
    <row r="800" spans="2:12" x14ac:dyDescent="0.3">
      <c r="B800" s="368"/>
      <c r="C800" s="368"/>
      <c r="D800" s="368"/>
      <c r="E800" s="368"/>
      <c r="F800" s="368"/>
      <c r="G800" s="368"/>
      <c r="H800" s="368"/>
      <c r="I800" s="368"/>
      <c r="J800" s="368"/>
      <c r="K800" s="368"/>
      <c r="L800" s="368"/>
    </row>
    <row r="801" spans="2:12" x14ac:dyDescent="0.3">
      <c r="B801" s="368"/>
      <c r="C801" s="368"/>
      <c r="D801" s="368"/>
      <c r="E801" s="368"/>
      <c r="F801" s="368"/>
      <c r="G801" s="368"/>
      <c r="H801" s="368"/>
      <c r="I801" s="368"/>
      <c r="J801" s="368"/>
      <c r="K801" s="368"/>
      <c r="L801" s="368"/>
    </row>
    <row r="803" spans="2:12" x14ac:dyDescent="0.3">
      <c r="D803" s="268"/>
      <c r="E803" s="268"/>
      <c r="F803" s="268"/>
      <c r="G803" s="268"/>
      <c r="H803" s="268"/>
      <c r="I803" s="268"/>
      <c r="J803" s="268"/>
      <c r="K803" s="268"/>
      <c r="L803" s="268"/>
    </row>
    <row r="805" spans="2:12" x14ac:dyDescent="0.3">
      <c r="K805" s="1"/>
      <c r="L805" s="1"/>
    </row>
    <row r="806" spans="2:12" x14ac:dyDescent="0.3">
      <c r="D806" s="42"/>
      <c r="K806" s="1"/>
      <c r="L806" s="1"/>
    </row>
    <row r="807" spans="2:12" x14ac:dyDescent="0.3">
      <c r="D807" s="42"/>
      <c r="K807" s="1"/>
      <c r="L807" s="1"/>
    </row>
    <row r="808" spans="2:12" x14ac:dyDescent="0.3">
      <c r="D808" s="42"/>
      <c r="K808" s="1"/>
      <c r="L808" s="1"/>
    </row>
    <row r="809" spans="2:12" x14ac:dyDescent="0.3">
      <c r="D809" s="42"/>
      <c r="K809" s="1"/>
      <c r="L809" s="1"/>
    </row>
    <row r="810" spans="2:12" x14ac:dyDescent="0.3">
      <c r="D810" s="42"/>
      <c r="K810" s="1"/>
      <c r="L810" s="1"/>
    </row>
    <row r="811" spans="2:12" x14ac:dyDescent="0.3">
      <c r="D811" s="42"/>
      <c r="K811" s="1"/>
      <c r="L811" s="1"/>
    </row>
    <row r="812" spans="2:12" x14ac:dyDescent="0.3">
      <c r="D812" s="42"/>
      <c r="K812" s="1"/>
      <c r="L812" s="1"/>
    </row>
    <row r="813" spans="2:12" x14ac:dyDescent="0.3">
      <c r="D813" s="42"/>
      <c r="K813" s="1"/>
      <c r="L813" s="1"/>
    </row>
    <row r="814" spans="2:12" x14ac:dyDescent="0.3">
      <c r="D814" s="42"/>
      <c r="K814" s="1"/>
      <c r="L814" s="1"/>
    </row>
    <row r="815" spans="2:12" x14ac:dyDescent="0.3">
      <c r="D815" s="42"/>
      <c r="K815" s="1"/>
      <c r="L815" s="1"/>
    </row>
    <row r="816" spans="2:12" x14ac:dyDescent="0.3">
      <c r="D816" s="42"/>
      <c r="K816" s="1"/>
      <c r="L816" s="1"/>
    </row>
    <row r="817" spans="4:12" x14ac:dyDescent="0.3">
      <c r="D817" s="42"/>
      <c r="K817" s="1"/>
      <c r="L817" s="1"/>
    </row>
    <row r="818" spans="4:12" x14ac:dyDescent="0.3">
      <c r="D818" s="42"/>
      <c r="K818" s="1"/>
      <c r="L818" s="1"/>
    </row>
    <row r="819" spans="4:12" x14ac:dyDescent="0.3">
      <c r="D819" s="42"/>
      <c r="K819" s="1"/>
      <c r="L819" s="1"/>
    </row>
    <row r="820" spans="4:12" x14ac:dyDescent="0.3">
      <c r="D820" s="42"/>
      <c r="K820" s="1"/>
      <c r="L820" s="1"/>
    </row>
    <row r="821" spans="4:12" x14ac:dyDescent="0.3">
      <c r="D821" s="42"/>
    </row>
    <row r="822" spans="4:12" x14ac:dyDescent="0.3">
      <c r="D822" s="42"/>
    </row>
    <row r="823" spans="4:12" x14ac:dyDescent="0.3">
      <c r="D823" s="42"/>
    </row>
    <row r="824" spans="4:12" x14ac:dyDescent="0.3">
      <c r="D824" s="42"/>
      <c r="K824" s="1"/>
      <c r="L824" s="1"/>
    </row>
    <row r="825" spans="4:12" x14ac:dyDescent="0.3">
      <c r="K825" s="1"/>
      <c r="L825" s="1"/>
    </row>
    <row r="826" spans="4:12" x14ac:dyDescent="0.3">
      <c r="K826" s="1"/>
      <c r="L826" s="1"/>
    </row>
    <row r="827" spans="4:12" x14ac:dyDescent="0.3">
      <c r="K827" s="1"/>
      <c r="L827" s="1"/>
    </row>
    <row r="828" spans="4:12" x14ac:dyDescent="0.3">
      <c r="K828" s="1"/>
      <c r="L828" s="1"/>
    </row>
    <row r="829" spans="4:12" x14ac:dyDescent="0.3">
      <c r="K829" s="1"/>
      <c r="L829" s="1"/>
    </row>
    <row r="830" spans="4:12" x14ac:dyDescent="0.3">
      <c r="K830" s="1"/>
      <c r="L830" s="1"/>
    </row>
    <row r="831" spans="4:12" x14ac:dyDescent="0.3">
      <c r="K831" s="1"/>
      <c r="L831" s="1"/>
    </row>
    <row r="832" spans="4:12" x14ac:dyDescent="0.3">
      <c r="K832" s="1"/>
      <c r="L832" s="1"/>
    </row>
    <row r="833" spans="11:12" x14ac:dyDescent="0.3">
      <c r="K833" s="1"/>
      <c r="L833" s="1"/>
    </row>
    <row r="834" spans="11:12" x14ac:dyDescent="0.3">
      <c r="K834" s="1"/>
      <c r="L834" s="1"/>
    </row>
    <row r="835" spans="11:12" x14ac:dyDescent="0.3">
      <c r="K835" s="1"/>
      <c r="L835" s="1"/>
    </row>
    <row r="836" spans="11:12" x14ac:dyDescent="0.3">
      <c r="K836" s="1"/>
      <c r="L836" s="1"/>
    </row>
    <row r="837" spans="11:12" x14ac:dyDescent="0.3">
      <c r="K837" s="1"/>
      <c r="L837" s="1"/>
    </row>
    <row r="891" spans="2:27" s="70" customFormat="1" ht="21" x14ac:dyDescent="0.4">
      <c r="B891" s="303" t="s">
        <v>1070</v>
      </c>
      <c r="C891" s="47"/>
      <c r="D891" s="47"/>
      <c r="E891" s="47"/>
      <c r="H891" s="336" t="s">
        <v>1597</v>
      </c>
      <c r="I891" s="336"/>
    </row>
    <row r="892" spans="2:27" x14ac:dyDescent="0.3">
      <c r="X892" t="s">
        <v>1010</v>
      </c>
      <c r="Y892" t="s">
        <v>1011</v>
      </c>
      <c r="AA892" t="s">
        <v>1020</v>
      </c>
    </row>
    <row r="893" spans="2:27" x14ac:dyDescent="0.3">
      <c r="U893" t="s">
        <v>1009</v>
      </c>
      <c r="X893">
        <v>500</v>
      </c>
      <c r="Y893">
        <v>50</v>
      </c>
      <c r="AA893">
        <v>50</v>
      </c>
    </row>
    <row r="895" spans="2:27" x14ac:dyDescent="0.3">
      <c r="B895" s="297" t="s">
        <v>1008</v>
      </c>
      <c r="C895" s="79"/>
      <c r="D895" s="79"/>
      <c r="E895" s="79"/>
      <c r="F895" s="79"/>
      <c r="G895" s="79"/>
      <c r="I895" s="79" t="s">
        <v>1021</v>
      </c>
      <c r="J895" s="79"/>
      <c r="K895" s="79"/>
      <c r="L895" s="79"/>
      <c r="M895" s="79"/>
    </row>
    <row r="896" spans="2:27" x14ac:dyDescent="0.3">
      <c r="D896" t="s">
        <v>1</v>
      </c>
      <c r="E896">
        <v>491000</v>
      </c>
      <c r="F896" t="s">
        <v>1015</v>
      </c>
      <c r="I896" t="s">
        <v>1022</v>
      </c>
      <c r="J896" s="26">
        <v>250</v>
      </c>
      <c r="K896" t="s">
        <v>1023</v>
      </c>
    </row>
    <row r="897" spans="1:55" x14ac:dyDescent="0.3">
      <c r="C897" t="s">
        <v>1017</v>
      </c>
      <c r="E897">
        <v>2</v>
      </c>
      <c r="F897" t="s">
        <v>1018</v>
      </c>
      <c r="I897" t="s">
        <v>1024</v>
      </c>
      <c r="J897" s="26">
        <v>3</v>
      </c>
      <c r="K897" t="s">
        <v>777</v>
      </c>
    </row>
    <row r="898" spans="1:55" x14ac:dyDescent="0.3">
      <c r="D898" t="s">
        <v>1</v>
      </c>
      <c r="E898" s="44">
        <f>E897*E896</f>
        <v>982000</v>
      </c>
      <c r="I898" t="s">
        <v>228</v>
      </c>
      <c r="J898" s="26">
        <v>700</v>
      </c>
      <c r="K898" t="s">
        <v>91</v>
      </c>
    </row>
    <row r="899" spans="1:55" x14ac:dyDescent="0.3">
      <c r="Q899" s="108" t="s">
        <v>1037</v>
      </c>
      <c r="R899" s="108"/>
      <c r="S899" s="108"/>
      <c r="T899" s="108"/>
      <c r="U899" s="108"/>
      <c r="V899" s="108"/>
      <c r="W899" s="108"/>
      <c r="X899" s="108"/>
      <c r="Y899" s="108"/>
      <c r="Z899" s="108"/>
      <c r="AA899" s="108"/>
      <c r="AB899" s="108"/>
      <c r="AC899" s="108"/>
      <c r="AD899" s="39"/>
      <c r="AE899" s="39"/>
      <c r="AF899" s="39"/>
    </row>
    <row r="900" spans="1:55" x14ac:dyDescent="0.3">
      <c r="C900" t="s">
        <v>1019</v>
      </c>
      <c r="E900" s="44">
        <v>800</v>
      </c>
      <c r="F900" t="s">
        <v>91</v>
      </c>
      <c r="I900" t="s">
        <v>1</v>
      </c>
      <c r="J900">
        <f>J898*J897*J896</f>
        <v>525000</v>
      </c>
      <c r="K900" t="s">
        <v>65</v>
      </c>
    </row>
    <row r="901" spans="1:55" x14ac:dyDescent="0.3">
      <c r="I901" t="s">
        <v>1025</v>
      </c>
      <c r="J901" t="s">
        <v>1026</v>
      </c>
    </row>
    <row r="904" spans="1:55" x14ac:dyDescent="0.3">
      <c r="A904" s="23"/>
      <c r="P904" s="376" t="s">
        <v>47</v>
      </c>
      <c r="Q904" s="376"/>
      <c r="R904" s="376"/>
      <c r="S904" s="376"/>
      <c r="T904" s="376"/>
      <c r="U904" s="376"/>
      <c r="X904" s="376" t="s">
        <v>43</v>
      </c>
      <c r="Y904" s="376"/>
      <c r="Z904" s="376"/>
      <c r="AA904" s="376"/>
      <c r="AB904" s="376"/>
      <c r="AC904" s="376"/>
      <c r="AD904" s="376"/>
      <c r="AE904" s="376"/>
      <c r="AF904" s="376"/>
      <c r="AG904" s="376"/>
      <c r="AH904" s="376"/>
      <c r="AI904" s="376"/>
      <c r="AJ904" s="376"/>
      <c r="AK904" s="376"/>
      <c r="AL904" s="376"/>
      <c r="AM904" s="376"/>
      <c r="AN904" s="376"/>
      <c r="AO904" s="376"/>
      <c r="AR904" s="376" t="s">
        <v>77</v>
      </c>
      <c r="AS904" s="376"/>
      <c r="AT904" s="376"/>
      <c r="AU904" s="376"/>
      <c r="AV904" s="376"/>
      <c r="AW904" s="376"/>
      <c r="AX904" s="376"/>
      <c r="AY904" s="376"/>
      <c r="BB904" s="6"/>
      <c r="BC904" s="5"/>
    </row>
    <row r="905" spans="1:55" s="18" customFormat="1" x14ac:dyDescent="0.3">
      <c r="A905" s="23"/>
      <c r="B905" s="25" t="s">
        <v>1029</v>
      </c>
      <c r="J905" s="24"/>
      <c r="M905" s="24"/>
      <c r="P905" s="47"/>
      <c r="Q905" s="47"/>
      <c r="R905" s="47"/>
      <c r="S905" s="34"/>
      <c r="T905" s="34"/>
      <c r="U905" s="34"/>
      <c r="Z905" s="18" t="s">
        <v>1012</v>
      </c>
      <c r="AA905" s="18" t="s">
        <v>54</v>
      </c>
      <c r="AC905" s="18" t="s">
        <v>54</v>
      </c>
      <c r="AH905" s="18" t="s">
        <v>54</v>
      </c>
      <c r="AJ905" s="18" t="s">
        <v>54</v>
      </c>
      <c r="BB905" s="76"/>
      <c r="BC905" s="24"/>
    </row>
    <row r="906" spans="1:55" s="27" customFormat="1" x14ac:dyDescent="0.3">
      <c r="A906"/>
      <c r="B906" s="28" t="s">
        <v>1008</v>
      </c>
      <c r="G906" s="27" t="s">
        <v>65</v>
      </c>
      <c r="H906" s="377" t="s">
        <v>32</v>
      </c>
      <c r="I906" s="377"/>
      <c r="J906" s="377"/>
      <c r="K906" s="378" t="s">
        <v>162</v>
      </c>
      <c r="L906" s="378"/>
      <c r="M906" s="378"/>
      <c r="P906" s="27" t="s">
        <v>160</v>
      </c>
      <c r="Q906" s="27" t="s">
        <v>32</v>
      </c>
      <c r="R906" s="30" t="s">
        <v>32</v>
      </c>
      <c r="S906" s="27" t="s">
        <v>160</v>
      </c>
      <c r="U906" s="30" t="s">
        <v>162</v>
      </c>
      <c r="X906" s="27" t="s">
        <v>65</v>
      </c>
      <c r="AA906" s="47" t="s">
        <v>32</v>
      </c>
      <c r="AB906" s="47"/>
      <c r="AC906" s="34" t="s">
        <v>162</v>
      </c>
      <c r="AD906" s="34"/>
      <c r="AH906" s="47" t="s">
        <v>32</v>
      </c>
      <c r="AI906" s="47"/>
      <c r="AJ906" s="34" t="s">
        <v>162</v>
      </c>
      <c r="AK906" s="34"/>
      <c r="AL906" s="47" t="s">
        <v>32</v>
      </c>
      <c r="AM906" s="34" t="s">
        <v>162</v>
      </c>
      <c r="AN906" s="48" t="s">
        <v>32</v>
      </c>
      <c r="AO906" s="49" t="s">
        <v>162</v>
      </c>
      <c r="AR906" s="27" t="s">
        <v>53</v>
      </c>
      <c r="AS906" s="27" t="s">
        <v>213</v>
      </c>
      <c r="AT906" s="47" t="s">
        <v>54</v>
      </c>
      <c r="AU906" s="47" t="s">
        <v>32</v>
      </c>
      <c r="AV906" s="48" t="s">
        <v>32</v>
      </c>
      <c r="AW906" s="34" t="s">
        <v>54</v>
      </c>
      <c r="AX906" s="34" t="s">
        <v>162</v>
      </c>
      <c r="AY906" s="49" t="s">
        <v>162</v>
      </c>
      <c r="BB906" s="77"/>
      <c r="BC906" s="29"/>
    </row>
    <row r="907" spans="1:55" x14ac:dyDescent="0.3">
      <c r="B907" s="9"/>
      <c r="C907" s="9"/>
      <c r="D907" s="9"/>
      <c r="E907" s="9"/>
      <c r="F907" s="9" t="s">
        <v>55</v>
      </c>
      <c r="G907" s="9">
        <f>G908</f>
        <v>982000</v>
      </c>
      <c r="H907" s="9" t="s">
        <v>1071</v>
      </c>
      <c r="I907" s="9" t="s">
        <v>32</v>
      </c>
      <c r="J907" s="11">
        <f>SUM(I908:I911)</f>
        <v>1983759.2</v>
      </c>
      <c r="K907" s="9" t="s">
        <v>1071</v>
      </c>
      <c r="L907" s="9" t="s">
        <v>162</v>
      </c>
      <c r="M907" s="11">
        <f>SUM(L908:L911)</f>
        <v>24748464</v>
      </c>
      <c r="N907" s="9"/>
      <c r="O907" s="9"/>
      <c r="P907" s="9"/>
      <c r="Q907" s="9"/>
      <c r="R907" s="11">
        <f>SUM(Q908:Q911)</f>
        <v>330.73759999999999</v>
      </c>
      <c r="S907" s="9"/>
      <c r="T907" s="9"/>
      <c r="U907" s="11">
        <f>SUM(T908:T911)</f>
        <v>11705.44</v>
      </c>
      <c r="V907" s="9"/>
      <c r="W907" s="9"/>
      <c r="X907" s="9">
        <f>G907</f>
        <v>982000</v>
      </c>
      <c r="Y907" s="9" t="s">
        <v>469</v>
      </c>
      <c r="Z907" s="9">
        <f>X893</f>
        <v>500</v>
      </c>
      <c r="AA907" s="9">
        <f>$AA$83</f>
        <v>0.109</v>
      </c>
      <c r="AB907" s="9">
        <f>AA907*Z907*X907/1000</f>
        <v>53519</v>
      </c>
      <c r="AC907" s="9">
        <f>$AD$83</f>
        <v>1.5</v>
      </c>
      <c r="AD907" s="9">
        <f>AC907*Z907*X907/1000</f>
        <v>736500</v>
      </c>
      <c r="AE907" s="9"/>
      <c r="AF907" s="9" t="s">
        <v>61</v>
      </c>
      <c r="AG907" s="9">
        <f>$Y$893</f>
        <v>50</v>
      </c>
      <c r="AH907" s="9">
        <f>$AA$81</f>
        <v>8.9976823999999997E-2</v>
      </c>
      <c r="AI907" s="9">
        <f>AH907*AG907*X907/1000</f>
        <v>4417.8620584</v>
      </c>
      <c r="AJ907" s="9">
        <f>$AD$81</f>
        <v>1.52</v>
      </c>
      <c r="AK907" s="9">
        <f>AJ907*AG907*X907/1000</f>
        <v>74632</v>
      </c>
      <c r="AL907" s="9"/>
      <c r="AM907" s="9"/>
      <c r="AN907" s="11">
        <f>AI907+AB907</f>
        <v>57936.862058400002</v>
      </c>
      <c r="AO907" s="11">
        <f>AD907+AK907</f>
        <v>811132</v>
      </c>
      <c r="AP907" s="9"/>
      <c r="AQ907" s="9"/>
      <c r="AR907" s="9" t="s">
        <v>1010</v>
      </c>
      <c r="AS907" s="9">
        <f>AA893</f>
        <v>50</v>
      </c>
      <c r="AT907" s="9">
        <f>$AA$83</f>
        <v>0.109</v>
      </c>
      <c r="AU907" s="296"/>
      <c r="AV907" s="9">
        <f>(AT907*AS907*X907)/1000</f>
        <v>5351.9</v>
      </c>
      <c r="AW907" s="9">
        <f>$AD$83</f>
        <v>1.5</v>
      </c>
      <c r="AX907" s="296"/>
      <c r="AY907" s="9">
        <f>(AW907*AT907*X907)/1000</f>
        <v>160.55699999999999</v>
      </c>
      <c r="AZ907" s="9"/>
      <c r="BA907" s="9"/>
      <c r="BB907" s="74"/>
      <c r="BC907" s="11"/>
    </row>
    <row r="908" spans="1:55" x14ac:dyDescent="0.3">
      <c r="E908" t="s">
        <v>114</v>
      </c>
      <c r="F908" s="1"/>
      <c r="G908">
        <f>E898</f>
        <v>982000</v>
      </c>
      <c r="H908" s="14">
        <f>AA10</f>
        <v>2.02</v>
      </c>
      <c r="I908">
        <f t="shared" ref="I908" si="135">G908*H908</f>
        <v>1983640</v>
      </c>
      <c r="J908" s="5"/>
      <c r="K908" s="14">
        <f>AD10</f>
        <v>25.2</v>
      </c>
      <c r="L908">
        <f>K908*G908</f>
        <v>24746400</v>
      </c>
      <c r="M908" s="5"/>
      <c r="P908" s="14">
        <f>AI10</f>
        <v>3.368E-4</v>
      </c>
      <c r="Q908">
        <f>P908*G908</f>
        <v>330.73759999999999</v>
      </c>
      <c r="R908" s="5"/>
      <c r="S908" s="14">
        <f>AL10</f>
        <v>1.192E-2</v>
      </c>
      <c r="T908">
        <f t="shared" ref="T908:T909" si="136">S908*G908</f>
        <v>11705.44</v>
      </c>
      <c r="U908" s="5"/>
      <c r="AN908" s="5"/>
      <c r="AO908" s="5"/>
      <c r="AV908" s="5"/>
      <c r="AX908" s="85"/>
      <c r="AY908" s="5"/>
      <c r="BB908" s="6"/>
      <c r="BC908" s="5"/>
    </row>
    <row r="909" spans="1:55" x14ac:dyDescent="0.3">
      <c r="E909" s="250" t="s">
        <v>636</v>
      </c>
      <c r="F909" s="1"/>
      <c r="G909">
        <f>E900</f>
        <v>800</v>
      </c>
      <c r="H909" s="14">
        <f>AA27</f>
        <v>0.14899999999999999</v>
      </c>
      <c r="I909">
        <f>G909*H909</f>
        <v>119.19999999999999</v>
      </c>
      <c r="J909" s="5"/>
      <c r="K909" s="14">
        <f>AD27</f>
        <v>2.58</v>
      </c>
      <c r="L909">
        <f t="shared" ref="L909" si="137">K909*G909</f>
        <v>2064</v>
      </c>
      <c r="M909" s="5"/>
      <c r="P909" s="14">
        <f>AI27</f>
        <v>0</v>
      </c>
      <c r="Q909">
        <f>P909*G909</f>
        <v>0</v>
      </c>
      <c r="R909" s="5"/>
      <c r="S909" s="14">
        <f>AL27</f>
        <v>0</v>
      </c>
      <c r="T909">
        <f t="shared" si="136"/>
        <v>0</v>
      </c>
      <c r="U909" s="5"/>
      <c r="AN909" s="5"/>
      <c r="AO909" s="5"/>
      <c r="AV909" s="5"/>
      <c r="AX909" s="85"/>
      <c r="AY909" s="5"/>
      <c r="BB909" s="6"/>
      <c r="BC909" s="5"/>
    </row>
    <row r="910" spans="1:55" x14ac:dyDescent="0.3">
      <c r="E910" s="250" t="s">
        <v>1013</v>
      </c>
      <c r="F910" s="1"/>
      <c r="I910">
        <f t="shared" ref="I910" si="138">G910*H910</f>
        <v>0</v>
      </c>
      <c r="J910" s="5"/>
      <c r="L910">
        <f>K910*G910</f>
        <v>0</v>
      </c>
      <c r="M910" s="5"/>
      <c r="R910" s="5"/>
      <c r="U910" s="5"/>
      <c r="AA910" s="14"/>
      <c r="AN910" s="5"/>
      <c r="AO910" s="5"/>
      <c r="AV910" s="5"/>
      <c r="AX910" s="85"/>
      <c r="AY910" s="5"/>
      <c r="BB910" s="6"/>
      <c r="BC910" s="5"/>
    </row>
    <row r="911" spans="1:55" x14ac:dyDescent="0.3">
      <c r="J911" s="5"/>
      <c r="M911" s="5"/>
      <c r="R911" s="5"/>
      <c r="U911" s="5"/>
      <c r="AN911" s="5"/>
      <c r="AO911" s="5"/>
      <c r="AV911" s="5"/>
      <c r="AY911" s="5"/>
      <c r="BB911" s="6"/>
      <c r="BC911" s="5"/>
    </row>
    <row r="912" spans="1:55" x14ac:dyDescent="0.3">
      <c r="E912" s="20"/>
      <c r="J912" s="5"/>
      <c r="M912" s="5"/>
      <c r="R912" s="5"/>
      <c r="U912" s="5"/>
      <c r="AN912" s="5"/>
      <c r="AO912" s="5"/>
      <c r="AV912" s="5"/>
      <c r="AY912" s="5"/>
      <c r="BB912" s="6"/>
      <c r="BC912" s="5"/>
    </row>
    <row r="913" spans="1:55" x14ac:dyDescent="0.3">
      <c r="E913" s="20"/>
      <c r="J913" s="5"/>
      <c r="M913" s="5"/>
      <c r="R913" s="5"/>
      <c r="U913" s="5"/>
      <c r="AN913" s="5"/>
      <c r="AO913" s="5"/>
      <c r="AV913" s="5"/>
      <c r="AY913" s="5"/>
      <c r="BB913" s="6"/>
      <c r="BC913" s="5"/>
    </row>
    <row r="914" spans="1:55" s="27" customFormat="1" x14ac:dyDescent="0.3">
      <c r="A914"/>
      <c r="B914" s="28" t="s">
        <v>1014</v>
      </c>
      <c r="G914" s="27" t="s">
        <v>1</v>
      </c>
      <c r="J914" s="29"/>
      <c r="M914" s="29"/>
      <c r="R914" s="29"/>
      <c r="U914" s="29"/>
      <c r="AN914" s="29"/>
      <c r="AO914" s="29"/>
      <c r="AV914" s="29"/>
      <c r="AY914" s="29"/>
      <c r="BB914" s="77"/>
      <c r="BC914" s="29"/>
    </row>
    <row r="915" spans="1:55" s="9" customFormat="1" x14ac:dyDescent="0.3">
      <c r="A915"/>
      <c r="B915" s="298"/>
      <c r="F915" s="9" t="s">
        <v>55</v>
      </c>
      <c r="G915" s="9">
        <f>G916</f>
        <v>525000</v>
      </c>
      <c r="J915" s="11">
        <f>SUM(I916:I919)</f>
        <v>1664250</v>
      </c>
      <c r="M915" s="11">
        <f>SUM(L916:L919)</f>
        <v>25567500</v>
      </c>
      <c r="R915" s="11">
        <f>SUM(Q916:Q919)</f>
        <v>176.82</v>
      </c>
      <c r="U915" s="11">
        <f>SUM(T916:T919)</f>
        <v>6258</v>
      </c>
      <c r="X915" s="9">
        <f>G915</f>
        <v>525000</v>
      </c>
      <c r="Y915" s="9" t="s">
        <v>469</v>
      </c>
      <c r="Z915" s="9">
        <f>$X$893</f>
        <v>500</v>
      </c>
      <c r="AA915" s="9">
        <f>$AA$83</f>
        <v>0.109</v>
      </c>
      <c r="AB915" s="9">
        <f>AA915*Z915*X915/1000</f>
        <v>28612.5</v>
      </c>
      <c r="AC915" s="9">
        <f>$AD$83</f>
        <v>1.5</v>
      </c>
      <c r="AD915" s="9">
        <f>AC915*Z915*X915/1000</f>
        <v>393750</v>
      </c>
      <c r="AF915" s="9" t="s">
        <v>61</v>
      </c>
      <c r="AG915" s="9">
        <f>$Y$893</f>
        <v>50</v>
      </c>
      <c r="AH915" s="9">
        <f>$AA$81</f>
        <v>8.9976823999999997E-2</v>
      </c>
      <c r="AI915" s="9">
        <f>AH915*AG915*X915/1000</f>
        <v>2361.8916300000001</v>
      </c>
      <c r="AJ915" s="9">
        <f>$AD$81</f>
        <v>1.52</v>
      </c>
      <c r="AK915" s="9">
        <f>AJ915*AG915*X915/1000</f>
        <v>39900</v>
      </c>
      <c r="AN915" s="11">
        <f>AI915+AB915</f>
        <v>30974.391629999998</v>
      </c>
      <c r="AO915" s="11">
        <f>AD915+AK915</f>
        <v>433650</v>
      </c>
      <c r="AR915" s="9" t="s">
        <v>1010</v>
      </c>
      <c r="AS915" s="9">
        <f>$AA$893</f>
        <v>50</v>
      </c>
      <c r="AT915" s="9">
        <f>$AA$83</f>
        <v>0.109</v>
      </c>
      <c r="AU915" s="296"/>
      <c r="AV915" s="9">
        <f>(AT915*AS915*X915)/1000</f>
        <v>2861.25</v>
      </c>
      <c r="AW915" s="9">
        <f>$AD$83</f>
        <v>1.5</v>
      </c>
      <c r="AX915" s="296"/>
      <c r="AY915" s="9">
        <f>(AW915*AT915*X915)/1000</f>
        <v>85.837500000000006</v>
      </c>
      <c r="BB915" s="74"/>
      <c r="BC915" s="11"/>
    </row>
    <row r="916" spans="1:55" x14ac:dyDescent="0.3">
      <c r="E916" t="s">
        <v>1027</v>
      </c>
      <c r="G916">
        <f>J900</f>
        <v>525000</v>
      </c>
      <c r="H916" s="14">
        <f>AA5</f>
        <v>1.57</v>
      </c>
      <c r="I916">
        <f t="shared" ref="I916" si="139">G916*H916</f>
        <v>824250</v>
      </c>
      <c r="J916" s="5"/>
      <c r="K916" s="14">
        <f>AD5</f>
        <v>20.9</v>
      </c>
      <c r="L916">
        <f>K916*G916</f>
        <v>10972500</v>
      </c>
      <c r="M916" s="5"/>
      <c r="P916" s="14">
        <f>AI5</f>
        <v>3.368E-4</v>
      </c>
      <c r="Q916">
        <f>P916*G916</f>
        <v>176.82</v>
      </c>
      <c r="R916" s="5"/>
      <c r="S916" s="14">
        <f>AL5</f>
        <v>1.192E-2</v>
      </c>
      <c r="T916">
        <f t="shared" ref="T916:T917" si="140">S916*G916</f>
        <v>6258</v>
      </c>
      <c r="U916" s="5"/>
      <c r="AN916" s="5"/>
      <c r="AO916" s="5"/>
      <c r="AV916" s="5"/>
      <c r="AY916" s="5"/>
      <c r="BB916" s="6"/>
      <c r="BC916" s="5"/>
    </row>
    <row r="917" spans="1:55" x14ac:dyDescent="0.3">
      <c r="E917" s="250" t="s">
        <v>1028</v>
      </c>
      <c r="G917">
        <f>G916</f>
        <v>525000</v>
      </c>
      <c r="H917" s="14">
        <f>AA24</f>
        <v>1.6</v>
      </c>
      <c r="I917">
        <f>G917*H917</f>
        <v>840000</v>
      </c>
      <c r="J917" s="5"/>
      <c r="K917" s="14">
        <f>AD24</f>
        <v>27.8</v>
      </c>
      <c r="L917">
        <f>K917*G917</f>
        <v>14595000</v>
      </c>
      <c r="M917" s="5"/>
      <c r="P917" s="14">
        <f>AI24</f>
        <v>0</v>
      </c>
      <c r="Q917">
        <f>P917*G917</f>
        <v>0</v>
      </c>
      <c r="R917" s="5"/>
      <c r="S917" s="14">
        <f>AL24</f>
        <v>0</v>
      </c>
      <c r="T917">
        <f t="shared" si="140"/>
        <v>0</v>
      </c>
      <c r="U917" s="5"/>
      <c r="AN917" s="5"/>
      <c r="AO917" s="5"/>
      <c r="AV917" s="5"/>
      <c r="AY917" s="5"/>
      <c r="BB917" s="6"/>
      <c r="BC917" s="5"/>
    </row>
    <row r="918" spans="1:55" x14ac:dyDescent="0.3">
      <c r="J918" s="5"/>
      <c r="M918" s="5"/>
      <c r="R918" s="5"/>
      <c r="U918" s="5"/>
      <c r="AN918" s="5"/>
      <c r="AO918" s="5"/>
      <c r="AV918" s="5"/>
      <c r="AY918" s="5"/>
      <c r="BB918" s="6"/>
      <c r="BC918" s="5"/>
    </row>
    <row r="919" spans="1:55" x14ac:dyDescent="0.3">
      <c r="J919" s="5"/>
      <c r="M919" s="5"/>
      <c r="R919" s="5"/>
      <c r="U919" s="5"/>
      <c r="AN919" s="5"/>
      <c r="AO919" s="5"/>
      <c r="AV919" s="5"/>
      <c r="AY919" s="5"/>
      <c r="BB919" s="6"/>
      <c r="BC919" s="5"/>
    </row>
    <row r="920" spans="1:55" s="27" customFormat="1" x14ac:dyDescent="0.3">
      <c r="A920"/>
      <c r="B920" s="28"/>
      <c r="J920" s="29"/>
      <c r="M920" s="29"/>
      <c r="R920" s="29"/>
      <c r="U920" s="29"/>
      <c r="AN920" s="29"/>
      <c r="AO920" s="29"/>
      <c r="AT920" s="47"/>
      <c r="AU920" s="47"/>
      <c r="AV920" s="50"/>
      <c r="AW920" s="34"/>
      <c r="AX920" s="34"/>
      <c r="AY920" s="35"/>
      <c r="BB920" s="77"/>
      <c r="BC920" s="29"/>
    </row>
    <row r="921" spans="1:55" x14ac:dyDescent="0.3">
      <c r="G921" s="23"/>
      <c r="H921" s="38"/>
      <c r="J921" s="5"/>
      <c r="K921" s="38"/>
      <c r="M921" s="5"/>
      <c r="R921" s="5"/>
      <c r="U921" s="5"/>
      <c r="Z921" s="23"/>
      <c r="AF921" s="38"/>
      <c r="AN921" s="5"/>
      <c r="AO921" s="5"/>
      <c r="AV921" s="5"/>
      <c r="AW921" s="9"/>
      <c r="AX921" s="9"/>
      <c r="AY921" s="5"/>
      <c r="BB921" s="6"/>
      <c r="BC921" s="5"/>
    </row>
    <row r="922" spans="1:55" x14ac:dyDescent="0.3">
      <c r="G922" s="23"/>
      <c r="H922" s="38"/>
      <c r="J922" s="5"/>
      <c r="K922" s="38"/>
      <c r="M922" s="5"/>
      <c r="R922" s="5"/>
      <c r="U922" s="5"/>
      <c r="Z922" s="23"/>
      <c r="AF922" s="38"/>
      <c r="AN922" s="5"/>
      <c r="AO922" s="5"/>
      <c r="AV922" s="5"/>
      <c r="AW922" s="9"/>
      <c r="AX922" s="9"/>
      <c r="AY922" s="5"/>
      <c r="BB922" s="6"/>
      <c r="BC922" s="5"/>
    </row>
    <row r="923" spans="1:55" x14ac:dyDescent="0.3">
      <c r="H923" s="38"/>
      <c r="J923" s="5"/>
      <c r="K923" s="38"/>
      <c r="M923" s="5"/>
      <c r="R923" s="5"/>
      <c r="U923" s="5"/>
      <c r="AN923" s="5"/>
      <c r="AO923" s="5"/>
      <c r="AV923" s="5"/>
      <c r="AY923" s="5"/>
      <c r="BB923" s="6"/>
      <c r="BC923" s="5"/>
    </row>
    <row r="924" spans="1:55" x14ac:dyDescent="0.3">
      <c r="J924" s="5"/>
      <c r="M924" s="5"/>
      <c r="R924" s="5"/>
      <c r="U924" s="5"/>
      <c r="AN924" s="5"/>
      <c r="AO924" s="5"/>
      <c r="AV924" s="5"/>
      <c r="AY924" s="5"/>
      <c r="BB924" s="6"/>
      <c r="BC924" s="5"/>
    </row>
    <row r="925" spans="1:55" s="19" customFormat="1" x14ac:dyDescent="0.3">
      <c r="A925"/>
      <c r="J925" s="21">
        <f>SUM(J906:J923)</f>
        <v>3648009.2</v>
      </c>
      <c r="M925" s="21">
        <f>SUM(M906:M923)</f>
        <v>50315964</v>
      </c>
      <c r="R925" s="22">
        <f>SUM(R907:R923)</f>
        <v>507.55759999999998</v>
      </c>
      <c r="U925" s="22">
        <f>SUM(U907:U923)</f>
        <v>17963.440000000002</v>
      </c>
      <c r="AN925" s="22">
        <f>SUM(AN907:AN923)</f>
        <v>88911.2536884</v>
      </c>
      <c r="AO925" s="22">
        <f>SUM(AO907:AO923)</f>
        <v>1244782</v>
      </c>
      <c r="AV925" s="22">
        <f>SUM(AV907:AV923)</f>
        <v>8213.15</v>
      </c>
      <c r="AY925" s="22">
        <f>SUM(AY907:AY923)</f>
        <v>246.39449999999999</v>
      </c>
      <c r="BB925" s="78"/>
      <c r="BC925" s="21"/>
    </row>
    <row r="930" spans="4:22" x14ac:dyDescent="0.3">
      <c r="P930" s="42" t="s">
        <v>1035</v>
      </c>
      <c r="S930">
        <f>F62</f>
        <v>462528</v>
      </c>
    </row>
    <row r="932" spans="4:22" x14ac:dyDescent="0.3">
      <c r="D932" s="42"/>
      <c r="E932" s="42" t="s">
        <v>1032</v>
      </c>
      <c r="F932" s="42"/>
      <c r="G932" s="42" t="s">
        <v>1031</v>
      </c>
      <c r="H932" s="42"/>
      <c r="I932" s="42" t="s">
        <v>1030</v>
      </c>
      <c r="J932" s="42"/>
      <c r="K932" s="42"/>
      <c r="L932" s="42"/>
      <c r="M932" s="42" t="s">
        <v>1033</v>
      </c>
      <c r="N932" s="42"/>
      <c r="O932" s="42"/>
      <c r="P932" s="42" t="s">
        <v>1034</v>
      </c>
      <c r="V932" s="42" t="s">
        <v>1036</v>
      </c>
    </row>
    <row r="933" spans="4:22" x14ac:dyDescent="0.3">
      <c r="D933" t="s">
        <v>32</v>
      </c>
      <c r="E933">
        <f>J608</f>
        <v>3606928.6255981731</v>
      </c>
      <c r="G933">
        <f>SUM(BB519:BB521)</f>
        <v>88760.035330215615</v>
      </c>
      <c r="I933">
        <f>J925+R925+AN925+AV925</f>
        <v>3745641.1612884002</v>
      </c>
      <c r="L933" t="s">
        <v>32</v>
      </c>
      <c r="M933">
        <f>E933-G933+I933</f>
        <v>7263809.7515563574</v>
      </c>
      <c r="Q933">
        <f>M933/S930</f>
        <v>15.704583833965419</v>
      </c>
      <c r="V933" s="14">
        <f>H88</f>
        <v>7.7982924830457252</v>
      </c>
    </row>
    <row r="934" spans="4:22" x14ac:dyDescent="0.3">
      <c r="D934" t="s">
        <v>162</v>
      </c>
      <c r="E934">
        <f>M608</f>
        <v>58958258.633946285</v>
      </c>
      <c r="G934">
        <f>SUM(BC519:BC521)</f>
        <v>958497.19017138262</v>
      </c>
      <c r="I934">
        <f>M925+U925+AO925+AY925</f>
        <v>51578955.8345</v>
      </c>
      <c r="L934" t="s">
        <v>162</v>
      </c>
      <c r="M934">
        <f>E934-G934+I934</f>
        <v>109578717.27827489</v>
      </c>
      <c r="Q934">
        <f>M934/S930</f>
        <v>236.91261345967141</v>
      </c>
      <c r="V934" s="14">
        <f>H89</f>
        <v>127.46959888687017</v>
      </c>
    </row>
  </sheetData>
  <mergeCells count="47">
    <mergeCell ref="F87:G87"/>
    <mergeCell ref="H87:J87"/>
    <mergeCell ref="H290:M290"/>
    <mergeCell ref="P290:U290"/>
    <mergeCell ref="X290:AO290"/>
    <mergeCell ref="AW292:AX292"/>
    <mergeCell ref="AR290:AY290"/>
    <mergeCell ref="H291:J291"/>
    <mergeCell ref="K291:M291"/>
    <mergeCell ref="P291:R291"/>
    <mergeCell ref="S291:U291"/>
    <mergeCell ref="X291:AD291"/>
    <mergeCell ref="AF291:AK291"/>
    <mergeCell ref="AA292:AB292"/>
    <mergeCell ref="AC292:AD292"/>
    <mergeCell ref="AH292:AI292"/>
    <mergeCell ref="AJ292:AK292"/>
    <mergeCell ref="H906:J906"/>
    <mergeCell ref="K906:M906"/>
    <mergeCell ref="G686:H686"/>
    <mergeCell ref="G693:H693"/>
    <mergeCell ref="AU292:AV292"/>
    <mergeCell ref="X562:AD562"/>
    <mergeCell ref="AE562:AM562"/>
    <mergeCell ref="H544:J544"/>
    <mergeCell ref="K544:M544"/>
    <mergeCell ref="P543:U543"/>
    <mergeCell ref="P544:R544"/>
    <mergeCell ref="S544:U544"/>
    <mergeCell ref="P562:R562"/>
    <mergeCell ref="S562:U562"/>
    <mergeCell ref="P904:U904"/>
    <mergeCell ref="X904:AO904"/>
    <mergeCell ref="AR904:AY904"/>
    <mergeCell ref="AR561:AY561"/>
    <mergeCell ref="H584:J584"/>
    <mergeCell ref="K584:M584"/>
    <mergeCell ref="F622:I622"/>
    <mergeCell ref="J622:O622"/>
    <mergeCell ref="H563:J563"/>
    <mergeCell ref="K563:M563"/>
    <mergeCell ref="P561:U561"/>
    <mergeCell ref="X561:AO561"/>
    <mergeCell ref="F623:G623"/>
    <mergeCell ref="H623:I623"/>
    <mergeCell ref="J623:L623"/>
    <mergeCell ref="M623:O62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4D9DD-818F-4115-B154-0BB35BA15ACE}">
  <dimension ref="A2:BD739"/>
  <sheetViews>
    <sheetView zoomScale="55" zoomScaleNormal="55" workbookViewId="0">
      <selection activeCell="J27" sqref="J27"/>
    </sheetView>
  </sheetViews>
  <sheetFormatPr defaultRowHeight="14.4" x14ac:dyDescent="0.3"/>
  <cols>
    <col min="1" max="1" width="4.5546875" customWidth="1"/>
    <col min="5" max="5" width="15.44140625" customWidth="1"/>
    <col min="6" max="6" width="12.33203125" customWidth="1"/>
    <col min="7" max="7" width="13.109375" customWidth="1"/>
    <col min="8" max="8" width="17.77734375" customWidth="1"/>
    <col min="9" max="9" width="14.109375" customWidth="1"/>
    <col min="10" max="10" width="12.109375" customWidth="1"/>
    <col min="13" max="13" width="14.109375" customWidth="1"/>
    <col min="14" max="14" width="13.44140625" customWidth="1"/>
    <col min="15" max="15" width="12.44140625" bestFit="1" customWidth="1"/>
    <col min="17" max="17" width="12.44140625" bestFit="1" customWidth="1"/>
    <col min="18" max="18" width="13" customWidth="1"/>
    <col min="21" max="21" width="11" customWidth="1"/>
    <col min="24" max="24" width="16.33203125" customWidth="1"/>
    <col min="25" max="25" width="14.5546875" customWidth="1"/>
  </cols>
  <sheetData>
    <row r="2" spans="2:39" x14ac:dyDescent="0.3">
      <c r="B2" s="42" t="s">
        <v>72</v>
      </c>
      <c r="AA2" s="18" t="s">
        <v>163</v>
      </c>
      <c r="AB2" s="18"/>
      <c r="AC2" s="18"/>
      <c r="AD2" s="18"/>
      <c r="AI2" s="18" t="s">
        <v>47</v>
      </c>
      <c r="AJ2" s="18"/>
      <c r="AK2" s="18"/>
      <c r="AL2" s="18"/>
    </row>
    <row r="3" spans="2:39" x14ac:dyDescent="0.3">
      <c r="AA3" t="s">
        <v>32</v>
      </c>
      <c r="AD3" t="s">
        <v>162</v>
      </c>
      <c r="AI3" t="s">
        <v>32</v>
      </c>
      <c r="AL3" t="s">
        <v>162</v>
      </c>
    </row>
    <row r="4" spans="2:39" x14ac:dyDescent="0.3">
      <c r="B4" s="17" t="s">
        <v>95</v>
      </c>
      <c r="C4" s="16"/>
      <c r="D4" s="16"/>
      <c r="E4" s="16"/>
      <c r="F4" s="16"/>
      <c r="G4" s="16"/>
      <c r="H4" s="16"/>
      <c r="I4" s="16"/>
      <c r="K4" s="40" t="s">
        <v>196</v>
      </c>
      <c r="L4" s="7"/>
      <c r="M4" s="7"/>
      <c r="N4" s="7"/>
      <c r="O4" s="7"/>
      <c r="P4" s="7"/>
      <c r="Q4" s="7"/>
      <c r="R4" s="7"/>
      <c r="S4" s="7"/>
      <c r="T4" s="7"/>
      <c r="U4" s="7"/>
      <c r="W4" s="17" t="s">
        <v>146</v>
      </c>
      <c r="X4" s="17"/>
      <c r="Y4" s="17"/>
      <c r="Z4" s="17"/>
      <c r="AA4" s="17"/>
      <c r="AB4" s="7"/>
      <c r="AC4" s="7"/>
      <c r="AD4" s="40"/>
      <c r="AE4" s="7"/>
      <c r="AF4" s="7"/>
      <c r="AG4" s="7"/>
      <c r="AH4" s="7"/>
      <c r="AI4" s="7"/>
      <c r="AJ4" s="7"/>
      <c r="AK4" s="7"/>
      <c r="AL4" s="7"/>
    </row>
    <row r="5" spans="2:39" x14ac:dyDescent="0.3">
      <c r="C5" t="s">
        <v>97</v>
      </c>
      <c r="F5" s="2">
        <v>15000</v>
      </c>
      <c r="K5" s="41" t="s">
        <v>50</v>
      </c>
      <c r="L5" s="12"/>
      <c r="M5" s="12"/>
      <c r="N5" s="12"/>
      <c r="O5" s="12"/>
      <c r="P5" s="12"/>
      <c r="Q5" s="12"/>
      <c r="R5" s="12"/>
      <c r="S5" s="12"/>
      <c r="T5" s="12"/>
      <c r="U5" s="12"/>
      <c r="X5" t="s">
        <v>108</v>
      </c>
      <c r="AA5" s="14">
        <f>'Impact settings'!F5</f>
        <v>1.57</v>
      </c>
      <c r="AD5" s="14">
        <f>'Impact settings'!G5</f>
        <v>20.9</v>
      </c>
      <c r="AI5" s="38">
        <f>'OEL impact settings'!K9</f>
        <v>3.368E-4</v>
      </c>
      <c r="AL5" s="38">
        <f>'OEL impact settings'!P9</f>
        <v>1.192E-2</v>
      </c>
    </row>
    <row r="6" spans="2:39" x14ac:dyDescent="0.3">
      <c r="C6" t="s">
        <v>96</v>
      </c>
      <c r="F6" s="2">
        <v>7</v>
      </c>
      <c r="G6" t="s">
        <v>1038</v>
      </c>
      <c r="H6" s="53">
        <f>F6*F7</f>
        <v>882</v>
      </c>
      <c r="I6" t="s">
        <v>100</v>
      </c>
      <c r="X6" t="s">
        <v>23</v>
      </c>
      <c r="AA6" s="14">
        <f>'Impact settings'!F6</f>
        <v>1.7</v>
      </c>
      <c r="AD6" s="14">
        <f>'Impact settings'!G6</f>
        <v>22</v>
      </c>
      <c r="AI6" s="38">
        <f>'OEL impact settings'!K10</f>
        <v>4.9599999999999998E-2</v>
      </c>
      <c r="AL6" s="38">
        <f>'OEL impact settings'!P10</f>
        <v>2.5520000000000001E-2</v>
      </c>
    </row>
    <row r="7" spans="2:39" x14ac:dyDescent="0.3">
      <c r="C7" t="s">
        <v>1039</v>
      </c>
      <c r="F7" s="26">
        <v>126</v>
      </c>
      <c r="G7" t="s">
        <v>91</v>
      </c>
      <c r="L7" t="s">
        <v>1064</v>
      </c>
      <c r="O7" s="58">
        <v>19.5</v>
      </c>
      <c r="P7" s="58">
        <v>19.5</v>
      </c>
      <c r="Q7" t="s">
        <v>91</v>
      </c>
      <c r="X7" t="s">
        <v>24</v>
      </c>
      <c r="AA7" s="14">
        <f>'Impact settings'!F7</f>
        <v>4.37</v>
      </c>
      <c r="AD7" s="14">
        <f>'Impact settings'!G7</f>
        <v>63.8</v>
      </c>
      <c r="AI7" s="38">
        <f>'OEL impact settings'!K11</f>
        <v>3.368E-4</v>
      </c>
      <c r="AL7" s="38">
        <f>'OEL impact settings'!P11</f>
        <v>1.192E-2</v>
      </c>
    </row>
    <row r="8" spans="2:39" x14ac:dyDescent="0.3">
      <c r="C8" t="s">
        <v>83</v>
      </c>
      <c r="F8" s="2">
        <v>20</v>
      </c>
      <c r="G8" t="s">
        <v>84</v>
      </c>
      <c r="L8" t="s">
        <v>248</v>
      </c>
      <c r="O8" s="53">
        <f>O7*P7</f>
        <v>380.25</v>
      </c>
      <c r="P8" t="s">
        <v>260</v>
      </c>
      <c r="X8" t="s">
        <v>113</v>
      </c>
      <c r="AA8" s="14">
        <f>'Impact settings'!F8</f>
        <v>4.63</v>
      </c>
      <c r="AD8" s="14">
        <f>'Impact settings'!G8</f>
        <v>69.3</v>
      </c>
      <c r="AI8" s="38">
        <f>'OEL impact settings'!K12</f>
        <v>4.9599999999999998E-2</v>
      </c>
      <c r="AL8" s="38">
        <f>'OEL impact settings'!P12</f>
        <v>2.5520000000000001E-2</v>
      </c>
    </row>
    <row r="9" spans="2:39" x14ac:dyDescent="0.3">
      <c r="X9" t="s">
        <v>291</v>
      </c>
      <c r="AA9" s="14">
        <f>'Impact settings'!F9</f>
        <v>12.7</v>
      </c>
      <c r="AD9" s="14">
        <f>'Impact settings'!G9</f>
        <v>149</v>
      </c>
      <c r="AI9" s="38">
        <f>'OEL impact settings'!K13</f>
        <v>1.1280000000000001E-3</v>
      </c>
      <c r="AL9" s="38">
        <f>'OEL impact settings'!P13</f>
        <v>3.1760000000000004E-2</v>
      </c>
    </row>
    <row r="10" spans="2:39" x14ac:dyDescent="0.3">
      <c r="C10" t="s">
        <v>230</v>
      </c>
      <c r="F10" s="2">
        <v>10</v>
      </c>
      <c r="L10" t="s">
        <v>197</v>
      </c>
      <c r="O10" s="56">
        <v>6.3200000000000006E-2</v>
      </c>
      <c r="Q10" t="s">
        <v>244</v>
      </c>
      <c r="R10" s="53">
        <f>F75</f>
        <v>7750</v>
      </c>
      <c r="X10" t="s">
        <v>114</v>
      </c>
      <c r="AA10" s="14">
        <f>'Impact settings'!F10</f>
        <v>2.02</v>
      </c>
      <c r="AD10" s="14">
        <f>'Impact settings'!G10</f>
        <v>25.2</v>
      </c>
      <c r="AI10" s="38">
        <f>'OEL impact settings'!K14</f>
        <v>3.368E-4</v>
      </c>
      <c r="AL10" s="38">
        <f>'OEL impact settings'!P14</f>
        <v>1.192E-2</v>
      </c>
    </row>
    <row r="11" spans="2:39" x14ac:dyDescent="0.3">
      <c r="C11" t="s">
        <v>231</v>
      </c>
      <c r="F11" s="2">
        <v>5</v>
      </c>
      <c r="L11" t="s">
        <v>198</v>
      </c>
      <c r="O11" s="26" t="s">
        <v>996</v>
      </c>
      <c r="Q11" t="s">
        <v>244</v>
      </c>
      <c r="R11" s="53">
        <f>F77</f>
        <v>2240</v>
      </c>
      <c r="X11" t="s">
        <v>29</v>
      </c>
      <c r="AA11" s="14">
        <f>'Impact settings'!F11</f>
        <v>2.2799999999999998</v>
      </c>
      <c r="AD11" s="14">
        <f>'Impact settings'!G11</f>
        <v>24.9</v>
      </c>
      <c r="AI11" s="38">
        <f>'OEL impact settings'!K15</f>
        <v>3.368E-4</v>
      </c>
      <c r="AL11" s="38">
        <f>'OEL impact settings'!P15</f>
        <v>1.192E-2</v>
      </c>
    </row>
    <row r="12" spans="2:39" x14ac:dyDescent="0.3">
      <c r="C12" t="s">
        <v>232</v>
      </c>
      <c r="F12" s="243">
        <f>F11*F10</f>
        <v>50</v>
      </c>
      <c r="L12" t="s">
        <v>1065</v>
      </c>
      <c r="O12" s="26">
        <f>O13/(O7*P7)</f>
        <v>2.0144465577157886</v>
      </c>
      <c r="P12" t="s">
        <v>91</v>
      </c>
      <c r="Q12" t="s">
        <v>249</v>
      </c>
      <c r="T12" s="243">
        <f>1/((O10/R10)+((1-O10)/R11))</f>
        <v>2345.3855889565843</v>
      </c>
      <c r="X12" t="s">
        <v>110</v>
      </c>
      <c r="AA12" s="14">
        <f>'Impact settings'!F12</f>
        <v>2.1795</v>
      </c>
      <c r="AD12" s="14">
        <f>'Impact settings'!G12</f>
        <v>26.945</v>
      </c>
      <c r="AI12" s="38">
        <f>'OEL impact settings'!K16</f>
        <v>3.368E-4</v>
      </c>
      <c r="AL12" s="38">
        <f>'OEL impact settings'!P16</f>
        <v>1.192E-2</v>
      </c>
    </row>
    <row r="13" spans="2:39" x14ac:dyDescent="0.3">
      <c r="F13" s="23"/>
      <c r="L13" t="s">
        <v>239</v>
      </c>
      <c r="O13" s="324">
        <f>S18</f>
        <v>765.99330357142856</v>
      </c>
      <c r="X13" t="s">
        <v>119</v>
      </c>
      <c r="AA13" s="14">
        <f>'Impact settings'!F13</f>
        <v>29.7</v>
      </c>
      <c r="AD13" s="14">
        <f>'Impact settings'!G13</f>
        <v>434</v>
      </c>
      <c r="AI13" s="38">
        <f>'OEL impact settings'!K17</f>
        <v>4.9599999999999998E-2</v>
      </c>
      <c r="AL13" s="38">
        <f>'OEL impact settings'!P17</f>
        <v>2.5520000000000001E-2</v>
      </c>
    </row>
    <row r="14" spans="2:39" x14ac:dyDescent="0.3">
      <c r="C14" t="s">
        <v>760</v>
      </c>
      <c r="E14" t="s">
        <v>761</v>
      </c>
      <c r="F14" s="2">
        <v>1</v>
      </c>
      <c r="G14" t="s">
        <v>762</v>
      </c>
      <c r="H14" s="243">
        <f>F14*F11</f>
        <v>5</v>
      </c>
      <c r="I14" t="s">
        <v>102</v>
      </c>
      <c r="R14" s="14">
        <f>T12*O13</f>
        <v>1796549.6554336746</v>
      </c>
      <c r="X14" t="s">
        <v>111</v>
      </c>
      <c r="AA14" s="14">
        <f>'Impact settings'!F14</f>
        <v>4.37</v>
      </c>
      <c r="AD14" s="14">
        <f>'Impact settings'!G14</f>
        <v>63.8</v>
      </c>
      <c r="AI14" s="38">
        <f>'OEL impact settings'!K18</f>
        <v>3.368E-4</v>
      </c>
      <c r="AL14" s="38">
        <f>'OEL impact settings'!P18</f>
        <v>1.192E-2</v>
      </c>
      <c r="AM14" t="s">
        <v>112</v>
      </c>
    </row>
    <row r="15" spans="2:39" x14ac:dyDescent="0.3">
      <c r="L15" s="9" t="s">
        <v>250</v>
      </c>
      <c r="M15" s="9"/>
      <c r="N15" s="9"/>
      <c r="O15" s="324">
        <f>Q18</f>
        <v>1715825</v>
      </c>
      <c r="X15" t="s">
        <v>313</v>
      </c>
      <c r="AA15" s="14">
        <f>'Impact settings'!F15</f>
        <v>1.81</v>
      </c>
      <c r="AD15" s="14">
        <f>'Impact settings'!G15</f>
        <v>20.3</v>
      </c>
      <c r="AI15" s="38">
        <f>'OEL impact settings'!K19</f>
        <v>3.368E-4</v>
      </c>
      <c r="AL15" s="38">
        <f>'OEL impact settings'!P19</f>
        <v>1.192E-2</v>
      </c>
    </row>
    <row r="16" spans="2:39" x14ac:dyDescent="0.3">
      <c r="L16" s="44" t="s">
        <v>302</v>
      </c>
      <c r="M16" s="44"/>
      <c r="N16" s="44"/>
      <c r="O16" s="44">
        <f>(1-O10)*O15</f>
        <v>1607384.8599999999</v>
      </c>
      <c r="Q16" s="14">
        <v>1607325</v>
      </c>
      <c r="R16" t="s">
        <v>65</v>
      </c>
      <c r="S16">
        <f>Q16/R11</f>
        <v>717.55580357142856</v>
      </c>
      <c r="AA16" s="14">
        <f>'Impact settings'!F16</f>
        <v>2.4900000000000002</v>
      </c>
      <c r="AD16" s="14">
        <f>'Impact settings'!G16</f>
        <v>28.3</v>
      </c>
      <c r="AI16" s="38"/>
      <c r="AL16" s="38"/>
    </row>
    <row r="17" spans="2:38" x14ac:dyDescent="0.3">
      <c r="B17" s="17" t="s">
        <v>49</v>
      </c>
      <c r="C17" s="16"/>
      <c r="D17" s="16"/>
      <c r="E17" s="16"/>
      <c r="F17" s="16"/>
      <c r="G17" s="16"/>
      <c r="H17" s="16"/>
      <c r="I17" s="16"/>
      <c r="L17" s="44" t="s">
        <v>303</v>
      </c>
      <c r="M17" s="44"/>
      <c r="N17" s="44"/>
      <c r="O17" s="44">
        <f>O10*O15</f>
        <v>108440.14000000001</v>
      </c>
      <c r="Q17" s="14">
        <v>108500</v>
      </c>
      <c r="R17" t="s">
        <v>65</v>
      </c>
      <c r="S17">
        <f>Q17/R11</f>
        <v>48.4375</v>
      </c>
      <c r="AA17" s="14">
        <f>'Impact settings'!F17</f>
        <v>0</v>
      </c>
      <c r="AD17" s="14">
        <f>'Impact settings'!G17</f>
        <v>0</v>
      </c>
      <c r="AI17" s="38"/>
      <c r="AL17" s="38"/>
    </row>
    <row r="18" spans="2:38" x14ac:dyDescent="0.3">
      <c r="C18" s="41" t="s">
        <v>43</v>
      </c>
      <c r="D18" s="12"/>
      <c r="E18" s="12"/>
      <c r="F18" s="12" t="s">
        <v>53</v>
      </c>
      <c r="G18" s="12" t="s">
        <v>56</v>
      </c>
      <c r="H18" s="12"/>
      <c r="I18" s="12"/>
      <c r="Q18" s="14">
        <f>Q17+Q16</f>
        <v>1715825</v>
      </c>
      <c r="S18" s="14">
        <f>S17+S16</f>
        <v>765.99330357142856</v>
      </c>
      <c r="AA18" s="14">
        <f>'Impact settings'!F18</f>
        <v>0</v>
      </c>
      <c r="AD18" s="14">
        <f>'Impact settings'!G18</f>
        <v>0</v>
      </c>
      <c r="AI18" s="38"/>
      <c r="AL18" s="38"/>
    </row>
    <row r="19" spans="2:38" x14ac:dyDescent="0.3">
      <c r="D19" t="s">
        <v>75</v>
      </c>
      <c r="F19" s="2">
        <f>'Collective imput'!F58</f>
        <v>2000</v>
      </c>
      <c r="G19" s="2">
        <f>'Collective imput'!G58</f>
        <v>500</v>
      </c>
      <c r="Q19" s="7" t="s">
        <v>1452</v>
      </c>
      <c r="R19" s="7"/>
      <c r="S19" s="7"/>
      <c r="T19" s="7"/>
      <c r="AA19" s="14">
        <f>'Impact settings'!F19</f>
        <v>0</v>
      </c>
      <c r="AD19" s="14">
        <f>'Impact settings'!G19</f>
        <v>0</v>
      </c>
      <c r="AI19" s="38"/>
      <c r="AL19" s="38"/>
    </row>
    <row r="20" spans="2:38" x14ac:dyDescent="0.3">
      <c r="D20" t="s">
        <v>76</v>
      </c>
      <c r="F20" s="2">
        <f>'Collective imput'!F59</f>
        <v>2000</v>
      </c>
      <c r="G20" s="2">
        <f>'Collective imput'!G59</f>
        <v>500</v>
      </c>
      <c r="Q20">
        <f>Q17/Q18</f>
        <v>6.3234887007707657E-2</v>
      </c>
      <c r="W20" s="17" t="s">
        <v>147</v>
      </c>
      <c r="X20" s="17"/>
      <c r="Y20" s="17"/>
      <c r="Z20" s="17"/>
      <c r="AA20" s="256"/>
      <c r="AB20" s="7"/>
      <c r="AC20" s="7"/>
      <c r="AD20" s="256"/>
      <c r="AE20" s="7"/>
      <c r="AF20" s="7"/>
      <c r="AG20" s="7"/>
      <c r="AH20" s="7"/>
      <c r="AI20" s="154"/>
      <c r="AJ20" s="7"/>
      <c r="AK20" s="7"/>
      <c r="AL20" s="154"/>
    </row>
    <row r="21" spans="2:38" x14ac:dyDescent="0.3">
      <c r="D21" t="s">
        <v>77</v>
      </c>
      <c r="F21" s="2">
        <f>'Collective imput'!F60</f>
        <v>0</v>
      </c>
      <c r="G21" s="2">
        <f>'Collective imput'!G60</f>
        <v>200</v>
      </c>
      <c r="X21" t="s">
        <v>136</v>
      </c>
      <c r="AA21" s="14">
        <f>'Impact settings'!F21</f>
        <v>0.5</v>
      </c>
      <c r="AD21" s="14">
        <f>'Impact settings'!G21</f>
        <v>9.5399999999999991</v>
      </c>
      <c r="AI21" s="38"/>
      <c r="AL21" s="38"/>
    </row>
    <row r="22" spans="2:38" x14ac:dyDescent="0.3">
      <c r="D22" t="s">
        <v>78</v>
      </c>
      <c r="F22" s="2">
        <f>'Collective imput'!F61</f>
        <v>0</v>
      </c>
      <c r="G22" s="2">
        <f>'Collective imput'!G61</f>
        <v>50</v>
      </c>
      <c r="X22" t="s">
        <v>116</v>
      </c>
      <c r="AA22" s="14">
        <f>'Impact settings'!F22</f>
        <v>0.24</v>
      </c>
      <c r="AD22" s="14">
        <f>'Impact settings'!G22</f>
        <v>4.32</v>
      </c>
      <c r="AI22" s="38"/>
      <c r="AL22" s="38"/>
    </row>
    <row r="23" spans="2:38" x14ac:dyDescent="0.3">
      <c r="D23" t="s">
        <v>79</v>
      </c>
      <c r="F23" s="2">
        <f>'Collective imput'!F62</f>
        <v>0</v>
      </c>
      <c r="G23" s="2">
        <f>'Collective imput'!G62</f>
        <v>50</v>
      </c>
      <c r="X23" t="s">
        <v>118</v>
      </c>
      <c r="AA23" s="14">
        <f>'Impact settings'!F23</f>
        <v>0.49</v>
      </c>
      <c r="AD23" s="14">
        <f>'Impact settings'!G23</f>
        <v>0</v>
      </c>
      <c r="AI23" s="38"/>
      <c r="AL23" s="38"/>
    </row>
    <row r="24" spans="2:38" x14ac:dyDescent="0.3">
      <c r="D24" t="s">
        <v>195</v>
      </c>
      <c r="F24" s="2">
        <f>'Collective imput'!F63</f>
        <v>0</v>
      </c>
      <c r="G24" s="2">
        <f>'Collective imput'!G63</f>
        <v>200</v>
      </c>
      <c r="X24" t="s">
        <v>120</v>
      </c>
      <c r="AA24" s="14">
        <f>'Impact settings'!F24</f>
        <v>1.6</v>
      </c>
      <c r="AD24" s="14">
        <f>'Impact settings'!G24</f>
        <v>27.8</v>
      </c>
      <c r="AI24" s="38"/>
      <c r="AL24" s="38"/>
    </row>
    <row r="25" spans="2:38" x14ac:dyDescent="0.3">
      <c r="D25" t="s">
        <v>951</v>
      </c>
      <c r="F25" s="2">
        <f>'Collective imput'!F64</f>
        <v>0</v>
      </c>
      <c r="G25" s="2">
        <f>'Collective imput'!G64</f>
        <v>200</v>
      </c>
      <c r="X25" t="s">
        <v>122</v>
      </c>
      <c r="AA25" s="14">
        <f>'Impact settings'!F25</f>
        <v>2.23</v>
      </c>
      <c r="AD25" s="14">
        <f>'Impact settings'!G25</f>
        <v>37.6</v>
      </c>
      <c r="AI25" s="38"/>
      <c r="AL25" s="38"/>
    </row>
    <row r="26" spans="2:38" x14ac:dyDescent="0.3">
      <c r="X26" t="s">
        <v>124</v>
      </c>
      <c r="AA26" s="14">
        <f>'Impact settings'!F26</f>
        <v>0.31900000000000001</v>
      </c>
      <c r="AD26" s="14">
        <f>'Impact settings'!G26</f>
        <v>3.49</v>
      </c>
      <c r="AI26" s="38"/>
      <c r="AL26" s="38"/>
    </row>
    <row r="27" spans="2:38" x14ac:dyDescent="0.3">
      <c r="C27" s="41" t="s">
        <v>87</v>
      </c>
      <c r="D27" s="12"/>
      <c r="E27" s="12"/>
      <c r="F27" s="12"/>
      <c r="G27" s="12"/>
      <c r="H27" s="12"/>
      <c r="I27" s="12"/>
      <c r="X27" t="s">
        <v>137</v>
      </c>
      <c r="AA27" s="14">
        <f>'Impact settings'!F27</f>
        <v>0.14899999999999999</v>
      </c>
      <c r="AD27" s="14">
        <f>'Impact settings'!G27</f>
        <v>2.58</v>
      </c>
      <c r="AI27" s="38"/>
      <c r="AL27" s="38"/>
    </row>
    <row r="28" spans="2:38" x14ac:dyDescent="0.3">
      <c r="D28" s="368" t="s">
        <v>69</v>
      </c>
      <c r="E28" s="368"/>
      <c r="F28" s="227">
        <v>40</v>
      </c>
      <c r="G28" t="s">
        <v>93</v>
      </c>
      <c r="H28" t="s">
        <v>2113</v>
      </c>
      <c r="X28" t="s">
        <v>109</v>
      </c>
      <c r="AA28" s="14">
        <f>'Impact settings'!F28</f>
        <v>5.0999999999999996</v>
      </c>
      <c r="AD28" s="14">
        <f>'Impact settings'!G28</f>
        <v>89.3</v>
      </c>
      <c r="AI28" s="38"/>
      <c r="AL28" s="38"/>
    </row>
    <row r="29" spans="2:38" x14ac:dyDescent="0.3">
      <c r="D29" s="368" t="s">
        <v>94</v>
      </c>
      <c r="E29" s="368"/>
      <c r="F29" s="227">
        <v>40</v>
      </c>
      <c r="G29" t="s">
        <v>93</v>
      </c>
      <c r="X29" t="s">
        <v>1343</v>
      </c>
      <c r="AA29" s="14">
        <f>'Impact settings'!F29</f>
        <v>3.27</v>
      </c>
      <c r="AD29" s="14">
        <f>'Impact settings'!G29</f>
        <v>65</v>
      </c>
      <c r="AI29" s="38"/>
      <c r="AL29" s="38"/>
    </row>
    <row r="30" spans="2:38" x14ac:dyDescent="0.3">
      <c r="F30" s="2"/>
      <c r="X30" t="s">
        <v>1538</v>
      </c>
      <c r="AA30" s="14">
        <f>'Impact settings'!F30</f>
        <v>3.53</v>
      </c>
      <c r="AD30" s="14">
        <f>'Impact settings'!G30</f>
        <v>49.7</v>
      </c>
      <c r="AI30" s="38"/>
      <c r="AL30" s="38"/>
    </row>
    <row r="31" spans="2:38" x14ac:dyDescent="0.3">
      <c r="D31" t="s">
        <v>88</v>
      </c>
      <c r="E31" t="s">
        <v>89</v>
      </c>
      <c r="F31" s="2">
        <v>0.8</v>
      </c>
      <c r="G31" t="s">
        <v>91</v>
      </c>
      <c r="X31" t="s">
        <v>1511</v>
      </c>
      <c r="AA31" s="329">
        <f>AA24</f>
        <v>1.6</v>
      </c>
      <c r="AB31" s="60"/>
      <c r="AC31" s="60"/>
      <c r="AD31" s="329">
        <f>AD24</f>
        <v>27.8</v>
      </c>
      <c r="AI31" s="38"/>
      <c r="AL31" s="38"/>
    </row>
    <row r="32" spans="2:38" x14ac:dyDescent="0.3">
      <c r="E32" t="s">
        <v>90</v>
      </c>
      <c r="F32" s="2">
        <v>0.8</v>
      </c>
      <c r="G32" t="s">
        <v>91</v>
      </c>
      <c r="X32" t="s">
        <v>1531</v>
      </c>
      <c r="AA32" s="329">
        <f>AA25</f>
        <v>2.23</v>
      </c>
      <c r="AB32" s="60"/>
      <c r="AC32" s="60"/>
      <c r="AD32" s="329">
        <f>AD25</f>
        <v>37.6</v>
      </c>
    </row>
    <row r="33" spans="2:38" x14ac:dyDescent="0.3">
      <c r="X33" t="s">
        <v>1532</v>
      </c>
      <c r="AA33" s="329">
        <f>AA24</f>
        <v>1.6</v>
      </c>
      <c r="AB33" s="60"/>
      <c r="AC33" s="60"/>
      <c r="AD33" s="329">
        <f>AD24</f>
        <v>27.8</v>
      </c>
    </row>
    <row r="34" spans="2:38" x14ac:dyDescent="0.3">
      <c r="K34" s="41" t="s">
        <v>139</v>
      </c>
      <c r="L34" s="12" t="s">
        <v>229</v>
      </c>
      <c r="M34" s="12"/>
      <c r="N34" s="12"/>
      <c r="O34" s="12"/>
      <c r="P34" s="12"/>
      <c r="Q34" s="12"/>
      <c r="R34" s="12"/>
      <c r="S34" s="12"/>
      <c r="T34" s="12"/>
      <c r="U34" s="12"/>
      <c r="W34" s="17" t="s">
        <v>151</v>
      </c>
      <c r="X34" s="17"/>
      <c r="Y34" s="17"/>
      <c r="Z34" s="17"/>
      <c r="AA34" s="256"/>
      <c r="AB34" s="7"/>
      <c r="AC34" s="7"/>
      <c r="AD34" s="256"/>
      <c r="AE34" s="7"/>
      <c r="AF34" s="7"/>
      <c r="AG34" s="7"/>
      <c r="AH34" s="7"/>
      <c r="AI34" s="154"/>
      <c r="AJ34" s="7"/>
      <c r="AK34" s="7"/>
      <c r="AL34" s="154"/>
    </row>
    <row r="35" spans="2:38" x14ac:dyDescent="0.3">
      <c r="B35" s="17" t="s">
        <v>44</v>
      </c>
      <c r="C35" s="16"/>
      <c r="D35" s="16"/>
      <c r="E35" s="16"/>
      <c r="F35" s="16"/>
      <c r="G35" s="16"/>
      <c r="H35" s="16"/>
      <c r="I35" s="16"/>
      <c r="L35" t="s">
        <v>205</v>
      </c>
      <c r="N35" s="53">
        <f>(F7*F6)*(F10-1)/F10</f>
        <v>793.8</v>
      </c>
      <c r="O35" t="s">
        <v>91</v>
      </c>
      <c r="X35" t="s">
        <v>138</v>
      </c>
      <c r="AA35" s="14">
        <f>'Impact settings'!F34</f>
        <v>5.6</v>
      </c>
      <c r="AD35" s="14">
        <f>'Impact settings'!G34</f>
        <v>88</v>
      </c>
      <c r="AI35" s="38">
        <f>'OEL impact settings'!K23</f>
        <v>9.5000000000000001E-2</v>
      </c>
      <c r="AL35" s="38">
        <f>'OEL impact settings'!P23</f>
        <v>0.249</v>
      </c>
    </row>
    <row r="36" spans="2:38" x14ac:dyDescent="0.3">
      <c r="C36" s="41" t="s">
        <v>51</v>
      </c>
      <c r="D36" s="12"/>
      <c r="E36" s="12"/>
      <c r="F36" s="12"/>
      <c r="G36" s="12"/>
      <c r="H36" s="12"/>
      <c r="I36" s="12"/>
      <c r="L36" t="s">
        <v>206</v>
      </c>
      <c r="N36" s="53">
        <f>(F5/F10)*R39</f>
        <v>3000</v>
      </c>
      <c r="X36" t="s">
        <v>130</v>
      </c>
      <c r="AA36" s="14">
        <f>'Impact settings'!F35</f>
        <v>4.18</v>
      </c>
      <c r="AD36" s="14">
        <f>'Impact settings'!G35</f>
        <v>98.8</v>
      </c>
      <c r="AI36" s="38">
        <f>'OEL impact settings'!K24</f>
        <v>1.6628169827586208</v>
      </c>
      <c r="AL36" s="38">
        <f>'OEL impact settings'!P24</f>
        <v>0.38900000000000001</v>
      </c>
    </row>
    <row r="37" spans="2:38" x14ac:dyDescent="0.3">
      <c r="D37" t="s">
        <v>74</v>
      </c>
      <c r="F37" t="s">
        <v>86</v>
      </c>
      <c r="X37" t="s">
        <v>68</v>
      </c>
      <c r="AA37" s="14">
        <f>'Impact settings'!F36</f>
        <v>4.46</v>
      </c>
      <c r="AD37" s="14">
        <f>'Impact settings'!G36</f>
        <v>82.8</v>
      </c>
      <c r="AI37" s="38">
        <f>'OEL impact settings'!K25</f>
        <v>0.31</v>
      </c>
      <c r="AL37" s="38">
        <f>'OEL impact settings'!P25</f>
        <v>0.1595</v>
      </c>
    </row>
    <row r="38" spans="2:38" x14ac:dyDescent="0.3">
      <c r="E38" t="s">
        <v>210</v>
      </c>
      <c r="F38" s="2">
        <v>19</v>
      </c>
      <c r="L38" s="42" t="s">
        <v>68</v>
      </c>
      <c r="O38" s="42" t="s">
        <v>218</v>
      </c>
      <c r="P38" s="42" t="s">
        <v>140</v>
      </c>
      <c r="X38" t="s">
        <v>115</v>
      </c>
      <c r="AA38" s="14">
        <f>'Impact settings'!F37</f>
        <v>378</v>
      </c>
      <c r="AD38" s="14">
        <f>'Impact settings'!G37</f>
        <v>5670</v>
      </c>
      <c r="AI38" s="38">
        <f>'OEL impact settings'!K26</f>
        <v>0.31</v>
      </c>
      <c r="AL38" s="38">
        <f>'OEL impact settings'!P26</f>
        <v>0.1595</v>
      </c>
    </row>
    <row r="39" spans="2:38" x14ac:dyDescent="0.3">
      <c r="E39" t="s">
        <v>209</v>
      </c>
      <c r="F39" s="2">
        <v>2</v>
      </c>
      <c r="M39" s="42" t="s">
        <v>228</v>
      </c>
      <c r="O39" s="53">
        <f>N36</f>
        <v>3000</v>
      </c>
      <c r="P39" s="53">
        <f>N35</f>
        <v>793.8</v>
      </c>
      <c r="R39">
        <v>2</v>
      </c>
      <c r="S39" t="s">
        <v>1494</v>
      </c>
      <c r="X39" t="s">
        <v>121</v>
      </c>
      <c r="AA39" s="14">
        <f>'Impact settings'!F38</f>
        <v>0</v>
      </c>
      <c r="AD39" s="14">
        <f>'Impact settings'!G38</f>
        <v>0</v>
      </c>
      <c r="AI39" s="38">
        <f>'OEL impact settings'!K27</f>
        <v>0</v>
      </c>
      <c r="AL39" s="38">
        <f>'OEL impact settings'!P27</f>
        <v>0</v>
      </c>
    </row>
    <row r="40" spans="2:38" x14ac:dyDescent="0.3">
      <c r="E40" t="s">
        <v>42</v>
      </c>
      <c r="F40" s="2">
        <v>3</v>
      </c>
      <c r="M40" s="42" t="s">
        <v>217</v>
      </c>
      <c r="X40" t="s">
        <v>131</v>
      </c>
      <c r="AA40" s="14">
        <f>'Impact settings'!F39</f>
        <v>5</v>
      </c>
      <c r="AD40" s="14">
        <f>'Impact settings'!G39</f>
        <v>88.2</v>
      </c>
      <c r="AI40" s="38">
        <f>'OEL impact settings'!K28</f>
        <v>9.2999999999999999E-2</v>
      </c>
      <c r="AL40" s="38">
        <f>'OEL impact settings'!P28</f>
        <v>4.7849999999999997E-2</v>
      </c>
    </row>
    <row r="41" spans="2:38" x14ac:dyDescent="0.3">
      <c r="E41" t="s">
        <v>22</v>
      </c>
      <c r="F41" s="2">
        <v>1</v>
      </c>
      <c r="M41" s="42" t="s">
        <v>219</v>
      </c>
      <c r="X41" t="s">
        <v>132</v>
      </c>
      <c r="AA41" s="14">
        <f>'Impact settings'!F40</f>
        <v>7.96</v>
      </c>
      <c r="AD41" s="14">
        <f>'Impact settings'!G40</f>
        <v>108</v>
      </c>
      <c r="AI41" s="38">
        <f>'OEL impact settings'!K29</f>
        <v>6.2E-2</v>
      </c>
      <c r="AL41" s="38">
        <f>'OEL impact settings'!P29</f>
        <v>3.1900000000000005E-2</v>
      </c>
    </row>
    <row r="42" spans="2:38" x14ac:dyDescent="0.3">
      <c r="M42" s="42" t="s">
        <v>220</v>
      </c>
      <c r="X42" t="s">
        <v>73</v>
      </c>
      <c r="AA42" s="14">
        <f>'Impact settings'!F41</f>
        <v>0.11383928571428571</v>
      </c>
      <c r="AD42" s="14">
        <f>'Impact settings'!G41</f>
        <v>0.8705357142857143</v>
      </c>
      <c r="AI42" s="38">
        <f>'OEL impact settings'!K30</f>
        <v>5.1500000000000001E-3</v>
      </c>
      <c r="AL42" s="38">
        <f>'OEL impact settings'!P30</f>
        <v>0.20799999999999999</v>
      </c>
    </row>
    <row r="43" spans="2:38" x14ac:dyDescent="0.3">
      <c r="M43" s="42" t="s">
        <v>221</v>
      </c>
      <c r="O43" s="2" t="s">
        <v>224</v>
      </c>
      <c r="P43" s="2" t="s">
        <v>225</v>
      </c>
      <c r="X43" t="s">
        <v>133</v>
      </c>
      <c r="AA43" s="14">
        <f>'Impact settings'!F42</f>
        <v>36.6</v>
      </c>
      <c r="AD43" s="14">
        <f>'Impact settings'!G42</f>
        <v>570</v>
      </c>
      <c r="AI43" s="38">
        <f>'OEL impact settings'!K31</f>
        <v>0.31</v>
      </c>
      <c r="AL43" s="38">
        <f>'OEL impact settings'!P31</f>
        <v>0.1595</v>
      </c>
    </row>
    <row r="44" spans="2:38" x14ac:dyDescent="0.3">
      <c r="M44" s="42" t="s">
        <v>222</v>
      </c>
      <c r="O44" s="2" t="s">
        <v>223</v>
      </c>
      <c r="P44" s="2" t="s">
        <v>223</v>
      </c>
      <c r="X44" t="s">
        <v>134</v>
      </c>
      <c r="AA44" s="14">
        <f>'Impact settings'!F43</f>
        <v>7.72</v>
      </c>
      <c r="AD44" s="14">
        <f>'Impact settings'!G43</f>
        <v>123</v>
      </c>
      <c r="AI44" s="38">
        <f>'OEL impact settings'!K32</f>
        <v>0.31</v>
      </c>
      <c r="AL44" s="38">
        <f>'OEL impact settings'!P32</f>
        <v>0.1595</v>
      </c>
    </row>
    <row r="45" spans="2:38" x14ac:dyDescent="0.3">
      <c r="C45" s="41" t="s">
        <v>166</v>
      </c>
      <c r="D45" s="12"/>
      <c r="E45" s="12"/>
      <c r="F45" s="12"/>
      <c r="G45" s="12"/>
      <c r="H45" s="12"/>
      <c r="I45" s="12"/>
      <c r="M45" s="42" t="s">
        <v>226</v>
      </c>
      <c r="O45" s="2" t="s">
        <v>227</v>
      </c>
      <c r="P45" s="2" t="s">
        <v>227</v>
      </c>
      <c r="AA45" s="14">
        <f>'Impact settings'!F44</f>
        <v>0</v>
      </c>
      <c r="AD45" s="14">
        <f>'Impact settings'!G44</f>
        <v>0</v>
      </c>
      <c r="AI45" s="38">
        <f>'OEL impact settings'!K33</f>
        <v>0</v>
      </c>
      <c r="AL45" s="38">
        <f>'OEL impact settings'!P33</f>
        <v>0</v>
      </c>
    </row>
    <row r="46" spans="2:38" x14ac:dyDescent="0.3">
      <c r="D46" t="s">
        <v>80</v>
      </c>
      <c r="F46" s="2">
        <v>7500</v>
      </c>
      <c r="G46" t="s">
        <v>65</v>
      </c>
      <c r="AA46" s="14">
        <f>'Impact settings'!F45</f>
        <v>0</v>
      </c>
      <c r="AD46" s="14">
        <f>'Impact settings'!G45</f>
        <v>0</v>
      </c>
      <c r="AI46" s="38"/>
      <c r="AL46" s="38"/>
    </row>
    <row r="47" spans="2:38" x14ac:dyDescent="0.3">
      <c r="D47" t="s">
        <v>81</v>
      </c>
      <c r="F47" s="2">
        <v>12</v>
      </c>
      <c r="G47" t="s">
        <v>82</v>
      </c>
      <c r="W47" s="17" t="s">
        <v>148</v>
      </c>
      <c r="X47" s="17"/>
      <c r="Y47" s="17"/>
      <c r="Z47" s="17"/>
      <c r="AA47" s="256"/>
      <c r="AB47" s="7"/>
      <c r="AC47" s="7"/>
      <c r="AD47" s="256"/>
      <c r="AE47" s="7"/>
      <c r="AF47" s="7"/>
      <c r="AG47" s="7"/>
      <c r="AH47" s="7"/>
      <c r="AI47" s="154"/>
      <c r="AJ47" s="7"/>
      <c r="AK47" s="7"/>
      <c r="AL47" s="154"/>
    </row>
    <row r="48" spans="2:38" x14ac:dyDescent="0.3">
      <c r="D48" t="s">
        <v>184</v>
      </c>
      <c r="F48" s="2">
        <f>F8*F47</f>
        <v>240</v>
      </c>
      <c r="G48" t="s">
        <v>85</v>
      </c>
      <c r="M48" s="233" t="str">
        <f>Cables!S39</f>
        <v>for farm</v>
      </c>
      <c r="N48" s="230"/>
      <c r="O48" s="230" t="str">
        <f>Cables!U39</f>
        <v>per meter</v>
      </c>
      <c r="P48" s="231"/>
      <c r="R48" t="s">
        <v>748</v>
      </c>
      <c r="X48" t="s">
        <v>129</v>
      </c>
      <c r="AA48" s="14">
        <f>'Impact settings'!F49</f>
        <v>2.42</v>
      </c>
      <c r="AD48" s="14">
        <f>'Impact settings'!G49</f>
        <v>59.4</v>
      </c>
      <c r="AI48" s="38">
        <f>'OEL impact settings'!K37</f>
        <v>1.1884000000000001</v>
      </c>
      <c r="AL48" s="38">
        <f>'OEL impact settings'!P37</f>
        <v>4.9995000000000003</v>
      </c>
    </row>
    <row r="49" spans="3:38" x14ac:dyDescent="0.3">
      <c r="D49" t="s">
        <v>186</v>
      </c>
      <c r="F49" s="227">
        <v>2</v>
      </c>
      <c r="M49" s="234"/>
      <c r="O49" t="str">
        <f>Cables!U40</f>
        <v>array</v>
      </c>
      <c r="P49" s="85" t="str">
        <f>Cables!V40</f>
        <v>export</v>
      </c>
      <c r="R49" t="s">
        <v>741</v>
      </c>
      <c r="S49" t="s">
        <v>745</v>
      </c>
      <c r="X49" t="s">
        <v>127</v>
      </c>
      <c r="AA49" s="14">
        <f>'Impact settings'!F50</f>
        <v>2.46</v>
      </c>
      <c r="AD49" s="14">
        <f>'Impact settings'!G50</f>
        <v>82.9</v>
      </c>
      <c r="AI49" s="38">
        <f>'OEL impact settings'!K38</f>
        <v>1.554</v>
      </c>
      <c r="AL49" s="38">
        <f>'OEL impact settings'!P38</f>
        <v>0.189</v>
      </c>
    </row>
    <row r="50" spans="3:38" x14ac:dyDescent="0.3">
      <c r="D50" t="s">
        <v>185</v>
      </c>
      <c r="F50" s="2">
        <f>F48/F49</f>
        <v>120</v>
      </c>
      <c r="G50" t="s">
        <v>187</v>
      </c>
      <c r="M50" s="234" t="str">
        <f>Cables!S41</f>
        <v>alu</v>
      </c>
      <c r="O50">
        <f>Cables!U41</f>
        <v>1.944</v>
      </c>
      <c r="P50" s="85">
        <f>Cables!V41</f>
        <v>4.8599999999999994</v>
      </c>
      <c r="R50" s="44">
        <f>O50*O$59</f>
        <v>1543.1471999999999</v>
      </c>
      <c r="S50" s="44">
        <f>P50*P$59</f>
        <v>14579.999999999998</v>
      </c>
      <c r="X50" t="s">
        <v>125</v>
      </c>
      <c r="AA50" s="14">
        <f>'Impact settings'!F51</f>
        <v>2.29</v>
      </c>
      <c r="AD50" s="14">
        <f>'Impact settings'!G51</f>
        <v>80.400000000000006</v>
      </c>
      <c r="AI50" s="38">
        <f>'OEL impact settings'!K39</f>
        <v>1.554</v>
      </c>
      <c r="AL50" s="38">
        <f>'OEL impact settings'!P39</f>
        <v>0.189</v>
      </c>
    </row>
    <row r="51" spans="3:38" x14ac:dyDescent="0.3">
      <c r="D51" t="s">
        <v>182</v>
      </c>
      <c r="F51" s="2">
        <v>100</v>
      </c>
      <c r="G51" t="s">
        <v>183</v>
      </c>
      <c r="M51" s="234" t="str">
        <f>Cables!S42</f>
        <v>XPLE</v>
      </c>
      <c r="O51">
        <f>Cables!U42</f>
        <v>1.9536898701671608</v>
      </c>
      <c r="P51" s="85">
        <f>Cables!V42</f>
        <v>2.8903238240197289</v>
      </c>
      <c r="R51" s="44">
        <f t="shared" ref="R51:S56" si="0">O51*O$59</f>
        <v>1550.8390189386921</v>
      </c>
      <c r="S51" s="44">
        <f t="shared" si="0"/>
        <v>8670.9714720591874</v>
      </c>
      <c r="AA51" s="14">
        <f>'Impact settings'!F53</f>
        <v>2.74</v>
      </c>
      <c r="AD51" s="14">
        <f>'Impact settings'!G53</f>
        <v>87</v>
      </c>
      <c r="AI51" s="38"/>
      <c r="AL51" s="38"/>
    </row>
    <row r="52" spans="3:38" x14ac:dyDescent="0.3">
      <c r="M52" s="234" t="str">
        <f>Cables!S43</f>
        <v>Copper</v>
      </c>
      <c r="O52">
        <f>Cables!U43</f>
        <v>0.34977000000000003</v>
      </c>
      <c r="P52" s="85">
        <f>Cables!V43</f>
        <v>0.53400000000000003</v>
      </c>
      <c r="R52" s="44">
        <f t="shared" si="0"/>
        <v>277.647426</v>
      </c>
      <c r="S52" s="44">
        <f t="shared" si="0"/>
        <v>1602</v>
      </c>
      <c r="AA52" s="14"/>
      <c r="AD52" s="14"/>
      <c r="AI52" s="38"/>
      <c r="AL52" s="38"/>
    </row>
    <row r="53" spans="3:38" x14ac:dyDescent="0.3">
      <c r="C53" s="41" t="s">
        <v>101</v>
      </c>
      <c r="D53" s="12"/>
      <c r="E53" s="12"/>
      <c r="F53" s="12"/>
      <c r="G53" s="12"/>
      <c r="H53" s="12"/>
      <c r="I53" s="12"/>
      <c r="M53" s="234" t="str">
        <f>Cables!S44</f>
        <v>PVC</v>
      </c>
      <c r="O53">
        <f>Cables!U44</f>
        <v>2.3710401298328394</v>
      </c>
      <c r="P53" s="85">
        <f>Cables!V44</f>
        <v>4.5261761759802734</v>
      </c>
      <c r="R53" s="44">
        <f t="shared" si="0"/>
        <v>1882.1316550613078</v>
      </c>
      <c r="S53" s="44">
        <f t="shared" si="0"/>
        <v>13578.52852794082</v>
      </c>
      <c r="AA53" s="14">
        <f>'Impact settings'!F54</f>
        <v>0</v>
      </c>
      <c r="AD53" s="14">
        <f>'Impact settings'!G54</f>
        <v>0</v>
      </c>
      <c r="AI53" s="38"/>
      <c r="AL53" s="38"/>
    </row>
    <row r="54" spans="3:38" x14ac:dyDescent="0.3">
      <c r="D54" t="s">
        <v>34</v>
      </c>
      <c r="F54" s="2">
        <f>F11</f>
        <v>5</v>
      </c>
      <c r="G54" t="s">
        <v>102</v>
      </c>
      <c r="M54" s="234"/>
      <c r="O54">
        <f>Cables!U45</f>
        <v>0</v>
      </c>
      <c r="P54" s="85">
        <f>Cables!V45</f>
        <v>0</v>
      </c>
      <c r="R54" s="44">
        <f t="shared" si="0"/>
        <v>0</v>
      </c>
      <c r="S54" s="44">
        <f t="shared" si="0"/>
        <v>0</v>
      </c>
      <c r="AA54" s="14">
        <f>'Impact settings'!F55</f>
        <v>0</v>
      </c>
      <c r="AD54" s="14">
        <f>'Impact settings'!G55</f>
        <v>0</v>
      </c>
      <c r="AI54" s="38"/>
      <c r="AL54" s="38"/>
    </row>
    <row r="55" spans="3:38" x14ac:dyDescent="0.3">
      <c r="D55" t="s">
        <v>33</v>
      </c>
      <c r="F55" s="339">
        <f>47.3%+3%</f>
        <v>0.503</v>
      </c>
      <c r="M55" s="234" t="str">
        <f>Cables!S46</f>
        <v>wire drawing</v>
      </c>
      <c r="O55">
        <f>Cables!U46</f>
        <v>2.2937699999999999</v>
      </c>
      <c r="P55" s="85">
        <f>Cables!V46</f>
        <v>5.3939999999999992</v>
      </c>
      <c r="R55" s="44">
        <f t="shared" si="0"/>
        <v>1820.7946259999999</v>
      </c>
      <c r="S55" s="44">
        <f t="shared" si="0"/>
        <v>16181.999999999998</v>
      </c>
      <c r="W55" s="17" t="s">
        <v>150</v>
      </c>
      <c r="X55" s="17"/>
      <c r="Y55" s="17"/>
      <c r="Z55" s="17"/>
      <c r="AA55" s="256"/>
      <c r="AB55" s="7"/>
      <c r="AC55" s="7"/>
      <c r="AD55" s="256"/>
      <c r="AE55" s="7"/>
      <c r="AF55" s="7"/>
      <c r="AG55" s="7"/>
      <c r="AH55" s="7"/>
      <c r="AI55" s="154"/>
      <c r="AJ55" s="7"/>
      <c r="AK55" s="7"/>
      <c r="AL55" s="154"/>
    </row>
    <row r="56" spans="3:38" x14ac:dyDescent="0.3">
      <c r="D56" t="s">
        <v>35</v>
      </c>
      <c r="F56" s="54">
        <v>7.4999999999999997E-3</v>
      </c>
      <c r="G56" t="s">
        <v>1599</v>
      </c>
      <c r="M56" s="234" t="str">
        <f>Cables!S47</f>
        <v>plastic extrusion</v>
      </c>
      <c r="O56">
        <f>Cables!U47</f>
        <v>4.3247300000000006</v>
      </c>
      <c r="P56" s="85">
        <f>Cables!V47</f>
        <v>7.4165000000000028</v>
      </c>
      <c r="R56" s="44">
        <f t="shared" si="0"/>
        <v>3432.9706740000001</v>
      </c>
      <c r="S56" s="44">
        <f t="shared" si="0"/>
        <v>22249.500000000007</v>
      </c>
      <c r="X56" t="s">
        <v>135</v>
      </c>
      <c r="AA56" s="14">
        <f>'Impact settings'!F57</f>
        <v>0.29199999999999998</v>
      </c>
      <c r="AD56" s="14">
        <f>'Impact settings'!G57</f>
        <v>7.26</v>
      </c>
      <c r="AI56" s="38"/>
      <c r="AL56" s="38"/>
    </row>
    <row r="57" spans="3:38" x14ac:dyDescent="0.3">
      <c r="D57" t="s">
        <v>36</v>
      </c>
      <c r="F57" s="55">
        <v>0.06</v>
      </c>
      <c r="M57" s="234"/>
      <c r="O57">
        <f>Cables!U48</f>
        <v>0</v>
      </c>
      <c r="P57" s="85">
        <f>Cables!V48</f>
        <v>0</v>
      </c>
      <c r="R57">
        <f>O57*O$59</f>
        <v>0</v>
      </c>
      <c r="S57">
        <f>P57*P$59</f>
        <v>0</v>
      </c>
      <c r="AA57" s="14">
        <f>'Impact settings'!F58</f>
        <v>0</v>
      </c>
      <c r="AD57" s="14">
        <f>'Impact settings'!G58</f>
        <v>0</v>
      </c>
      <c r="AI57" s="38"/>
      <c r="AL57" s="38"/>
    </row>
    <row r="58" spans="3:38" x14ac:dyDescent="0.3">
      <c r="D58" t="s">
        <v>37</v>
      </c>
      <c r="F58" s="54">
        <f>F57+F56</f>
        <v>6.7500000000000004E-2</v>
      </c>
      <c r="M58" s="235" t="str">
        <f>Cables!S49</f>
        <v>mass per meter</v>
      </c>
      <c r="N58" s="232"/>
      <c r="O58" s="232">
        <f>Cables!U49</f>
        <v>6.6185</v>
      </c>
      <c r="P58" s="81">
        <f>Cables!V49</f>
        <v>12.810500000000001</v>
      </c>
      <c r="Q58" t="s">
        <v>1</v>
      </c>
      <c r="R58">
        <f t="shared" ref="R58:S58" si="1">O58*O$59</f>
        <v>5253.7653</v>
      </c>
      <c r="S58">
        <f t="shared" si="1"/>
        <v>38431.5</v>
      </c>
      <c r="W58" s="17" t="s">
        <v>14</v>
      </c>
      <c r="X58" s="17"/>
      <c r="Y58" s="17"/>
      <c r="Z58" s="17"/>
      <c r="AA58" s="256"/>
      <c r="AB58" s="7"/>
      <c r="AC58" s="7"/>
      <c r="AD58" s="256"/>
      <c r="AE58" s="7"/>
      <c r="AF58" s="7"/>
      <c r="AG58" s="7"/>
      <c r="AH58" s="7"/>
      <c r="AI58" s="154"/>
      <c r="AJ58" s="7"/>
      <c r="AK58" s="7"/>
      <c r="AL58" s="154"/>
    </row>
    <row r="59" spans="3:38" x14ac:dyDescent="0.3">
      <c r="M59" s="42" t="s">
        <v>100</v>
      </c>
      <c r="O59">
        <f>P39</f>
        <v>793.8</v>
      </c>
      <c r="P59">
        <f>O39</f>
        <v>3000</v>
      </c>
      <c r="X59" t="s">
        <v>145</v>
      </c>
      <c r="AA59" s="14">
        <f>'Impact settings'!F60</f>
        <v>8.5</v>
      </c>
      <c r="AD59" s="14">
        <f>'Impact settings'!G60</f>
        <v>300</v>
      </c>
      <c r="AI59" s="38">
        <f>'OEL impact settings'!K44</f>
        <v>1.554</v>
      </c>
      <c r="AL59" s="38">
        <f>'OEL impact settings'!P44</f>
        <v>0.19850000000000001</v>
      </c>
    </row>
    <row r="60" spans="3:38" x14ac:dyDescent="0.3">
      <c r="D60" t="s">
        <v>38</v>
      </c>
      <c r="F60" s="53">
        <f>24*365*F55*F54</f>
        <v>22031.399999999998</v>
      </c>
      <c r="G60" t="s">
        <v>103</v>
      </c>
      <c r="X60" t="s">
        <v>126</v>
      </c>
      <c r="AA60" s="14">
        <f>'Impact settings'!F61</f>
        <v>1.246</v>
      </c>
      <c r="AD60" s="14">
        <f>'Impact settings'!G61</f>
        <v>22.05</v>
      </c>
      <c r="AI60" s="38"/>
      <c r="AL60" s="38"/>
    </row>
    <row r="61" spans="3:38" x14ac:dyDescent="0.3">
      <c r="D61" t="s">
        <v>39</v>
      </c>
      <c r="F61" s="53">
        <f>F60*(1-F58)</f>
        <v>20544.280499999997</v>
      </c>
      <c r="G61" t="s">
        <v>103</v>
      </c>
      <c r="M61" t="s">
        <v>277</v>
      </c>
      <c r="N61">
        <f>0.8*0.8*2</f>
        <v>1.2800000000000002</v>
      </c>
      <c r="O61">
        <f>N61*O59</f>
        <v>1016.0640000000002</v>
      </c>
      <c r="P61">
        <f>N61*P59/2</f>
        <v>1920.0000000000005</v>
      </c>
      <c r="Q61">
        <f>O61+P61</f>
        <v>2936.0640000000008</v>
      </c>
      <c r="X61" t="s">
        <v>128</v>
      </c>
      <c r="AA61" s="14">
        <f>'Impact settings'!F62</f>
        <v>5.26</v>
      </c>
      <c r="AD61" s="14">
        <f>'Impact settings'!G62</f>
        <v>106</v>
      </c>
      <c r="AI61" s="38">
        <f>'OEL impact settings'!K45</f>
        <v>0.56899999999999995</v>
      </c>
      <c r="AL61" s="38">
        <f>'OEL impact settings'!P45</f>
        <v>0.34050000000000002</v>
      </c>
    </row>
    <row r="62" spans="3:38" x14ac:dyDescent="0.3">
      <c r="D62" t="s">
        <v>40</v>
      </c>
      <c r="F62" s="53">
        <f>F61*F8</f>
        <v>410885.60999999993</v>
      </c>
      <c r="G62" t="s">
        <v>103</v>
      </c>
      <c r="AA62" s="14">
        <f>'Impact settings'!F63</f>
        <v>1.21</v>
      </c>
      <c r="AD62" s="14">
        <f>'Impact settings'!G63</f>
        <v>14.9</v>
      </c>
      <c r="AI62" s="38"/>
      <c r="AL62" s="38"/>
    </row>
    <row r="63" spans="3:38" x14ac:dyDescent="0.3">
      <c r="W63" s="17" t="s">
        <v>149</v>
      </c>
      <c r="X63" s="17"/>
      <c r="Y63" s="17"/>
      <c r="Z63" s="17"/>
      <c r="AA63" s="256"/>
      <c r="AB63" s="7"/>
      <c r="AC63" s="7"/>
      <c r="AD63" s="256"/>
      <c r="AE63" s="7"/>
      <c r="AF63" s="7"/>
      <c r="AG63" s="7"/>
      <c r="AH63" s="7"/>
      <c r="AI63" s="154"/>
      <c r="AJ63" s="7"/>
      <c r="AK63" s="7"/>
      <c r="AL63" s="154"/>
    </row>
    <row r="64" spans="3:38" x14ac:dyDescent="0.3">
      <c r="F64">
        <f>F60*(1-3.75%)</f>
        <v>21205.2225</v>
      </c>
      <c r="X64" t="s">
        <v>6</v>
      </c>
      <c r="AA64" s="14">
        <f>'Impact settings'!F66</f>
        <v>23.61956697627118</v>
      </c>
      <c r="AD64" s="14">
        <f>'Impact settings'!G66</f>
        <v>473.73135881355932</v>
      </c>
      <c r="AI64" s="38">
        <f>'OEL impact settings'!K46</f>
        <v>0.62</v>
      </c>
      <c r="AL64" s="38">
        <f>'OEL impact settings'!P46</f>
        <v>0.31900000000000001</v>
      </c>
    </row>
    <row r="65" spans="2:40" x14ac:dyDescent="0.3">
      <c r="X65" t="s">
        <v>123</v>
      </c>
      <c r="AA65" s="14">
        <f>'Impact settings'!F67</f>
        <v>4.4137059762711868</v>
      </c>
      <c r="AD65" s="14">
        <f>'Impact settings'!G67</f>
        <v>88.429673480225972</v>
      </c>
      <c r="AI65" s="38">
        <f>'OEL impact settings'!K47</f>
        <v>0.62</v>
      </c>
      <c r="AL65" s="38">
        <f>'OEL impact settings'!P47</f>
        <v>0.31900000000000001</v>
      </c>
    </row>
    <row r="66" spans="2:40" x14ac:dyDescent="0.3">
      <c r="X66" t="s">
        <v>117</v>
      </c>
      <c r="AA66" s="14">
        <f>'Impact settings'!F68</f>
        <v>4.7699999999999996</v>
      </c>
      <c r="AD66" s="14">
        <f>'Impact settings'!G68</f>
        <v>109.33333333333333</v>
      </c>
      <c r="AI66" s="38">
        <f>'OEL impact settings'!K48</f>
        <v>0.62</v>
      </c>
      <c r="AL66" s="38">
        <f>'OEL impact settings'!P48</f>
        <v>0.31900000000000001</v>
      </c>
    </row>
    <row r="67" spans="2:40" x14ac:dyDescent="0.3">
      <c r="X67" t="s">
        <v>827</v>
      </c>
      <c r="AA67" s="14">
        <f>'Impact settings'!F69</f>
        <v>4.851355932203389</v>
      </c>
      <c r="AD67" s="14">
        <f>'Impact settings'!G69</f>
        <v>108.06779661016948</v>
      </c>
      <c r="AI67" s="38">
        <f>'OEL impact settings'!K49</f>
        <v>0.62</v>
      </c>
      <c r="AL67" s="38">
        <f>'OEL impact settings'!P49</f>
        <v>0.31900000000000001</v>
      </c>
    </row>
    <row r="68" spans="2:40" x14ac:dyDescent="0.3">
      <c r="B68" s="40" t="s">
        <v>201</v>
      </c>
      <c r="C68" s="7"/>
      <c r="D68" s="7"/>
      <c r="E68" s="7"/>
      <c r="F68" s="7" t="s">
        <v>204</v>
      </c>
      <c r="G68" s="7"/>
      <c r="H68" s="7"/>
      <c r="I68" s="7"/>
      <c r="X68" t="s">
        <v>830</v>
      </c>
      <c r="AA68" s="14">
        <f>'Impact settings'!F70</f>
        <v>1.85</v>
      </c>
      <c r="AD68" s="14">
        <f>'Impact settings'!G70</f>
        <v>39.6</v>
      </c>
      <c r="AI68" s="38">
        <f>'OEL impact settings'!K50</f>
        <v>4.2100000000000002E-3</v>
      </c>
      <c r="AL68" s="38">
        <f>'OEL impact settings'!P50</f>
        <v>0.14899999999999999</v>
      </c>
    </row>
    <row r="69" spans="2:40" x14ac:dyDescent="0.3">
      <c r="D69" t="s">
        <v>12</v>
      </c>
      <c r="F69" s="2">
        <v>7750</v>
      </c>
      <c r="K69" s="41" t="s">
        <v>1041</v>
      </c>
      <c r="L69" s="12"/>
      <c r="M69" s="12"/>
      <c r="N69" s="12"/>
      <c r="O69" s="12"/>
      <c r="P69" s="12"/>
      <c r="Q69" s="12"/>
      <c r="R69" s="12"/>
      <c r="S69" s="12"/>
      <c r="T69" s="12"/>
      <c r="U69" s="12"/>
      <c r="X69" t="s">
        <v>2</v>
      </c>
      <c r="AA69" s="14">
        <f>'Impact settings'!F71</f>
        <v>3.88</v>
      </c>
      <c r="AD69" s="14">
        <f>'Impact settings'!G71</f>
        <v>78.5</v>
      </c>
      <c r="AI69" s="38">
        <f>'OEL impact settings'!K51</f>
        <v>0.62</v>
      </c>
      <c r="AL69" s="38">
        <f>'OEL impact settings'!P51</f>
        <v>0.31900000000000001</v>
      </c>
    </row>
    <row r="70" spans="2:40" x14ac:dyDescent="0.3">
      <c r="D70" t="s">
        <v>23</v>
      </c>
      <c r="F70" s="2">
        <v>7200</v>
      </c>
      <c r="X70" t="s">
        <v>1549</v>
      </c>
      <c r="AA70">
        <v>1.396493244</v>
      </c>
      <c r="AD70">
        <v>31.584411360000001</v>
      </c>
      <c r="AI70">
        <v>0.17302907820000002</v>
      </c>
      <c r="AL70">
        <v>0.11096542650000001</v>
      </c>
    </row>
    <row r="71" spans="2:40" x14ac:dyDescent="0.3">
      <c r="D71" t="s">
        <v>111</v>
      </c>
      <c r="F71" s="2">
        <v>7850</v>
      </c>
      <c r="X71" t="s">
        <v>1551</v>
      </c>
      <c r="AA71">
        <f>'Impact settings'!W425</f>
        <v>0.36257759090847458</v>
      </c>
      <c r="AD71">
        <f>'Impact settings'!X425</f>
        <v>7.8680163387570623</v>
      </c>
      <c r="AI71">
        <f>$AN$71*AI65</f>
        <v>9.8033978399999971E-2</v>
      </c>
      <c r="AL71">
        <f>$AN$71*AL65</f>
        <v>5.0440063079999986E-2</v>
      </c>
      <c r="AN71" s="1">
        <f>'Collective imput'!U49-'Collective imput'!U48</f>
        <v>0.15811931999999995</v>
      </c>
    </row>
    <row r="72" spans="2:40" x14ac:dyDescent="0.3">
      <c r="D72" t="s">
        <v>113</v>
      </c>
      <c r="F72" s="2">
        <v>8900</v>
      </c>
      <c r="N72" s="70"/>
      <c r="O72" s="70"/>
      <c r="P72" t="s">
        <v>1066</v>
      </c>
      <c r="S72" s="26">
        <v>255722</v>
      </c>
      <c r="T72" t="s">
        <v>1067</v>
      </c>
      <c r="X72" t="s">
        <v>1550</v>
      </c>
      <c r="AA72">
        <f>'Impact settings'!W406</f>
        <v>5.1665818409084743</v>
      </c>
      <c r="AD72">
        <f>'Impact settings'!X406</f>
        <v>104.25763350542371</v>
      </c>
      <c r="AI72">
        <f>AN71*AI64</f>
        <v>9.8033978399999971E-2</v>
      </c>
      <c r="AL72" s="1">
        <f>AN71*AL64</f>
        <v>5.0440063079999986E-2</v>
      </c>
    </row>
    <row r="73" spans="2:40" x14ac:dyDescent="0.3">
      <c r="D73" t="s">
        <v>141</v>
      </c>
      <c r="F73" s="2"/>
      <c r="M73" s="60" t="s">
        <v>1042</v>
      </c>
      <c r="N73" s="60">
        <f>S93</f>
        <v>600000</v>
      </c>
      <c r="O73" s="70"/>
    </row>
    <row r="74" spans="2:40" x14ac:dyDescent="0.3">
      <c r="D74" t="s">
        <v>243</v>
      </c>
      <c r="F74" s="2">
        <v>7750</v>
      </c>
      <c r="M74" s="325" t="s">
        <v>636</v>
      </c>
      <c r="N74" s="325">
        <f>N88</f>
        <v>785.3495107050087</v>
      </c>
      <c r="P74" t="s">
        <v>1068</v>
      </c>
      <c r="S74" t="s">
        <v>1016</v>
      </c>
      <c r="T74" s="26">
        <v>350000</v>
      </c>
      <c r="U74" t="s">
        <v>65</v>
      </c>
      <c r="W74" s="17" t="s">
        <v>164</v>
      </c>
      <c r="X74" s="16"/>
      <c r="Y74" s="16"/>
      <c r="Z74" s="16"/>
      <c r="AA74" s="256"/>
      <c r="AB74" s="7"/>
      <c r="AC74" s="7"/>
      <c r="AD74" s="256"/>
      <c r="AE74" s="7"/>
      <c r="AF74" s="7"/>
      <c r="AG74" s="7"/>
      <c r="AH74" s="7"/>
      <c r="AI74" s="154"/>
      <c r="AJ74" s="7"/>
      <c r="AK74" s="7"/>
      <c r="AL74" s="154"/>
    </row>
    <row r="75" spans="2:40" x14ac:dyDescent="0.3">
      <c r="D75" t="s">
        <v>29</v>
      </c>
      <c r="F75" s="2">
        <f>F69</f>
        <v>7750</v>
      </c>
      <c r="M75" s="38"/>
      <c r="N75" s="38"/>
      <c r="X75" t="s">
        <v>159</v>
      </c>
      <c r="AA75" s="14">
        <f>'Impact settings'!F75</f>
        <v>0.52600000000000002</v>
      </c>
      <c r="AD75" s="14">
        <f>'Impact settings'!G75</f>
        <v>7.81</v>
      </c>
      <c r="AI75" s="38"/>
      <c r="AL75" s="38"/>
    </row>
    <row r="76" spans="2:40" x14ac:dyDescent="0.3">
      <c r="M76" s="42" t="s">
        <v>1540</v>
      </c>
      <c r="N76" s="147">
        <v>0.9</v>
      </c>
      <c r="O76" s="44">
        <f>N76*$N$73</f>
        <v>540000</v>
      </c>
      <c r="X76" t="s">
        <v>69</v>
      </c>
      <c r="AA76" s="14">
        <f>'Impact settings'!F76</f>
        <v>90</v>
      </c>
      <c r="AD76" s="14">
        <f>'Impact settings'!G76</f>
        <v>1342.5414364640887</v>
      </c>
      <c r="AI76" s="38"/>
      <c r="AL76" s="38"/>
    </row>
    <row r="77" spans="2:40" x14ac:dyDescent="0.3">
      <c r="D77" t="s">
        <v>28</v>
      </c>
      <c r="F77" s="2">
        <v>2240</v>
      </c>
      <c r="M77" s="42" t="s">
        <v>1541</v>
      </c>
      <c r="N77" s="147">
        <v>0.1</v>
      </c>
      <c r="O77" s="44">
        <f>N77*$N$73</f>
        <v>60000</v>
      </c>
      <c r="P77" t="s">
        <v>1543</v>
      </c>
      <c r="X77" t="s">
        <v>21</v>
      </c>
      <c r="AA77" s="14">
        <f>'Impact settings'!F77</f>
        <v>1.9199999999999998E-2</v>
      </c>
      <c r="AD77" s="14">
        <f>'Impact settings'!G77</f>
        <v>0.28199999999999997</v>
      </c>
      <c r="AI77" s="38"/>
      <c r="AL77" s="38"/>
    </row>
    <row r="78" spans="2:40" x14ac:dyDescent="0.3">
      <c r="F78" s="2"/>
      <c r="M78" t="s">
        <v>1544</v>
      </c>
      <c r="O78">
        <f>O77*P78</f>
        <v>120000</v>
      </c>
      <c r="P78">
        <v>2</v>
      </c>
      <c r="Q78" t="s">
        <v>1545</v>
      </c>
      <c r="X78" t="s">
        <v>152</v>
      </c>
      <c r="AA78" s="14">
        <f>'Impact settings'!F78</f>
        <v>8.9976823999999997E-2</v>
      </c>
      <c r="AD78" s="14">
        <f>'Impact settings'!G78</f>
        <v>1.52</v>
      </c>
      <c r="AI78" s="38"/>
      <c r="AL78" s="38"/>
    </row>
    <row r="79" spans="2:40" x14ac:dyDescent="0.3">
      <c r="D79" t="s">
        <v>202</v>
      </c>
      <c r="F79" s="2">
        <v>200</v>
      </c>
      <c r="X79" t="s">
        <v>153</v>
      </c>
      <c r="AA79" s="14">
        <f>'Impact settings'!F79</f>
        <v>0.50757898000000001</v>
      </c>
      <c r="AD79" s="14">
        <f>'Impact settings'!G79</f>
        <v>8.2200000000000006</v>
      </c>
      <c r="AI79" s="38"/>
      <c r="AL79" s="38"/>
    </row>
    <row r="80" spans="2:40" x14ac:dyDescent="0.3">
      <c r="D80" t="s">
        <v>6</v>
      </c>
      <c r="M80" t="s">
        <v>1451</v>
      </c>
      <c r="X80" t="s">
        <v>154</v>
      </c>
      <c r="AA80" s="14">
        <f>'Impact settings'!F80</f>
        <v>0.109</v>
      </c>
      <c r="AD80" s="14">
        <f>'Impact settings'!G80</f>
        <v>1.5</v>
      </c>
      <c r="AI80" s="38"/>
      <c r="AL80" s="38"/>
    </row>
    <row r="81" spans="2:38" x14ac:dyDescent="0.3">
      <c r="D81" t="s">
        <v>123</v>
      </c>
      <c r="X81" t="s">
        <v>1506</v>
      </c>
      <c r="AA81" s="14">
        <f>'Impact settings'!F81</f>
        <v>9.3399999999999993E-3</v>
      </c>
      <c r="AD81" s="14">
        <f>'Impact settings'!G81</f>
        <v>0.129</v>
      </c>
      <c r="AI81" s="38"/>
      <c r="AL81" s="38"/>
    </row>
    <row r="82" spans="2:38" x14ac:dyDescent="0.3">
      <c r="D82" t="s">
        <v>203</v>
      </c>
      <c r="X82" t="s">
        <v>413</v>
      </c>
      <c r="AA82" s="14">
        <f>'Impact settings'!F82</f>
        <v>3.4616249999999997</v>
      </c>
      <c r="AD82" s="14">
        <f>'Impact settings'!G82</f>
        <v>51.637500000000003</v>
      </c>
      <c r="AI82" s="38"/>
      <c r="AL82" s="38"/>
    </row>
    <row r="83" spans="2:38" x14ac:dyDescent="0.3">
      <c r="M83" s="70"/>
      <c r="W83" s="17" t="s">
        <v>165</v>
      </c>
      <c r="X83" s="17"/>
      <c r="Y83" s="16"/>
      <c r="Z83" s="16"/>
      <c r="AA83" s="256"/>
      <c r="AB83" s="7"/>
      <c r="AC83" s="7"/>
      <c r="AD83" s="256"/>
      <c r="AE83" s="7"/>
      <c r="AF83" s="7"/>
      <c r="AG83" s="7"/>
      <c r="AH83" s="7"/>
      <c r="AI83" s="154"/>
      <c r="AJ83" s="7"/>
      <c r="AK83" s="7"/>
      <c r="AL83" s="154"/>
    </row>
    <row r="84" spans="2:38" x14ac:dyDescent="0.3">
      <c r="D84" t="s">
        <v>0</v>
      </c>
      <c r="F84" s="2">
        <v>970</v>
      </c>
      <c r="M84" s="42" t="s">
        <v>636</v>
      </c>
      <c r="N84">
        <f>S94</f>
        <v>117</v>
      </c>
      <c r="O84" t="s">
        <v>1453</v>
      </c>
      <c r="P84">
        <v>2</v>
      </c>
      <c r="Q84" t="s">
        <v>1454</v>
      </c>
      <c r="X84" t="s">
        <v>106</v>
      </c>
      <c r="AA84" s="14">
        <f>'Impact settings'!F85</f>
        <v>6.6600000000000006E-2</v>
      </c>
      <c r="AD84" s="14">
        <f>'Impact settings'!G85</f>
        <v>0.88</v>
      </c>
      <c r="AI84" s="38"/>
      <c r="AL84" s="38"/>
    </row>
    <row r="85" spans="2:38" x14ac:dyDescent="0.3">
      <c r="M85" s="70"/>
      <c r="N85">
        <v>4.5</v>
      </c>
      <c r="O85" t="s">
        <v>1455</v>
      </c>
      <c r="Q85">
        <f>N85*PI()</f>
        <v>14.137166941154069</v>
      </c>
      <c r="X85" t="s">
        <v>107</v>
      </c>
      <c r="AA85" s="14">
        <f>'Impact settings'!F86</f>
        <v>8.9499999999999996E-2</v>
      </c>
      <c r="AD85" s="14">
        <f>'Impact settings'!G86</f>
        <v>2.23</v>
      </c>
      <c r="AI85" s="38"/>
      <c r="AL85" s="38"/>
    </row>
    <row r="86" spans="2:38" x14ac:dyDescent="0.3">
      <c r="N86">
        <v>3</v>
      </c>
      <c r="O86" t="s">
        <v>1456</v>
      </c>
      <c r="Q86">
        <f>N84/N86</f>
        <v>39</v>
      </c>
      <c r="AA86" s="14">
        <f>'Impact settings'!F87</f>
        <v>0</v>
      </c>
      <c r="AD86" s="14">
        <f>'Impact settings'!G87</f>
        <v>0</v>
      </c>
      <c r="AI86" s="38"/>
      <c r="AL86" s="38"/>
    </row>
    <row r="87" spans="2:38" x14ac:dyDescent="0.3">
      <c r="B87" s="63" t="s">
        <v>104</v>
      </c>
      <c r="C87" s="64"/>
      <c r="D87" s="64"/>
      <c r="E87" s="64"/>
      <c r="F87" s="383" t="s">
        <v>292</v>
      </c>
      <c r="G87" s="384"/>
      <c r="H87" s="383" t="s">
        <v>269</v>
      </c>
      <c r="I87" s="384"/>
      <c r="J87" s="385"/>
      <c r="K87" s="6"/>
      <c r="W87" s="40" t="s">
        <v>193</v>
      </c>
      <c r="X87" s="7"/>
      <c r="Y87" s="7"/>
      <c r="Z87" s="7"/>
      <c r="AA87" s="256"/>
      <c r="AB87" s="7"/>
      <c r="AC87" s="7"/>
      <c r="AD87" s="256"/>
      <c r="AE87" s="7"/>
      <c r="AF87" s="7"/>
      <c r="AG87" s="7"/>
      <c r="AH87" s="7"/>
      <c r="AI87" s="154"/>
      <c r="AJ87" s="7"/>
      <c r="AK87" s="7"/>
      <c r="AL87" s="154"/>
    </row>
    <row r="88" spans="2:38" x14ac:dyDescent="0.3">
      <c r="C88" s="58" t="s">
        <v>105</v>
      </c>
      <c r="D88" s="58"/>
      <c r="E88" s="58"/>
      <c r="F88" s="61">
        <f>J417</f>
        <v>5332521.849899753</v>
      </c>
      <c r="G88" s="58" t="s">
        <v>267</v>
      </c>
      <c r="H88" s="62">
        <f>F88/F62</f>
        <v>12.978117802421345</v>
      </c>
      <c r="I88" s="58" t="s">
        <v>265</v>
      </c>
      <c r="J88" s="58"/>
      <c r="K88" s="6"/>
      <c r="N88" s="44">
        <f>Q86*Q85+N84*P84</f>
        <v>785.3495107050087</v>
      </c>
      <c r="O88" t="s">
        <v>2114</v>
      </c>
      <c r="X88" t="s">
        <v>45</v>
      </c>
      <c r="AA88" s="14">
        <f>'Impact settings'!F89</f>
        <v>1.21</v>
      </c>
      <c r="AD88" s="14">
        <f>'Impact settings'!G89</f>
        <v>67.3</v>
      </c>
      <c r="AI88" s="38">
        <f>'OEL impact settings'!K53</f>
        <v>0.51800000000000002</v>
      </c>
      <c r="AL88" s="38">
        <f>'OEL impact settings'!P53</f>
        <v>0.36199999999999999</v>
      </c>
    </row>
    <row r="89" spans="2:38" x14ac:dyDescent="0.3">
      <c r="C89" s="58" t="s">
        <v>266</v>
      </c>
      <c r="D89" s="58"/>
      <c r="E89" s="58"/>
      <c r="F89" s="61">
        <f>M417</f>
        <v>80128631.449564263</v>
      </c>
      <c r="G89" s="58" t="s">
        <v>268</v>
      </c>
      <c r="H89" s="62">
        <f>F89/F62</f>
        <v>195.01445049283737</v>
      </c>
      <c r="I89" s="58" t="s">
        <v>270</v>
      </c>
      <c r="J89" s="58"/>
      <c r="K89" s="6"/>
      <c r="X89" t="s">
        <v>46</v>
      </c>
      <c r="AA89" s="14">
        <f>'Impact settings'!F90</f>
        <v>2.0299999999999998</v>
      </c>
      <c r="AD89" s="14">
        <f>'Impact settings'!G90</f>
        <v>54.7</v>
      </c>
      <c r="AI89" s="38">
        <f>'OEL impact settings'!K54</f>
        <v>0.51800000000000002</v>
      </c>
      <c r="AL89" s="38">
        <f>'OEL impact settings'!P54</f>
        <v>0.36199999999999999</v>
      </c>
    </row>
    <row r="90" spans="2:38" x14ac:dyDescent="0.3">
      <c r="F90">
        <f>F92*F89</f>
        <v>22257.953180434517</v>
      </c>
      <c r="M90" s="42" t="s">
        <v>1542</v>
      </c>
      <c r="O90">
        <v>4.5</v>
      </c>
      <c r="P90" t="s">
        <v>237</v>
      </c>
    </row>
    <row r="91" spans="2:38" x14ac:dyDescent="0.3">
      <c r="O91">
        <v>117</v>
      </c>
      <c r="P91" t="s">
        <v>100</v>
      </c>
    </row>
    <row r="92" spans="2:38" x14ac:dyDescent="0.3">
      <c r="B92" t="s">
        <v>271</v>
      </c>
      <c r="F92">
        <f>1/(1000*3.6)</f>
        <v>2.7777777777777778E-4</v>
      </c>
      <c r="G92">
        <f>F62/(F92*F89)</f>
        <v>18.460170468917244</v>
      </c>
      <c r="O92">
        <f>PI()*O90*O91</f>
        <v>1654.0485321150261</v>
      </c>
      <c r="P92" t="s">
        <v>260</v>
      </c>
      <c r="S92" s="354" t="s">
        <v>2030</v>
      </c>
      <c r="T92" s="371" t="s">
        <v>2111</v>
      </c>
      <c r="U92" s="371"/>
      <c r="V92" s="371"/>
      <c r="W92" s="371"/>
      <c r="X92" s="371"/>
    </row>
    <row r="93" spans="2:38" x14ac:dyDescent="0.3">
      <c r="E93" t="s">
        <v>1653</v>
      </c>
      <c r="F93">
        <f>F61/12</f>
        <v>1712.0233749999998</v>
      </c>
      <c r="N93" t="s">
        <v>1343</v>
      </c>
      <c r="O93" s="44">
        <f>O92</f>
        <v>1654.0485321150261</v>
      </c>
      <c r="R93" s="42" t="s">
        <v>1</v>
      </c>
      <c r="S93" s="354">
        <f>T93</f>
        <v>600000</v>
      </c>
      <c r="T93">
        <v>600000</v>
      </c>
      <c r="U93">
        <v>347500</v>
      </c>
      <c r="V93">
        <f>800000</f>
        <v>800000</v>
      </c>
      <c r="W93">
        <v>400000</v>
      </c>
      <c r="X93">
        <v>250000</v>
      </c>
    </row>
    <row r="94" spans="2:38" x14ac:dyDescent="0.3">
      <c r="E94" t="s">
        <v>1654</v>
      </c>
      <c r="F94">
        <f>(F92*F89)/F93</f>
        <v>13.000963366189156</v>
      </c>
      <c r="G94" t="s">
        <v>1654</v>
      </c>
      <c r="N94" t="s">
        <v>1537</v>
      </c>
      <c r="O94" s="44">
        <f>O92</f>
        <v>1654.0485321150261</v>
      </c>
      <c r="R94" s="42" t="s">
        <v>2112</v>
      </c>
      <c r="S94" s="354">
        <f>T94</f>
        <v>117</v>
      </c>
      <c r="T94">
        <v>117</v>
      </c>
      <c r="U94">
        <v>90</v>
      </c>
      <c r="V94">
        <v>117</v>
      </c>
      <c r="W94">
        <v>117</v>
      </c>
      <c r="X94">
        <v>90</v>
      </c>
    </row>
    <row r="95" spans="2:38" x14ac:dyDescent="0.3">
      <c r="R95" s="42"/>
    </row>
    <row r="96" spans="2:38" x14ac:dyDescent="0.3">
      <c r="R96" s="42" t="s">
        <v>32</v>
      </c>
      <c r="T96">
        <v>12.978117802421345</v>
      </c>
      <c r="U96">
        <v>10.952376502834658</v>
      </c>
      <c r="V96">
        <v>14.582613309966622</v>
      </c>
      <c r="W96">
        <v>11.373622294876069</v>
      </c>
      <c r="X96">
        <v>10.170184942906335</v>
      </c>
    </row>
    <row r="97" spans="1:40" x14ac:dyDescent="0.3">
      <c r="R97" s="42" t="s">
        <v>162</v>
      </c>
      <c r="T97">
        <v>195.01445049283737</v>
      </c>
      <c r="U97">
        <v>166.18224732802855</v>
      </c>
      <c r="V97">
        <v>217.85093775750457</v>
      </c>
      <c r="W97">
        <v>172.17796322817017</v>
      </c>
      <c r="X97">
        <v>155.04945978650338</v>
      </c>
    </row>
    <row r="101" spans="1:40" s="7" customFormat="1" x14ac:dyDescent="0.3">
      <c r="A101"/>
      <c r="B101" s="40" t="s">
        <v>251</v>
      </c>
    </row>
    <row r="103" spans="1:40" x14ac:dyDescent="0.3">
      <c r="B103" s="28" t="s">
        <v>1043</v>
      </c>
      <c r="C103" s="27"/>
      <c r="D103" s="27"/>
      <c r="E103" s="27"/>
      <c r="F103" s="27"/>
      <c r="G103" s="27"/>
      <c r="H103" s="27"/>
      <c r="I103" s="27"/>
      <c r="J103" s="27"/>
      <c r="K103" s="27"/>
      <c r="N103" s="27"/>
      <c r="O103" s="28" t="s">
        <v>1053</v>
      </c>
      <c r="P103" s="27"/>
      <c r="Q103" s="27"/>
      <c r="R103" s="27"/>
      <c r="S103" s="27"/>
      <c r="T103" s="27"/>
      <c r="U103" s="27"/>
      <c r="V103" s="27"/>
      <c r="W103" s="27"/>
      <c r="X103" s="27"/>
      <c r="Y103" s="27"/>
      <c r="Z103" s="27"/>
      <c r="AC103" s="28" t="s">
        <v>1054</v>
      </c>
      <c r="AD103" s="27"/>
      <c r="AE103" s="27"/>
      <c r="AF103" s="27"/>
      <c r="AG103" s="27"/>
      <c r="AH103" s="27"/>
      <c r="AI103" s="27"/>
      <c r="AJ103" s="27"/>
      <c r="AK103" s="27"/>
      <c r="AL103" s="27"/>
      <c r="AM103" s="27"/>
      <c r="AN103" s="27"/>
    </row>
    <row r="105" spans="1:40" x14ac:dyDescent="0.3">
      <c r="O105" s="41" t="s">
        <v>1055</v>
      </c>
      <c r="P105" s="12"/>
      <c r="Q105" s="12"/>
      <c r="R105" s="12"/>
      <c r="S105" s="12"/>
      <c r="T105" s="332" t="s">
        <v>290</v>
      </c>
      <c r="U105" s="332"/>
      <c r="V105" s="302">
        <f>X107</f>
        <v>71500</v>
      </c>
      <c r="W105" s="12"/>
      <c r="X105" s="12"/>
      <c r="Y105" s="12"/>
      <c r="AC105" s="41" t="s">
        <v>252</v>
      </c>
      <c r="AD105" s="12"/>
      <c r="AE105" s="12"/>
      <c r="AF105" s="12"/>
      <c r="AG105" s="12"/>
      <c r="AH105" s="12"/>
      <c r="AI105" s="12"/>
      <c r="AJ105" s="12"/>
      <c r="AK105" s="12"/>
      <c r="AL105" s="12"/>
    </row>
    <row r="106" spans="1:40" x14ac:dyDescent="0.3">
      <c r="Q106" t="s">
        <v>23</v>
      </c>
      <c r="T106" s="331">
        <v>0.5</v>
      </c>
      <c r="U106" s="38"/>
      <c r="V106" s="44">
        <f>T106*V105</f>
        <v>35750</v>
      </c>
      <c r="X106">
        <v>20879</v>
      </c>
      <c r="Y106" t="s">
        <v>1562</v>
      </c>
    </row>
    <row r="107" spans="1:40" x14ac:dyDescent="0.3">
      <c r="C107" s="41" t="s">
        <v>1048</v>
      </c>
      <c r="D107" s="12"/>
      <c r="E107" s="12"/>
      <c r="F107" s="12" t="s">
        <v>290</v>
      </c>
      <c r="G107" s="302">
        <f>3*I108</f>
        <v>48300</v>
      </c>
      <c r="H107" s="12"/>
      <c r="I107">
        <f>G107/3</f>
        <v>16100</v>
      </c>
      <c r="J107">
        <v>16403.666666666668</v>
      </c>
      <c r="Q107" t="s">
        <v>450</v>
      </c>
      <c r="T107" s="331">
        <v>0.5</v>
      </c>
      <c r="U107" s="38"/>
      <c r="V107" s="44">
        <f>T107*V105</f>
        <v>35750</v>
      </c>
      <c r="X107">
        <v>71500</v>
      </c>
      <c r="Y107" t="s">
        <v>1563</v>
      </c>
      <c r="AG107">
        <v>48600</v>
      </c>
      <c r="AH107" t="s">
        <v>1563</v>
      </c>
      <c r="AK107" t="s">
        <v>23</v>
      </c>
      <c r="AM107" s="147">
        <v>0.5</v>
      </c>
      <c r="AN107" s="44">
        <f>AM107*$AF$111</f>
        <v>24300</v>
      </c>
    </row>
    <row r="108" spans="1:40" x14ac:dyDescent="0.3">
      <c r="D108" t="s">
        <v>123</v>
      </c>
      <c r="F108" s="331">
        <v>0.5</v>
      </c>
      <c r="G108" s="44">
        <f>F108*G107</f>
        <v>24150</v>
      </c>
      <c r="I108">
        <f>K109</f>
        <v>16100</v>
      </c>
      <c r="K108">
        <v>16100</v>
      </c>
      <c r="T108" s="38"/>
      <c r="U108" s="38"/>
      <c r="AG108">
        <v>55700</v>
      </c>
      <c r="AH108" t="s">
        <v>1561</v>
      </c>
      <c r="AK108" t="s">
        <v>24</v>
      </c>
      <c r="AM108" s="147">
        <v>0.5</v>
      </c>
      <c r="AN108" s="44">
        <f t="shared" ref="AN108:AN111" si="2">AM108*$AF$111</f>
        <v>24300</v>
      </c>
    </row>
    <row r="109" spans="1:40" x14ac:dyDescent="0.3">
      <c r="D109" t="s">
        <v>31</v>
      </c>
      <c r="F109" s="331">
        <v>0</v>
      </c>
      <c r="G109" s="44">
        <f>F109*G107</f>
        <v>0</v>
      </c>
      <c r="J109">
        <v>1</v>
      </c>
      <c r="K109">
        <f>J109*K108</f>
        <v>16100</v>
      </c>
      <c r="Q109" t="s">
        <v>1511</v>
      </c>
      <c r="T109" s="38"/>
      <c r="U109" s="38"/>
      <c r="V109">
        <f>V106</f>
        <v>35750</v>
      </c>
      <c r="AF109" s="26">
        <f>AG107</f>
        <v>48600</v>
      </c>
      <c r="AG109" t="s">
        <v>831</v>
      </c>
      <c r="AK109" t="s">
        <v>25</v>
      </c>
      <c r="AM109" s="147">
        <f>AM108</f>
        <v>0.5</v>
      </c>
      <c r="AN109" s="44">
        <f t="shared" si="2"/>
        <v>24300</v>
      </c>
    </row>
    <row r="110" spans="1:40" x14ac:dyDescent="0.3">
      <c r="E110" s="1"/>
      <c r="F110" s="328"/>
      <c r="Q110" t="s">
        <v>1532</v>
      </c>
      <c r="T110" s="38"/>
      <c r="U110" s="38"/>
      <c r="V110">
        <f>V107</f>
        <v>35750</v>
      </c>
      <c r="AK110" t="s">
        <v>1511</v>
      </c>
      <c r="AM110" s="147">
        <f>AM107</f>
        <v>0.5</v>
      </c>
      <c r="AN110" s="44">
        <f t="shared" si="2"/>
        <v>24300</v>
      </c>
    </row>
    <row r="111" spans="1:40" x14ac:dyDescent="0.3">
      <c r="D111" t="s">
        <v>6</v>
      </c>
      <c r="E111" s="1"/>
      <c r="F111" s="147">
        <f>1-F108</f>
        <v>0.5</v>
      </c>
      <c r="G111" s="44">
        <f>F111*G107</f>
        <v>24150</v>
      </c>
      <c r="T111" s="38"/>
      <c r="U111" s="38"/>
      <c r="AD111" s="79" t="s">
        <v>245</v>
      </c>
      <c r="AE111" s="79"/>
      <c r="AF111" s="79">
        <f>AF109</f>
        <v>48600</v>
      </c>
      <c r="AG111" s="79"/>
      <c r="AK111" t="s">
        <v>138</v>
      </c>
      <c r="AL111" s="1"/>
      <c r="AM111" s="1">
        <v>1E-3</v>
      </c>
      <c r="AN111" s="44">
        <f t="shared" si="2"/>
        <v>48.6</v>
      </c>
    </row>
    <row r="112" spans="1:40" x14ac:dyDescent="0.3">
      <c r="E112" s="1"/>
      <c r="I112" s="1"/>
      <c r="J112" s="1"/>
      <c r="K112" s="1"/>
      <c r="T112" s="38"/>
      <c r="U112" s="38"/>
    </row>
    <row r="113" spans="3:38" x14ac:dyDescent="0.3">
      <c r="E113" s="1"/>
      <c r="J113" s="1"/>
      <c r="K113" s="1"/>
      <c r="O113" s="41" t="s">
        <v>1056</v>
      </c>
      <c r="P113" s="12"/>
      <c r="Q113" s="12"/>
      <c r="R113" s="12"/>
      <c r="S113" s="12"/>
      <c r="T113" s="332" t="s">
        <v>290</v>
      </c>
      <c r="U113" s="332"/>
      <c r="V113" s="302">
        <f>Y119</f>
        <v>16900</v>
      </c>
      <c r="W113" s="12"/>
      <c r="X113" s="12"/>
      <c r="Y113" s="12"/>
      <c r="AC113" s="41" t="s">
        <v>21</v>
      </c>
      <c r="AD113" s="12"/>
      <c r="AE113" s="12"/>
      <c r="AF113" s="12"/>
      <c r="AG113" s="12"/>
      <c r="AH113" s="12"/>
      <c r="AI113" s="12"/>
      <c r="AJ113" s="12"/>
      <c r="AK113" s="12"/>
      <c r="AL113" s="12"/>
    </row>
    <row r="114" spans="3:38" x14ac:dyDescent="0.3">
      <c r="E114" s="1"/>
      <c r="Q114" t="s">
        <v>111</v>
      </c>
      <c r="T114" s="331">
        <v>1</v>
      </c>
      <c r="U114" s="38"/>
      <c r="V114" s="44">
        <f>T114*V113</f>
        <v>16900</v>
      </c>
      <c r="X114">
        <v>7130</v>
      </c>
    </row>
    <row r="115" spans="3:38" x14ac:dyDescent="0.3">
      <c r="E115" s="1"/>
      <c r="Q115" t="s">
        <v>1531</v>
      </c>
      <c r="T115" s="38"/>
      <c r="U115" s="38"/>
      <c r="V115">
        <f>V114</f>
        <v>16900</v>
      </c>
      <c r="X115">
        <v>16100</v>
      </c>
      <c r="Y115" t="s">
        <v>1564</v>
      </c>
      <c r="AH115">
        <v>19508</v>
      </c>
      <c r="AI115" t="s">
        <v>1566</v>
      </c>
    </row>
    <row r="116" spans="3:38" x14ac:dyDescent="0.3">
      <c r="E116" s="1"/>
      <c r="T116" s="38"/>
      <c r="U116" s="38"/>
      <c r="AH116">
        <v>16700</v>
      </c>
      <c r="AI116" t="s">
        <v>1563</v>
      </c>
    </row>
    <row r="117" spans="3:38" x14ac:dyDescent="0.3">
      <c r="E117" s="1"/>
      <c r="T117" s="38"/>
      <c r="U117" s="38"/>
      <c r="X117" t="s">
        <v>1728</v>
      </c>
      <c r="Y117">
        <v>16100</v>
      </c>
    </row>
    <row r="118" spans="3:38" x14ac:dyDescent="0.3">
      <c r="E118" s="1"/>
      <c r="T118" s="38"/>
      <c r="U118" s="38"/>
      <c r="X118" t="s">
        <v>1729</v>
      </c>
      <c r="Y118">
        <v>800</v>
      </c>
      <c r="AD118" s="44" t="s">
        <v>245</v>
      </c>
      <c r="AE118" s="44"/>
      <c r="AF118" s="44">
        <f>AH116</f>
        <v>16700</v>
      </c>
      <c r="AG118" s="44"/>
      <c r="AJ118" t="s">
        <v>787</v>
      </c>
    </row>
    <row r="119" spans="3:38" x14ac:dyDescent="0.3">
      <c r="C119" s="41" t="s">
        <v>1045</v>
      </c>
      <c r="D119" s="12"/>
      <c r="E119" s="68"/>
      <c r="F119" s="12" t="s">
        <v>290</v>
      </c>
      <c r="G119" s="302">
        <v>34100</v>
      </c>
      <c r="H119" s="12"/>
      <c r="I119">
        <v>2646.5</v>
      </c>
      <c r="T119" s="38"/>
      <c r="U119" s="38"/>
      <c r="Y119">
        <f>Y118+Y117</f>
        <v>16900</v>
      </c>
    </row>
    <row r="120" spans="3:38" x14ac:dyDescent="0.3">
      <c r="D120" t="s">
        <v>23</v>
      </c>
      <c r="E120" s="1"/>
      <c r="G120" s="44">
        <f>G119</f>
        <v>34100</v>
      </c>
      <c r="T120" s="38"/>
      <c r="U120" s="38"/>
    </row>
    <row r="121" spans="3:38" x14ac:dyDescent="0.3">
      <c r="D121" t="s">
        <v>1511</v>
      </c>
      <c r="E121" s="1"/>
      <c r="G121">
        <f>G120</f>
        <v>34100</v>
      </c>
      <c r="T121" s="38"/>
      <c r="U121" s="38"/>
      <c r="AD121" s="6" t="s">
        <v>810</v>
      </c>
      <c r="AF121" s="1">
        <f>'Draft Calculations'!T12</f>
        <v>0.57013391592830842</v>
      </c>
      <c r="AG121">
        <f>AF121*$AF$118</f>
        <v>9521.2363960027506</v>
      </c>
      <c r="AI121" t="s">
        <v>820</v>
      </c>
    </row>
    <row r="122" spans="3:38" x14ac:dyDescent="0.3">
      <c r="E122" s="1"/>
      <c r="O122" s="41" t="s">
        <v>1051</v>
      </c>
      <c r="P122" s="12"/>
      <c r="Q122" s="12"/>
      <c r="R122" s="12"/>
      <c r="S122" s="12"/>
      <c r="T122" s="332" t="s">
        <v>290</v>
      </c>
      <c r="U122" s="332"/>
      <c r="V122" s="302">
        <v>3180</v>
      </c>
      <c r="W122" s="12"/>
      <c r="X122" s="12"/>
      <c r="Y122" s="12"/>
      <c r="AD122" s="6" t="s">
        <v>809</v>
      </c>
      <c r="AF122" s="1">
        <f>'Draft Calculations'!T13</f>
        <v>0.10697091070922847</v>
      </c>
      <c r="AG122">
        <f t="shared" ref="AG122:AG128" si="3">AF122*$AF$118</f>
        <v>1786.4142088441154</v>
      </c>
      <c r="AI122" t="s">
        <v>114</v>
      </c>
    </row>
    <row r="123" spans="3:38" x14ac:dyDescent="0.3">
      <c r="E123" s="1"/>
      <c r="Q123" t="s">
        <v>123</v>
      </c>
      <c r="T123" s="38"/>
      <c r="U123" s="331">
        <v>0.95</v>
      </c>
      <c r="V123" s="44">
        <f>U123*V122</f>
        <v>3021</v>
      </c>
      <c r="AD123" s="6" t="s">
        <v>113</v>
      </c>
      <c r="AF123" s="1">
        <f>'Draft Calculations'!T14</f>
        <v>0.11194724278836428</v>
      </c>
      <c r="AG123">
        <f t="shared" si="3"/>
        <v>1869.5189545656835</v>
      </c>
      <c r="AI123" t="s">
        <v>113</v>
      </c>
    </row>
    <row r="124" spans="3:38" x14ac:dyDescent="0.3">
      <c r="E124" s="1"/>
      <c r="Q124" t="s">
        <v>31</v>
      </c>
      <c r="T124" s="38"/>
      <c r="U124" s="331">
        <v>0.05</v>
      </c>
      <c r="V124" s="44">
        <f>U124*V122</f>
        <v>159</v>
      </c>
      <c r="AD124" s="6" t="s">
        <v>811</v>
      </c>
      <c r="AF124" s="1">
        <f>'Draft Calculations'!T15</f>
        <v>0.11255411255411256</v>
      </c>
      <c r="AG124">
        <f t="shared" si="3"/>
        <v>1879.6536796536798</v>
      </c>
      <c r="AI124" t="s">
        <v>110</v>
      </c>
    </row>
    <row r="125" spans="3:38" x14ac:dyDescent="0.3">
      <c r="E125" s="1"/>
      <c r="Q125" t="s">
        <v>7</v>
      </c>
      <c r="T125" s="1"/>
      <c r="U125" s="328"/>
      <c r="V125">
        <f>V124</f>
        <v>159</v>
      </c>
      <c r="AD125" s="6" t="s">
        <v>23</v>
      </c>
      <c r="AF125" s="1">
        <f>'Draft Calculations'!T16</f>
        <v>1.8610672816280292E-2</v>
      </c>
      <c r="AG125">
        <f t="shared" si="3"/>
        <v>310.79823603188089</v>
      </c>
      <c r="AI125" t="s">
        <v>23</v>
      </c>
    </row>
    <row r="126" spans="3:38" x14ac:dyDescent="0.3">
      <c r="E126" s="1"/>
      <c r="AD126" s="6" t="s">
        <v>812</v>
      </c>
      <c r="AF126" s="1">
        <f>'Draft Calculations'!T17</f>
        <v>1.5576323987538941E-2</v>
      </c>
      <c r="AG126">
        <f t="shared" si="3"/>
        <v>260.12461059190031</v>
      </c>
      <c r="AI126" t="s">
        <v>829</v>
      </c>
    </row>
    <row r="127" spans="3:38" x14ac:dyDescent="0.3">
      <c r="C127" s="41" t="s">
        <v>1046</v>
      </c>
      <c r="D127" s="12"/>
      <c r="E127" s="12"/>
      <c r="F127" s="12" t="s">
        <v>290</v>
      </c>
      <c r="G127" s="302">
        <v>1800</v>
      </c>
      <c r="H127" s="12"/>
      <c r="AD127" s="6" t="s">
        <v>813</v>
      </c>
      <c r="AF127" s="1">
        <f>'Draft Calculations'!T18</f>
        <v>2.4274790629930817E-4</v>
      </c>
      <c r="AG127">
        <f t="shared" si="3"/>
        <v>4.0538900351984468</v>
      </c>
      <c r="AI127" t="s">
        <v>995</v>
      </c>
    </row>
    <row r="128" spans="3:38" x14ac:dyDescent="0.3">
      <c r="D128" t="s">
        <v>123</v>
      </c>
      <c r="F128" s="331">
        <v>0.95</v>
      </c>
      <c r="G128" s="44">
        <f>F128*G127</f>
        <v>1710</v>
      </c>
      <c r="AD128" s="6" t="s">
        <v>138</v>
      </c>
      <c r="AF128" s="1">
        <f>'Draft Calculations'!T19</f>
        <v>8.0915968766436051E-4</v>
      </c>
      <c r="AG128">
        <f t="shared" si="3"/>
        <v>13.51296678399482</v>
      </c>
      <c r="AI128" t="s">
        <v>138</v>
      </c>
    </row>
    <row r="129" spans="3:37" x14ac:dyDescent="0.3">
      <c r="D129" t="s">
        <v>31</v>
      </c>
      <c r="F129" s="331">
        <v>0.05</v>
      </c>
      <c r="G129" s="44">
        <f>F129*G127</f>
        <v>90</v>
      </c>
      <c r="AD129" s="6" t="s">
        <v>798</v>
      </c>
      <c r="AF129" s="1">
        <f>'Draft Calculations'!T25</f>
        <v>0.72419792045960274</v>
      </c>
      <c r="AG129">
        <f>AF129*$AF$118*AH129</f>
        <v>43538.778978031318</v>
      </c>
      <c r="AH129">
        <v>3.6</v>
      </c>
      <c r="AI129" t="s">
        <v>821</v>
      </c>
      <c r="AK129">
        <f>AF129*AF118</f>
        <v>12094.105271675366</v>
      </c>
    </row>
    <row r="130" spans="3:37" x14ac:dyDescent="0.3">
      <c r="E130" s="1"/>
      <c r="F130" s="328"/>
      <c r="AD130" s="6" t="s">
        <v>819</v>
      </c>
      <c r="AF130" s="1">
        <f>'Draft Calculations'!T26</f>
        <v>0.33580127038070962</v>
      </c>
      <c r="AG130">
        <f>AF130*$AF$118*AH130</f>
        <v>20188.372375288265</v>
      </c>
      <c r="AH130">
        <v>3.6</v>
      </c>
      <c r="AI130" t="s">
        <v>621</v>
      </c>
      <c r="AK130">
        <f>AF130*AF118</f>
        <v>5607.881215357851</v>
      </c>
    </row>
    <row r="131" spans="3:37" x14ac:dyDescent="0.3">
      <c r="F131" s="147"/>
      <c r="O131" s="41" t="s">
        <v>1052</v>
      </c>
      <c r="P131" s="12"/>
      <c r="Q131" s="12"/>
      <c r="R131" s="12"/>
      <c r="S131" s="12"/>
      <c r="T131" s="12"/>
      <c r="U131" s="68" t="s">
        <v>290</v>
      </c>
      <c r="V131" s="302">
        <f>W132+V139</f>
        <v>6174</v>
      </c>
      <c r="W131" s="12"/>
      <c r="X131" s="12"/>
      <c r="Y131" s="12"/>
      <c r="AD131" s="6" t="s">
        <v>124</v>
      </c>
      <c r="AG131">
        <f>AG123</f>
        <v>1869.5189545656835</v>
      </c>
      <c r="AI131" t="s">
        <v>124</v>
      </c>
    </row>
    <row r="132" spans="3:37" x14ac:dyDescent="0.3">
      <c r="P132" t="s">
        <v>1516</v>
      </c>
      <c r="R132">
        <v>8</v>
      </c>
      <c r="S132" t="s">
        <v>777</v>
      </c>
      <c r="T132">
        <v>190</v>
      </c>
      <c r="W132">
        <f>T132*R132</f>
        <v>1520</v>
      </c>
      <c r="AD132" s="6" t="s">
        <v>25</v>
      </c>
      <c r="AG132">
        <f>AG121</f>
        <v>9521.2363960027506</v>
      </c>
      <c r="AI132" t="s">
        <v>822</v>
      </c>
    </row>
    <row r="133" spans="3:37" x14ac:dyDescent="0.3">
      <c r="C133" s="41" t="s">
        <v>1047</v>
      </c>
      <c r="D133" s="12"/>
      <c r="E133" s="12"/>
      <c r="G133" s="68" t="s">
        <v>290</v>
      </c>
      <c r="H133" s="302">
        <f>J134</f>
        <v>14700</v>
      </c>
      <c r="I133" s="12"/>
      <c r="J133">
        <v>8041</v>
      </c>
      <c r="K133" t="s">
        <v>1559</v>
      </c>
      <c r="Q133" t="s">
        <v>19</v>
      </c>
      <c r="S133" s="147">
        <v>0.5</v>
      </c>
      <c r="U133" s="328"/>
      <c r="V133" s="299">
        <f>S133*$W$132</f>
        <v>760</v>
      </c>
      <c r="AF133" s="1"/>
    </row>
    <row r="134" spans="3:37" x14ac:dyDescent="0.3">
      <c r="D134" t="s">
        <v>1534</v>
      </c>
      <c r="G134" s="300"/>
      <c r="H134" s="299">
        <f>3*190</f>
        <v>570</v>
      </c>
      <c r="J134">
        <v>14700</v>
      </c>
      <c r="K134" t="s">
        <v>1560</v>
      </c>
      <c r="Q134" t="s">
        <v>23</v>
      </c>
      <c r="S134" s="147">
        <v>0.25</v>
      </c>
      <c r="V134" s="299">
        <f t="shared" ref="V134:V137" si="4">S134*$W$132</f>
        <v>380</v>
      </c>
      <c r="AC134" t="s">
        <v>825</v>
      </c>
    </row>
    <row r="135" spans="3:37" x14ac:dyDescent="0.3">
      <c r="E135" t="s">
        <v>19</v>
      </c>
      <c r="G135" s="331">
        <v>0.5</v>
      </c>
      <c r="H135" s="44">
        <f>G135*$H$134</f>
        <v>285</v>
      </c>
      <c r="Q135" t="s">
        <v>24</v>
      </c>
      <c r="S135" s="147">
        <v>0.25</v>
      </c>
      <c r="V135" s="299">
        <f t="shared" si="4"/>
        <v>380</v>
      </c>
      <c r="AD135" s="6" t="s">
        <v>797</v>
      </c>
      <c r="AF135" s="1">
        <f>'Draft Calculations'!T20</f>
        <v>2.8320589068252618E-4</v>
      </c>
      <c r="AG135">
        <f>AF135*$AF$118</f>
        <v>4.7295383743981869</v>
      </c>
      <c r="AI135" t="s">
        <v>621</v>
      </c>
    </row>
    <row r="136" spans="3:37" x14ac:dyDescent="0.3">
      <c r="E136" t="s">
        <v>23</v>
      </c>
      <c r="G136" s="147">
        <v>0.25</v>
      </c>
      <c r="H136" s="44">
        <f t="shared" ref="H136:H139" si="5">G136*$H$134</f>
        <v>142.5</v>
      </c>
      <c r="Q136" t="s">
        <v>25</v>
      </c>
      <c r="S136" s="147">
        <f>S134</f>
        <v>0.25</v>
      </c>
      <c r="V136" s="299">
        <f t="shared" si="4"/>
        <v>380</v>
      </c>
      <c r="AD136" s="6" t="s">
        <v>814</v>
      </c>
      <c r="AF136" s="1">
        <f>'Draft Calculations'!T21</f>
        <v>1.1732815471133227E-3</v>
      </c>
      <c r="AG136">
        <f>AF136*$AF$118</f>
        <v>19.59380183679249</v>
      </c>
      <c r="AI136" t="s">
        <v>621</v>
      </c>
    </row>
    <row r="137" spans="3:37" x14ac:dyDescent="0.3">
      <c r="E137" t="s">
        <v>1535</v>
      </c>
      <c r="F137" s="1"/>
      <c r="G137" s="147">
        <v>0.25</v>
      </c>
      <c r="H137" s="44">
        <f t="shared" si="5"/>
        <v>142.5</v>
      </c>
      <c r="Q137" t="s">
        <v>1511</v>
      </c>
      <c r="S137" s="147">
        <f>S135</f>
        <v>0.25</v>
      </c>
      <c r="V137" s="299">
        <f t="shared" si="4"/>
        <v>380</v>
      </c>
      <c r="AD137" s="6" t="s">
        <v>815</v>
      </c>
      <c r="AF137" s="1">
        <f>'Draft Calculations'!T22</f>
        <v>4.8549581259861634E-4</v>
      </c>
      <c r="AG137">
        <f>AF137*$AF$118</f>
        <v>8.1077800703968936</v>
      </c>
      <c r="AI137" t="s">
        <v>621</v>
      </c>
    </row>
    <row r="138" spans="3:37" x14ac:dyDescent="0.3">
      <c r="E138" t="s">
        <v>1511</v>
      </c>
      <c r="G138" s="147">
        <f>G136</f>
        <v>0.25</v>
      </c>
      <c r="H138" s="44">
        <f t="shared" si="5"/>
        <v>142.5</v>
      </c>
      <c r="P138" t="s">
        <v>1342</v>
      </c>
      <c r="AD138" s="6" t="s">
        <v>816</v>
      </c>
      <c r="AF138" s="1">
        <f>'Draft Calculations'!T23</f>
        <v>6.1212930371808874E-2</v>
      </c>
      <c r="AG138">
        <f>AF138*$AF$118</f>
        <v>1022.2559372092082</v>
      </c>
      <c r="AI138" t="s">
        <v>621</v>
      </c>
    </row>
    <row r="139" spans="3:37" x14ac:dyDescent="0.3">
      <c r="E139" t="s">
        <v>25</v>
      </c>
      <c r="G139" s="147">
        <f>G137</f>
        <v>0.25</v>
      </c>
      <c r="H139" s="44">
        <f t="shared" si="5"/>
        <v>142.5</v>
      </c>
      <c r="Q139" t="s">
        <v>24</v>
      </c>
      <c r="U139" s="328"/>
      <c r="V139" s="44">
        <v>4654</v>
      </c>
    </row>
    <row r="140" spans="3:37" x14ac:dyDescent="0.3">
      <c r="D140" t="s">
        <v>1536</v>
      </c>
      <c r="Q140" t="s">
        <v>25</v>
      </c>
      <c r="U140" s="147"/>
      <c r="V140" s="44">
        <f>V139</f>
        <v>4654</v>
      </c>
    </row>
    <row r="141" spans="3:37" x14ac:dyDescent="0.3">
      <c r="E141" t="s">
        <v>1535</v>
      </c>
      <c r="H141" s="14">
        <f>H133-H134</f>
        <v>14130</v>
      </c>
      <c r="J141">
        <f>H141/3</f>
        <v>4710</v>
      </c>
    </row>
    <row r="142" spans="3:37" x14ac:dyDescent="0.3">
      <c r="E142" t="s">
        <v>25</v>
      </c>
      <c r="H142">
        <f>H141</f>
        <v>14130</v>
      </c>
      <c r="O142" s="41" t="s">
        <v>1059</v>
      </c>
      <c r="P142" s="12"/>
      <c r="Q142" s="12"/>
      <c r="R142" s="12"/>
      <c r="S142" s="12"/>
      <c r="T142" s="12"/>
      <c r="U142" s="68" t="s">
        <v>290</v>
      </c>
      <c r="V142" s="302">
        <v>5257</v>
      </c>
      <c r="W142" s="12"/>
      <c r="X142" s="12"/>
      <c r="Y142" s="12"/>
    </row>
    <row r="143" spans="3:37" x14ac:dyDescent="0.3">
      <c r="T143" s="38"/>
      <c r="U143" s="333"/>
      <c r="V143" s="14"/>
    </row>
    <row r="144" spans="3:37" x14ac:dyDescent="0.3">
      <c r="S144" t="s">
        <v>1049</v>
      </c>
      <c r="T144" s="38"/>
      <c r="U144" s="331">
        <v>1</v>
      </c>
      <c r="V144" s="44">
        <f>U144*V142</f>
        <v>5257</v>
      </c>
    </row>
    <row r="145" spans="2:38" x14ac:dyDescent="0.3">
      <c r="S145" t="s">
        <v>7</v>
      </c>
      <c r="T145" s="38"/>
      <c r="U145" s="333"/>
      <c r="V145" s="44">
        <f>V144</f>
        <v>5257</v>
      </c>
    </row>
    <row r="147" spans="2:38" x14ac:dyDescent="0.3">
      <c r="S147" s="147"/>
    </row>
    <row r="148" spans="2:38" x14ac:dyDescent="0.3">
      <c r="O148" s="41" t="s">
        <v>328</v>
      </c>
      <c r="P148" s="12"/>
      <c r="Q148" s="12"/>
      <c r="R148" s="12"/>
      <c r="S148" s="301"/>
      <c r="T148" s="12"/>
      <c r="U148" s="12" t="s">
        <v>290</v>
      </c>
      <c r="V148" s="27">
        <v>500</v>
      </c>
      <c r="W148" s="12"/>
      <c r="X148" s="12"/>
      <c r="Y148" s="12"/>
    </row>
    <row r="149" spans="2:38" x14ac:dyDescent="0.3">
      <c r="R149" t="s">
        <v>1061</v>
      </c>
      <c r="U149" s="59">
        <v>1</v>
      </c>
      <c r="V149" s="44">
        <f>U149*V148</f>
        <v>500</v>
      </c>
      <c r="X149" s="18" t="s">
        <v>1874</v>
      </c>
      <c r="AC149" s="41"/>
      <c r="AD149" s="12"/>
      <c r="AE149" s="12"/>
      <c r="AF149" s="12"/>
      <c r="AG149" s="12"/>
      <c r="AH149" s="12"/>
      <c r="AI149" s="12"/>
      <c r="AJ149" s="12"/>
      <c r="AK149" s="12"/>
      <c r="AL149" s="12"/>
    </row>
    <row r="151" spans="2:38" x14ac:dyDescent="0.3">
      <c r="AC151" s="41" t="s">
        <v>26</v>
      </c>
      <c r="AD151" s="12"/>
      <c r="AE151" s="12"/>
      <c r="AF151" s="12"/>
      <c r="AG151" s="12"/>
      <c r="AH151" s="12"/>
      <c r="AI151" s="12"/>
      <c r="AJ151" s="12"/>
      <c r="AK151" s="12"/>
      <c r="AL151" s="12"/>
    </row>
    <row r="153" spans="2:38" x14ac:dyDescent="0.3">
      <c r="AC153" t="s">
        <v>752</v>
      </c>
    </row>
    <row r="154" spans="2:38" x14ac:dyDescent="0.3">
      <c r="AC154" s="242" t="s">
        <v>1646</v>
      </c>
      <c r="AD154" s="242"/>
    </row>
    <row r="155" spans="2:38" x14ac:dyDescent="0.3">
      <c r="B155" t="s">
        <v>1</v>
      </c>
      <c r="E155">
        <f>E156-F174</f>
        <v>943673.39030000009</v>
      </c>
      <c r="AD155" t="s">
        <v>754</v>
      </c>
      <c r="AE155" t="s">
        <v>755</v>
      </c>
    </row>
    <row r="156" spans="2:38" x14ac:dyDescent="0.3">
      <c r="C156" t="s">
        <v>1166</v>
      </c>
      <c r="E156">
        <f>SUM(F157:F176)</f>
        <v>2659498.3903000001</v>
      </c>
      <c r="O156" s="41" t="s">
        <v>1060</v>
      </c>
      <c r="P156" s="12"/>
      <c r="Q156" s="12"/>
      <c r="R156" s="12"/>
      <c r="S156" s="12"/>
      <c r="T156" s="12"/>
      <c r="U156" s="12" t="s">
        <v>290</v>
      </c>
      <c r="V156" s="58">
        <v>511</v>
      </c>
      <c r="W156" s="12"/>
      <c r="X156" s="12"/>
      <c r="Y156" s="12"/>
      <c r="AD156" t="s">
        <v>756</v>
      </c>
      <c r="AE156" s="47">
        <f>0.8</f>
        <v>0.8</v>
      </c>
    </row>
    <row r="157" spans="2:38" x14ac:dyDescent="0.3">
      <c r="D157" t="s">
        <v>1041</v>
      </c>
      <c r="F157">
        <f>G200</f>
        <v>600000</v>
      </c>
      <c r="S157" s="368" t="s">
        <v>1062</v>
      </c>
      <c r="T157" s="368"/>
      <c r="U157" s="373"/>
      <c r="V157" s="44">
        <f>U157*V156</f>
        <v>0</v>
      </c>
      <c r="X157" s="18" t="s">
        <v>1873</v>
      </c>
      <c r="AD157" t="s">
        <v>759</v>
      </c>
      <c r="AE157" s="244">
        <f>H14</f>
        <v>5</v>
      </c>
      <c r="AF157" t="s">
        <v>757</v>
      </c>
    </row>
    <row r="158" spans="2:38" x14ac:dyDescent="0.3">
      <c r="D158" t="s">
        <v>1048</v>
      </c>
      <c r="F158">
        <f>G209</f>
        <v>48300</v>
      </c>
      <c r="AD158" t="s">
        <v>754</v>
      </c>
      <c r="AE158" s="243">
        <f>(AE157*1000)/AE156</f>
        <v>6250</v>
      </c>
    </row>
    <row r="159" spans="2:38" x14ac:dyDescent="0.3">
      <c r="D159" t="s">
        <v>1161</v>
      </c>
      <c r="F159">
        <f>G224</f>
        <v>34100</v>
      </c>
      <c r="P159" s="42" t="s">
        <v>1072</v>
      </c>
      <c r="AC159" t="s">
        <v>758</v>
      </c>
      <c r="AE159" s="16">
        <f>2.4445*AE158+1599</f>
        <v>16877.125</v>
      </c>
    </row>
    <row r="160" spans="2:38" x14ac:dyDescent="0.3">
      <c r="D160" t="s">
        <v>1162</v>
      </c>
      <c r="F160">
        <f>G227</f>
        <v>1800</v>
      </c>
      <c r="Q160" t="s">
        <v>1567</v>
      </c>
      <c r="AC160" s="44" t="s">
        <v>245</v>
      </c>
      <c r="AD160" s="44"/>
      <c r="AE160" s="44">
        <f>AE159</f>
        <v>16877.125</v>
      </c>
      <c r="AF160" s="44"/>
    </row>
    <row r="161" spans="4:41" x14ac:dyDescent="0.3">
      <c r="D161" t="s">
        <v>1160</v>
      </c>
      <c r="F161">
        <f>G233</f>
        <v>14700</v>
      </c>
      <c r="AE161" s="223"/>
      <c r="AF161" s="223"/>
      <c r="AG161" s="223"/>
      <c r="AH161" s="223"/>
    </row>
    <row r="162" spans="4:41" x14ac:dyDescent="0.3">
      <c r="D162" t="s">
        <v>1152</v>
      </c>
      <c r="F162">
        <f>G245</f>
        <v>16700</v>
      </c>
      <c r="O162" s="41" t="s">
        <v>1558</v>
      </c>
      <c r="P162" s="12"/>
      <c r="Q162" s="12"/>
      <c r="R162" s="12"/>
      <c r="S162" s="12"/>
      <c r="T162" s="12"/>
      <c r="U162" s="68" t="s">
        <v>290</v>
      </c>
      <c r="V162" s="302">
        <f>X165</f>
        <v>10400</v>
      </c>
      <c r="W162" s="12"/>
      <c r="X162" s="12"/>
      <c r="Y162" s="12"/>
    </row>
    <row r="163" spans="4:41" x14ac:dyDescent="0.3">
      <c r="D163" t="s">
        <v>252</v>
      </c>
      <c r="F163">
        <f>G264</f>
        <v>48600</v>
      </c>
      <c r="U163" s="328"/>
      <c r="V163" s="14"/>
      <c r="X163">
        <v>16400</v>
      </c>
      <c r="Y163" t="s">
        <v>1565</v>
      </c>
    </row>
    <row r="164" spans="4:41" x14ac:dyDescent="0.3">
      <c r="D164" t="s">
        <v>330</v>
      </c>
      <c r="F164">
        <f>G270</f>
        <v>16877.125</v>
      </c>
      <c r="S164" t="s">
        <v>111</v>
      </c>
      <c r="U164" s="331">
        <v>1</v>
      </c>
      <c r="V164" s="44">
        <f>U164*V162</f>
        <v>10400</v>
      </c>
      <c r="X164">
        <v>2830</v>
      </c>
      <c r="Y164" t="s">
        <v>1566</v>
      </c>
    </row>
    <row r="165" spans="4:41" x14ac:dyDescent="0.3">
      <c r="D165" t="s">
        <v>1163</v>
      </c>
      <c r="F165">
        <f>G274</f>
        <v>3180</v>
      </c>
      <c r="S165" t="s">
        <v>1568</v>
      </c>
      <c r="U165" s="147"/>
      <c r="V165" s="44">
        <f>V164</f>
        <v>10400</v>
      </c>
      <c r="X165">
        <v>10400</v>
      </c>
      <c r="Y165" t="s">
        <v>1563</v>
      </c>
      <c r="AC165" s="41" t="s">
        <v>212</v>
      </c>
      <c r="AD165" s="12"/>
      <c r="AE165" s="12"/>
      <c r="AF165" s="12" t="s">
        <v>621</v>
      </c>
      <c r="AG165" s="12"/>
      <c r="AH165" s="12"/>
      <c r="AI165" s="12"/>
      <c r="AJ165" s="12"/>
      <c r="AK165" s="12"/>
      <c r="AL165" s="12"/>
    </row>
    <row r="166" spans="4:41" x14ac:dyDescent="0.3">
      <c r="D166" t="s">
        <v>253</v>
      </c>
      <c r="F166">
        <f>G281</f>
        <v>6174</v>
      </c>
    </row>
    <row r="167" spans="4:41" x14ac:dyDescent="0.3">
      <c r="D167" t="s">
        <v>1164</v>
      </c>
      <c r="F167">
        <f>G291</f>
        <v>16900</v>
      </c>
      <c r="AD167" t="s">
        <v>855</v>
      </c>
    </row>
    <row r="168" spans="4:41" x14ac:dyDescent="0.3">
      <c r="D168" t="s">
        <v>1165</v>
      </c>
      <c r="F168">
        <f>G294</f>
        <v>71500</v>
      </c>
      <c r="AD168">
        <v>1</v>
      </c>
      <c r="AE168" t="s">
        <v>777</v>
      </c>
      <c r="AF168">
        <v>7000</v>
      </c>
      <c r="AG168" t="s">
        <v>765</v>
      </c>
    </row>
    <row r="169" spans="4:41" x14ac:dyDescent="0.3">
      <c r="D169" t="s">
        <v>1063</v>
      </c>
      <c r="F169">
        <f>G300</f>
        <v>5257</v>
      </c>
      <c r="AC169" s="368" t="s">
        <v>2117</v>
      </c>
      <c r="AD169" s="368"/>
      <c r="AE169" t="s">
        <v>856</v>
      </c>
      <c r="AH169" t="s">
        <v>857</v>
      </c>
      <c r="AI169">
        <v>5.88</v>
      </c>
      <c r="AJ169" t="s">
        <v>858</v>
      </c>
      <c r="AK169" t="s">
        <v>859</v>
      </c>
      <c r="AL169" s="44">
        <f>AI169*AF168*AD168</f>
        <v>41160</v>
      </c>
      <c r="AM169" t="s">
        <v>860</v>
      </c>
      <c r="AO169" t="s">
        <v>2119</v>
      </c>
    </row>
    <row r="170" spans="4:41" x14ac:dyDescent="0.3">
      <c r="D170" t="s">
        <v>1060</v>
      </c>
      <c r="F170">
        <f>G304</f>
        <v>0</v>
      </c>
    </row>
    <row r="171" spans="4:41" x14ac:dyDescent="0.3">
      <c r="D171" t="s">
        <v>133</v>
      </c>
      <c r="F171">
        <f>G308</f>
        <v>500</v>
      </c>
      <c r="AA171" s="368" t="s">
        <v>2118</v>
      </c>
      <c r="AB171" s="368"/>
      <c r="AD171" s="44" t="s">
        <v>245</v>
      </c>
      <c r="AE171" s="44"/>
      <c r="AF171" s="44">
        <v>5000</v>
      </c>
      <c r="AG171" s="44"/>
    </row>
    <row r="172" spans="4:41" x14ac:dyDescent="0.3">
      <c r="D172" t="s">
        <v>1485</v>
      </c>
      <c r="F172">
        <f>V162</f>
        <v>10400</v>
      </c>
    </row>
    <row r="173" spans="4:41" x14ac:dyDescent="0.3">
      <c r="D173" t="s">
        <v>212</v>
      </c>
      <c r="F173">
        <f>G316</f>
        <v>5000</v>
      </c>
      <c r="AM173">
        <v>6500</v>
      </c>
    </row>
    <row r="174" spans="4:41" x14ac:dyDescent="0.3">
      <c r="D174" t="s">
        <v>1146</v>
      </c>
      <c r="F174">
        <f>G328</f>
        <v>1715825</v>
      </c>
      <c r="AC174" t="s">
        <v>12</v>
      </c>
      <c r="AE174" s="1">
        <v>0.51364175563463821</v>
      </c>
      <c r="AG174">
        <f>AE174*$AF$171</f>
        <v>2568.2087781731911</v>
      </c>
      <c r="AH174" t="s">
        <v>65</v>
      </c>
      <c r="AL174">
        <v>0.68700000000000006</v>
      </c>
      <c r="AM174">
        <f>AL174*$AM$173</f>
        <v>4465.5</v>
      </c>
    </row>
    <row r="175" spans="4:41" x14ac:dyDescent="0.3">
      <c r="D175" t="s">
        <v>1154</v>
      </c>
      <c r="F175">
        <f>G334</f>
        <v>5253.7653</v>
      </c>
      <c r="AC175" t="s">
        <v>420</v>
      </c>
      <c r="AE175" s="1">
        <v>0.15895610913404506</v>
      </c>
      <c r="AG175">
        <f t="shared" ref="AG175:AG179" si="6">AE175*$AF$171</f>
        <v>794.78054567022537</v>
      </c>
      <c r="AH175" t="s">
        <v>65</v>
      </c>
      <c r="AL175">
        <v>0.21199999999999999</v>
      </c>
      <c r="AM175">
        <f t="shared" ref="AM175:AM179" si="7">AL175*$AM$173</f>
        <v>1378</v>
      </c>
    </row>
    <row r="176" spans="4:41" x14ac:dyDescent="0.3">
      <c r="D176" t="s">
        <v>1155</v>
      </c>
      <c r="F176">
        <f>G341</f>
        <v>38431.5</v>
      </c>
      <c r="AC176" t="s">
        <v>113</v>
      </c>
      <c r="AE176" s="1">
        <v>0.18149466192170818</v>
      </c>
      <c r="AG176">
        <f t="shared" si="6"/>
        <v>907.47330960854094</v>
      </c>
      <c r="AH176" t="s">
        <v>65</v>
      </c>
      <c r="AL176">
        <v>0.24199999999999999</v>
      </c>
      <c r="AM176">
        <f t="shared" si="7"/>
        <v>1573</v>
      </c>
    </row>
    <row r="177" spans="2:39" x14ac:dyDescent="0.3">
      <c r="D177" s="23" t="s">
        <v>1167</v>
      </c>
      <c r="AC177" t="s">
        <v>141</v>
      </c>
      <c r="AE177" s="1">
        <v>9.1340450771055751E-2</v>
      </c>
      <c r="AG177">
        <f t="shared" si="6"/>
        <v>456.70225385527874</v>
      </c>
      <c r="AH177" t="s">
        <v>65</v>
      </c>
      <c r="AL177">
        <v>0.121</v>
      </c>
      <c r="AM177">
        <f t="shared" si="7"/>
        <v>786.5</v>
      </c>
    </row>
    <row r="178" spans="2:39" x14ac:dyDescent="0.3">
      <c r="C178" t="s">
        <v>51</v>
      </c>
      <c r="E178">
        <f>F179</f>
        <v>48600</v>
      </c>
      <c r="AC178" t="s">
        <v>851</v>
      </c>
      <c r="AE178" s="1">
        <v>1.8979833926453145E-2</v>
      </c>
      <c r="AG178">
        <f t="shared" si="6"/>
        <v>94.899169632265725</v>
      </c>
      <c r="AH178" t="s">
        <v>65</v>
      </c>
      <c r="AL178">
        <v>2.5000000000000001E-2</v>
      </c>
      <c r="AM178">
        <f t="shared" si="7"/>
        <v>162.5</v>
      </c>
    </row>
    <row r="179" spans="2:39" x14ac:dyDescent="0.3">
      <c r="D179" t="s">
        <v>252</v>
      </c>
      <c r="F179">
        <f>G378</f>
        <v>48600</v>
      </c>
      <c r="AC179" t="s">
        <v>852</v>
      </c>
      <c r="AE179" s="1">
        <v>3.5587188612099648E-2</v>
      </c>
      <c r="AG179">
        <f t="shared" si="6"/>
        <v>177.93594306049823</v>
      </c>
      <c r="AH179" t="s">
        <v>65</v>
      </c>
      <c r="AI179" t="s">
        <v>2115</v>
      </c>
      <c r="AL179">
        <v>4.5999999999999999E-2</v>
      </c>
      <c r="AM179">
        <f t="shared" si="7"/>
        <v>299</v>
      </c>
    </row>
    <row r="180" spans="2:39" x14ac:dyDescent="0.3">
      <c r="C180" t="s">
        <v>191</v>
      </c>
      <c r="E180">
        <f>SUM(E156:E179)</f>
        <v>2708098.3903000001</v>
      </c>
      <c r="AC180" t="s">
        <v>592</v>
      </c>
      <c r="AE180" s="1">
        <v>0.85053380782918153</v>
      </c>
      <c r="AG180">
        <f>AE180*$AF$171*AI180</f>
        <v>15309.608540925268</v>
      </c>
      <c r="AH180" t="s">
        <v>1533</v>
      </c>
      <c r="AI180">
        <v>3.6</v>
      </c>
      <c r="AJ180" t="s">
        <v>2116</v>
      </c>
      <c r="AM180">
        <f>SUM(AM174:AM179)</f>
        <v>8664.5</v>
      </c>
    </row>
    <row r="181" spans="2:39" x14ac:dyDescent="0.3">
      <c r="AC181" t="s">
        <v>106</v>
      </c>
      <c r="AE181" s="1">
        <v>0.4638196915776987</v>
      </c>
      <c r="AG181">
        <f>AE181*$AF$171*AI181</f>
        <v>8348.7544483985766</v>
      </c>
      <c r="AH181" t="s">
        <v>1533</v>
      </c>
      <c r="AI181">
        <v>3.6</v>
      </c>
      <c r="AJ181" t="s">
        <v>2116</v>
      </c>
    </row>
    <row r="182" spans="2:39" x14ac:dyDescent="0.3">
      <c r="AC182" s="368" t="s">
        <v>1088</v>
      </c>
      <c r="AD182" s="368"/>
      <c r="AE182" s="368"/>
    </row>
    <row r="183" spans="2:39" x14ac:dyDescent="0.3">
      <c r="AC183" s="368"/>
      <c r="AD183" s="368" t="s">
        <v>1089</v>
      </c>
      <c r="AE183" s="368" t="s">
        <v>1090</v>
      </c>
      <c r="AH183">
        <f>AE180*AF171</f>
        <v>4252.6690391459078</v>
      </c>
    </row>
    <row r="184" spans="2:39" x14ac:dyDescent="0.3">
      <c r="AH184">
        <f>AE181*AF171</f>
        <v>2319.0984578884936</v>
      </c>
    </row>
    <row r="185" spans="2:39" x14ac:dyDescent="0.3">
      <c r="AC185" t="s">
        <v>138</v>
      </c>
      <c r="AE185" s="1">
        <v>1E-3</v>
      </c>
      <c r="AG185">
        <f>AE185*AF171</f>
        <v>5</v>
      </c>
    </row>
    <row r="192" spans="2:39" s="70" customFormat="1" x14ac:dyDescent="0.3">
      <c r="B192" s="71" t="s">
        <v>306</v>
      </c>
      <c r="C192" s="47"/>
      <c r="D192" s="47"/>
    </row>
    <row r="194" spans="1:55" s="27" customFormat="1" x14ac:dyDescent="0.3">
      <c r="A194"/>
      <c r="B194" s="25" t="s">
        <v>48</v>
      </c>
      <c r="C194" s="18"/>
      <c r="D194" s="18"/>
      <c r="E194" s="18"/>
      <c r="F194" s="18"/>
      <c r="G194" s="18"/>
      <c r="H194" s="18"/>
      <c r="I194" s="18"/>
      <c r="J194" s="18"/>
      <c r="K194" s="18"/>
      <c r="L194" s="18"/>
      <c r="M194" s="18"/>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row>
    <row r="195" spans="1:55" x14ac:dyDescent="0.3">
      <c r="G195" t="s">
        <v>11</v>
      </c>
      <c r="H195" s="376" t="s">
        <v>192</v>
      </c>
      <c r="I195" s="376"/>
      <c r="J195" s="376"/>
      <c r="K195" s="376"/>
      <c r="L195" s="376"/>
      <c r="M195" s="376"/>
      <c r="P195" s="376" t="s">
        <v>47</v>
      </c>
      <c r="Q195" s="376"/>
      <c r="R195" s="376"/>
      <c r="S195" s="376"/>
      <c r="T195" s="376"/>
      <c r="U195" s="376"/>
      <c r="X195" s="376" t="s">
        <v>43</v>
      </c>
      <c r="Y195" s="376"/>
      <c r="Z195" s="376"/>
      <c r="AA195" s="376"/>
      <c r="AB195" s="376"/>
      <c r="AC195" s="376"/>
      <c r="AD195" s="376"/>
      <c r="AE195" s="376"/>
      <c r="AF195" s="376"/>
      <c r="AG195" s="376"/>
      <c r="AH195" s="376"/>
      <c r="AI195" s="376"/>
      <c r="AJ195" s="376"/>
      <c r="AK195" s="376"/>
      <c r="AL195" s="376"/>
      <c r="AM195" s="376"/>
      <c r="AN195" s="376"/>
      <c r="AO195" s="376"/>
      <c r="AR195" s="376" t="s">
        <v>77</v>
      </c>
      <c r="AS195" s="376"/>
      <c r="AT195" s="376"/>
      <c r="AU195" s="376"/>
      <c r="AV195" s="376"/>
      <c r="AW195" s="376"/>
      <c r="AX195" s="376"/>
      <c r="AY195" s="376"/>
      <c r="BB195" t="s">
        <v>311</v>
      </c>
    </row>
    <row r="196" spans="1:55" x14ac:dyDescent="0.3">
      <c r="H196" s="377" t="s">
        <v>32</v>
      </c>
      <c r="I196" s="377"/>
      <c r="J196" s="377"/>
      <c r="K196" s="378" t="s">
        <v>162</v>
      </c>
      <c r="L196" s="378"/>
      <c r="M196" s="378"/>
      <c r="P196" s="377" t="s">
        <v>32</v>
      </c>
      <c r="Q196" s="377"/>
      <c r="R196" s="377"/>
      <c r="S196" s="378" t="s">
        <v>162</v>
      </c>
      <c r="T196" s="378"/>
      <c r="U196" s="378"/>
      <c r="X196" s="382" t="s">
        <v>158</v>
      </c>
      <c r="Y196" s="382"/>
      <c r="Z196" s="382"/>
      <c r="AA196" s="382"/>
      <c r="AB196" s="382"/>
      <c r="AC196" s="382"/>
      <c r="AD196" s="382"/>
      <c r="AF196" s="382" t="s">
        <v>157</v>
      </c>
      <c r="AG196" s="382"/>
      <c r="AH196" s="382"/>
      <c r="AI196" s="382"/>
      <c r="AJ196" s="382"/>
      <c r="AK196" s="382"/>
    </row>
    <row r="197" spans="1:55" x14ac:dyDescent="0.3">
      <c r="G197" t="s">
        <v>10</v>
      </c>
      <c r="H197" t="s">
        <v>9</v>
      </c>
      <c r="I197" t="s">
        <v>8</v>
      </c>
      <c r="J197" s="19" t="s">
        <v>52</v>
      </c>
      <c r="AA197" s="377" t="s">
        <v>32</v>
      </c>
      <c r="AB197" s="377"/>
      <c r="AC197" s="378" t="s">
        <v>162</v>
      </c>
      <c r="AD197" s="378"/>
      <c r="AH197" s="377" t="s">
        <v>32</v>
      </c>
      <c r="AI197" s="377"/>
      <c r="AJ197" s="378" t="s">
        <v>162</v>
      </c>
      <c r="AK197" s="378"/>
      <c r="AN197" s="47" t="s">
        <v>32</v>
      </c>
      <c r="AO197" s="34" t="s">
        <v>162</v>
      </c>
      <c r="AU197" s="380" t="s">
        <v>32</v>
      </c>
      <c r="AV197" s="380"/>
      <c r="AW197" s="378" t="s">
        <v>162</v>
      </c>
      <c r="AX197" s="378"/>
      <c r="BB197" s="72" t="s">
        <v>32</v>
      </c>
      <c r="BC197" s="49" t="s">
        <v>162</v>
      </c>
    </row>
    <row r="198" spans="1:55" x14ac:dyDescent="0.3">
      <c r="B198" t="s">
        <v>63</v>
      </c>
      <c r="J198" s="19"/>
      <c r="P198" t="s">
        <v>160</v>
      </c>
      <c r="R198" s="19" t="s">
        <v>55</v>
      </c>
      <c r="X198" t="s">
        <v>1</v>
      </c>
      <c r="Y198" t="s">
        <v>57</v>
      </c>
      <c r="Z198" t="s">
        <v>156</v>
      </c>
      <c r="AA198" t="s">
        <v>54</v>
      </c>
      <c r="AB198" s="7" t="s">
        <v>55</v>
      </c>
      <c r="AC198" t="s">
        <v>54</v>
      </c>
      <c r="AD198" t="s">
        <v>55</v>
      </c>
      <c r="AF198" t="s">
        <v>59</v>
      </c>
      <c r="AG198" t="s">
        <v>156</v>
      </c>
      <c r="AH198" t="s">
        <v>54</v>
      </c>
      <c r="AI198" s="7" t="s">
        <v>58</v>
      </c>
      <c r="AJ198" t="s">
        <v>54</v>
      </c>
      <c r="AK198" t="s">
        <v>55</v>
      </c>
      <c r="AN198" s="19" t="s">
        <v>155</v>
      </c>
      <c r="AS198" t="s">
        <v>59</v>
      </c>
      <c r="AT198" t="s">
        <v>156</v>
      </c>
      <c r="AU198" t="s">
        <v>54</v>
      </c>
      <c r="AV198" t="s">
        <v>55</v>
      </c>
      <c r="AW198" t="s">
        <v>54</v>
      </c>
      <c r="AX198" t="s">
        <v>55</v>
      </c>
      <c r="BB198" s="6"/>
      <c r="BC198" s="5"/>
    </row>
    <row r="199" spans="1:55" s="12" customFormat="1" x14ac:dyDescent="0.3">
      <c r="A199"/>
      <c r="C199" s="12" t="s">
        <v>1040</v>
      </c>
      <c r="G199" s="12">
        <f>G200</f>
        <v>600000</v>
      </c>
      <c r="BB199" s="73"/>
      <c r="BC199" s="13"/>
    </row>
    <row r="200" spans="1:55" s="9" customFormat="1" x14ac:dyDescent="0.3">
      <c r="A200"/>
      <c r="D200" s="9" t="s">
        <v>1041</v>
      </c>
      <c r="G200" s="9">
        <f>N73</f>
        <v>600000</v>
      </c>
      <c r="J200" s="330">
        <f>SUM(I201:I207)</f>
        <v>1822961.4032908978</v>
      </c>
      <c r="M200" s="330">
        <f>SUM(L201:L207)</f>
        <v>25961245.890242968</v>
      </c>
      <c r="R200" s="330">
        <f>SUM(Q201:Q207)</f>
        <v>202.08</v>
      </c>
      <c r="U200" s="330">
        <f>SUM(T201:T207)</f>
        <v>7152</v>
      </c>
      <c r="X200" s="9">
        <f>G200</f>
        <v>600000</v>
      </c>
      <c r="Y200" s="9" t="str">
        <f>$X$80</f>
        <v>ship ferry</v>
      </c>
      <c r="Z200" s="9">
        <f>$F$19</f>
        <v>2000</v>
      </c>
      <c r="AA200" s="9">
        <f>$AA$80</f>
        <v>0.109</v>
      </c>
      <c r="AB200" s="9">
        <f>AA200*Z200*X200/1000</f>
        <v>130800</v>
      </c>
      <c r="AC200" s="9">
        <f>$AD$80</f>
        <v>1.5</v>
      </c>
      <c r="AD200" s="9">
        <f>AC200*Z200*X200/1000</f>
        <v>1800000</v>
      </c>
      <c r="AF200" s="9" t="s">
        <v>61</v>
      </c>
      <c r="AG200" s="9">
        <f>$G$19</f>
        <v>500</v>
      </c>
      <c r="AH200" s="9">
        <f>$AA$78</f>
        <v>8.9976823999999997E-2</v>
      </c>
      <c r="AI200" s="9">
        <f>AH200*AG200*X200/1000</f>
        <v>26993.047200000001</v>
      </c>
      <c r="AJ200" s="9">
        <f>$AD$78</f>
        <v>1.52</v>
      </c>
      <c r="AK200" s="9">
        <f>AJ200*AG200*X200/1000</f>
        <v>456000</v>
      </c>
      <c r="AN200" s="10">
        <f>AI200+AB200</f>
        <v>157793.0472</v>
      </c>
      <c r="AO200" s="10">
        <f>AD200+AK200</f>
        <v>2256000</v>
      </c>
      <c r="AS200" s="9" t="s">
        <v>161</v>
      </c>
      <c r="AT200" s="9">
        <f>$G$21</f>
        <v>200</v>
      </c>
      <c r="AU200" s="9">
        <f>$AA$78</f>
        <v>8.9976823999999997E-2</v>
      </c>
      <c r="AV200" s="10">
        <f>(AU200*AT200*X200)/1000</f>
        <v>10797.21888</v>
      </c>
      <c r="AW200" s="9">
        <f>$AD$78</f>
        <v>1.52</v>
      </c>
      <c r="AX200" s="10">
        <f>(AW200*AT200*X200)/1000</f>
        <v>182400</v>
      </c>
      <c r="BB200" s="74">
        <f>AV200+AN200+R200+J200</f>
        <v>1991753.7493708979</v>
      </c>
      <c r="BC200" s="11">
        <f>AX200+AO200+U200+M200</f>
        <v>28406797.890242968</v>
      </c>
    </row>
    <row r="201" spans="1:55" x14ac:dyDescent="0.3">
      <c r="E201" t="s">
        <v>114</v>
      </c>
      <c r="F201" s="69"/>
      <c r="G201">
        <f>O76</f>
        <v>540000</v>
      </c>
      <c r="H201" s="14">
        <f>AA10</f>
        <v>2.02</v>
      </c>
      <c r="I201" s="14">
        <f t="shared" ref="I201:I207" si="8">G201*H201</f>
        <v>1090800</v>
      </c>
      <c r="J201" s="5"/>
      <c r="K201" s="14">
        <f>AD10</f>
        <v>25.2</v>
      </c>
      <c r="L201">
        <f>K201*G201</f>
        <v>13608000</v>
      </c>
      <c r="M201" s="5"/>
      <c r="P201" s="14">
        <f>AI10</f>
        <v>3.368E-4</v>
      </c>
      <c r="Q201">
        <f t="shared" ref="Q201:Q207" si="9">P201*G201</f>
        <v>181.87200000000001</v>
      </c>
      <c r="R201" s="5"/>
      <c r="S201" s="14">
        <f>AL10</f>
        <v>1.192E-2</v>
      </c>
      <c r="T201">
        <f t="shared" ref="T201:T203" si="10">S201*G201</f>
        <v>6436.8</v>
      </c>
      <c r="U201" s="5"/>
      <c r="AN201" s="5"/>
      <c r="AO201" s="5"/>
      <c r="AV201" s="5"/>
      <c r="AX201" s="5"/>
      <c r="BB201" s="6"/>
      <c r="BC201" s="5"/>
    </row>
    <row r="202" spans="1:55" x14ac:dyDescent="0.3">
      <c r="E202" t="s">
        <v>636</v>
      </c>
      <c r="F202" s="69"/>
      <c r="G202">
        <f t="shared" ref="G202" si="11">N74</f>
        <v>785.3495107050087</v>
      </c>
      <c r="H202" s="14">
        <f>AA27</f>
        <v>0.14899999999999999</v>
      </c>
      <c r="I202" s="14">
        <f t="shared" si="8"/>
        <v>117.01707709504629</v>
      </c>
      <c r="J202" s="5"/>
      <c r="K202" s="14">
        <f>AD27</f>
        <v>2.58</v>
      </c>
      <c r="L202">
        <f>K202*G202</f>
        <v>2026.2017376189226</v>
      </c>
      <c r="M202" s="5"/>
      <c r="P202" s="14">
        <f>AI27</f>
        <v>0</v>
      </c>
      <c r="Q202">
        <f t="shared" si="9"/>
        <v>0</v>
      </c>
      <c r="R202" s="5"/>
      <c r="S202" s="14">
        <f>AL27</f>
        <v>0</v>
      </c>
      <c r="T202">
        <f t="shared" si="10"/>
        <v>0</v>
      </c>
      <c r="U202" s="5"/>
      <c r="AN202" s="5"/>
      <c r="AO202" s="5"/>
      <c r="AV202" s="5"/>
      <c r="AX202" s="5"/>
      <c r="BB202" s="6"/>
      <c r="BC202" s="5"/>
    </row>
    <row r="203" spans="1:55" x14ac:dyDescent="0.3">
      <c r="E203" t="s">
        <v>1537</v>
      </c>
      <c r="F203" s="69"/>
      <c r="G203">
        <f>O94</f>
        <v>1654.0485321150261</v>
      </c>
      <c r="H203" s="14">
        <f>AA28</f>
        <v>5.0999999999999996</v>
      </c>
      <c r="I203" s="14">
        <f t="shared" si="8"/>
        <v>8435.6475137866328</v>
      </c>
      <c r="J203" s="5"/>
      <c r="K203" s="14">
        <f>AD28</f>
        <v>89.3</v>
      </c>
      <c r="L203">
        <f>K203*G203</f>
        <v>147706.53391787183</v>
      </c>
      <c r="M203" s="5"/>
      <c r="P203" s="14">
        <f>AI28</f>
        <v>0</v>
      </c>
      <c r="Q203">
        <f t="shared" si="9"/>
        <v>0</v>
      </c>
      <c r="R203" s="5"/>
      <c r="S203" s="14">
        <f>AL28</f>
        <v>0</v>
      </c>
      <c r="T203">
        <f t="shared" si="10"/>
        <v>0</v>
      </c>
      <c r="U203" s="5"/>
      <c r="V203" s="6"/>
      <c r="AN203" s="6"/>
      <c r="AO203" s="5"/>
      <c r="AV203" s="5"/>
      <c r="AX203" s="5"/>
      <c r="BB203" s="6"/>
      <c r="BC203" s="5"/>
    </row>
    <row r="204" spans="1:55" x14ac:dyDescent="0.3">
      <c r="E204" t="s">
        <v>1343</v>
      </c>
      <c r="F204" s="1"/>
      <c r="G204">
        <f>O93</f>
        <v>1654.0485321150261</v>
      </c>
      <c r="H204" s="57">
        <f>AA29</f>
        <v>3.27</v>
      </c>
      <c r="I204" s="14">
        <f t="shared" si="8"/>
        <v>5408.7387000161352</v>
      </c>
      <c r="J204" s="5"/>
      <c r="K204" s="57">
        <f>AD29</f>
        <v>65</v>
      </c>
      <c r="L204">
        <f>K204*G204</f>
        <v>107513.15458747669</v>
      </c>
      <c r="M204" s="5"/>
      <c r="P204" s="57">
        <f>AI29</f>
        <v>0</v>
      </c>
      <c r="Q204">
        <f t="shared" si="9"/>
        <v>0</v>
      </c>
      <c r="R204" s="5"/>
      <c r="S204" s="57">
        <f>AL29</f>
        <v>0</v>
      </c>
      <c r="T204">
        <f>S204*G204</f>
        <v>0</v>
      </c>
      <c r="U204" s="5"/>
      <c r="AN204" s="5"/>
      <c r="AO204" s="5"/>
      <c r="AV204" s="5"/>
      <c r="AX204" s="5"/>
      <c r="BB204" s="6"/>
      <c r="BC204" s="5"/>
    </row>
    <row r="205" spans="1:55" x14ac:dyDescent="0.3">
      <c r="E205" t="s">
        <v>108</v>
      </c>
      <c r="F205" s="1"/>
      <c r="G205">
        <f>O77</f>
        <v>60000</v>
      </c>
      <c r="H205" s="57">
        <f>AA5</f>
        <v>1.57</v>
      </c>
      <c r="I205" s="14">
        <f t="shared" si="8"/>
        <v>94200</v>
      </c>
      <c r="J205" s="5"/>
      <c r="K205" s="57">
        <f>AD5</f>
        <v>20.9</v>
      </c>
      <c r="L205">
        <f t="shared" ref="L205:L207" si="12">K205*G205</f>
        <v>1254000</v>
      </c>
      <c r="M205" s="5"/>
      <c r="P205" s="57">
        <f>AI5</f>
        <v>3.368E-4</v>
      </c>
      <c r="Q205">
        <f t="shared" si="9"/>
        <v>20.207999999999998</v>
      </c>
      <c r="R205" s="5"/>
      <c r="S205" s="57">
        <f>AL5</f>
        <v>1.192E-2</v>
      </c>
      <c r="T205">
        <f t="shared" ref="T205:T207" si="13">S205*G205</f>
        <v>715.2</v>
      </c>
      <c r="U205" s="5"/>
      <c r="AN205" s="5"/>
      <c r="AO205" s="5"/>
      <c r="AV205" s="5"/>
      <c r="AX205" s="5"/>
      <c r="BB205" s="6"/>
      <c r="BC205" s="5"/>
    </row>
    <row r="206" spans="1:55" x14ac:dyDescent="0.3">
      <c r="E206" t="s">
        <v>1539</v>
      </c>
      <c r="F206" s="1"/>
      <c r="G206">
        <f>O78</f>
        <v>120000</v>
      </c>
      <c r="H206" s="57">
        <f>AA24</f>
        <v>1.6</v>
      </c>
      <c r="I206" s="14">
        <f t="shared" si="8"/>
        <v>192000</v>
      </c>
      <c r="J206" s="5"/>
      <c r="K206" s="57">
        <f>AD24</f>
        <v>27.8</v>
      </c>
      <c r="L206">
        <f t="shared" si="12"/>
        <v>3336000</v>
      </c>
      <c r="M206" s="5"/>
      <c r="P206" s="57">
        <f>AI24</f>
        <v>0</v>
      </c>
      <c r="Q206">
        <f t="shared" si="9"/>
        <v>0</v>
      </c>
      <c r="R206" s="5"/>
      <c r="S206" s="57">
        <f>AL24</f>
        <v>0</v>
      </c>
      <c r="T206">
        <f t="shared" si="13"/>
        <v>0</v>
      </c>
      <c r="U206" s="5"/>
      <c r="AN206" s="5"/>
      <c r="AO206" s="5"/>
      <c r="AV206" s="5"/>
      <c r="AX206" s="5"/>
      <c r="BB206" s="6"/>
      <c r="BC206" s="5"/>
    </row>
    <row r="207" spans="1:55" x14ac:dyDescent="0.3">
      <c r="E207" s="20" t="s">
        <v>1557</v>
      </c>
      <c r="F207" s="1"/>
      <c r="G207">
        <f>G201/2</f>
        <v>270000</v>
      </c>
      <c r="H207" s="57">
        <f>AA24</f>
        <v>1.6</v>
      </c>
      <c r="I207" s="14">
        <f t="shared" si="8"/>
        <v>432000</v>
      </c>
      <c r="J207" s="5"/>
      <c r="K207" s="57">
        <f>AD24</f>
        <v>27.8</v>
      </c>
      <c r="L207">
        <f t="shared" si="12"/>
        <v>7506000</v>
      </c>
      <c r="M207" s="5"/>
      <c r="P207" s="57">
        <f>AI24</f>
        <v>0</v>
      </c>
      <c r="Q207">
        <f t="shared" si="9"/>
        <v>0</v>
      </c>
      <c r="R207" s="5"/>
      <c r="S207" s="57">
        <f>AL24</f>
        <v>0</v>
      </c>
      <c r="T207">
        <f t="shared" si="13"/>
        <v>0</v>
      </c>
      <c r="U207" s="5"/>
      <c r="AN207" s="5"/>
      <c r="AO207" s="5"/>
      <c r="AV207" s="5"/>
      <c r="AX207" s="5"/>
      <c r="BB207" s="6"/>
      <c r="BC207" s="5"/>
    </row>
    <row r="208" spans="1:55" s="12" customFormat="1" x14ac:dyDescent="0.3">
      <c r="A208"/>
      <c r="C208" s="12" t="s">
        <v>1043</v>
      </c>
      <c r="F208" s="68"/>
      <c r="G208" s="12">
        <f>G209+G224+G227+G233</f>
        <v>98900</v>
      </c>
      <c r="I208" s="12">
        <f t="shared" ref="I208:I328" si="14">G208*H208</f>
        <v>0</v>
      </c>
      <c r="J208" s="13"/>
      <c r="M208" s="13"/>
      <c r="Q208" s="12">
        <f t="shared" ref="Q208:Q218" si="15">P208*G208</f>
        <v>0</v>
      </c>
      <c r="R208" s="13"/>
      <c r="T208" s="12">
        <f t="shared" ref="T208:T339" si="16">S208*G208</f>
        <v>0</v>
      </c>
      <c r="U208" s="13"/>
      <c r="AN208" s="13"/>
      <c r="AO208" s="13"/>
      <c r="AV208" s="13"/>
      <c r="AX208" s="13"/>
      <c r="BB208" s="73"/>
      <c r="BC208" s="13"/>
    </row>
    <row r="209" spans="1:55" s="9" customFormat="1" x14ac:dyDescent="0.3">
      <c r="A209"/>
      <c r="D209" s="9" t="s">
        <v>1044</v>
      </c>
      <c r="F209" s="67"/>
      <c r="G209" s="9">
        <f>G107</f>
        <v>48300</v>
      </c>
      <c r="I209" s="9">
        <f t="shared" si="14"/>
        <v>0</v>
      </c>
      <c r="J209" s="45">
        <f>SUM(I210:I223)</f>
        <v>877983.36576747755</v>
      </c>
      <c r="M209" s="45">
        <f>SUM(L210:L223)</f>
        <v>17809550.442319877</v>
      </c>
      <c r="Q209" s="9">
        <f t="shared" si="15"/>
        <v>0</v>
      </c>
      <c r="R209" s="45">
        <f>SUM(Q210:Q223)</f>
        <v>43038.345633779994</v>
      </c>
      <c r="U209" s="45">
        <f>SUM(T210:T223)</f>
        <v>23203.585146713998</v>
      </c>
      <c r="X209" s="9">
        <f>G209</f>
        <v>48300</v>
      </c>
      <c r="Y209" s="9" t="str">
        <f>$X$80</f>
        <v>ship ferry</v>
      </c>
      <c r="Z209" s="9">
        <f>$F$19</f>
        <v>2000</v>
      </c>
      <c r="AA209" s="9">
        <f>$AA$80</f>
        <v>0.109</v>
      </c>
      <c r="AB209" s="9">
        <f>AA209*Z209*X209/1000</f>
        <v>10529.4</v>
      </c>
      <c r="AC209" s="9">
        <f>$AD$80</f>
        <v>1.5</v>
      </c>
      <c r="AD209" s="9">
        <f>AC209*Z209*X209/1000</f>
        <v>144900</v>
      </c>
      <c r="AF209" s="9" t="s">
        <v>61</v>
      </c>
      <c r="AG209" s="9">
        <f>$G$19</f>
        <v>500</v>
      </c>
      <c r="AH209" s="9">
        <f>$AA$78</f>
        <v>8.9976823999999997E-2</v>
      </c>
      <c r="AI209" s="9">
        <f>AH209*AG209*X209/1000</f>
        <v>2172.9402995999999</v>
      </c>
      <c r="AJ209" s="9">
        <f>$AD$78</f>
        <v>1.52</v>
      </c>
      <c r="AK209" s="9">
        <f>AJ209*AG209*X209/1000</f>
        <v>36708</v>
      </c>
      <c r="AN209" s="11">
        <f>AI209+AB209</f>
        <v>12702.3402996</v>
      </c>
      <c r="AO209" s="11">
        <f>AD209+AK209</f>
        <v>181608</v>
      </c>
      <c r="AS209" s="9" t="s">
        <v>161</v>
      </c>
      <c r="AT209" s="9">
        <f>$G$21</f>
        <v>200</v>
      </c>
      <c r="AU209" s="9">
        <f>$AA$78</f>
        <v>8.9976823999999997E-2</v>
      </c>
      <c r="AV209" s="11">
        <f>(AU209*AT209*X209)/1000</f>
        <v>869.17611984000007</v>
      </c>
      <c r="AW209" s="9">
        <f>$AD$78</f>
        <v>1.52</v>
      </c>
      <c r="AX209" s="11">
        <f>(AW209*AT209*X209)/1000</f>
        <v>14683.2</v>
      </c>
      <c r="BB209" s="74">
        <f>AV209+AN209+R209+J209</f>
        <v>934593.22782069759</v>
      </c>
      <c r="BC209" s="11">
        <f>AX209+AO209+U209+M209</f>
        <v>18029045.227466591</v>
      </c>
    </row>
    <row r="210" spans="1:55" x14ac:dyDescent="0.3">
      <c r="E210" t="s">
        <v>123</v>
      </c>
      <c r="F210" s="69"/>
      <c r="G210">
        <f>G108</f>
        <v>24150</v>
      </c>
      <c r="H210" s="14">
        <f>AA65</f>
        <v>4.4137059762711868</v>
      </c>
      <c r="I210" s="14">
        <f t="shared" si="14"/>
        <v>106590.99932694915</v>
      </c>
      <c r="J210" s="5"/>
      <c r="K210" s="14">
        <f>AD65</f>
        <v>88.429673480225972</v>
      </c>
      <c r="L210">
        <f>K210*G210</f>
        <v>2135576.6145474571</v>
      </c>
      <c r="M210" s="5"/>
      <c r="P210" s="14">
        <f>AI65</f>
        <v>0.62</v>
      </c>
      <c r="Q210">
        <f t="shared" si="15"/>
        <v>14973</v>
      </c>
      <c r="R210" s="5"/>
      <c r="S210" s="14">
        <f>AL65</f>
        <v>0.31900000000000001</v>
      </c>
      <c r="T210">
        <f t="shared" si="16"/>
        <v>7703.85</v>
      </c>
      <c r="U210" s="5"/>
      <c r="AN210" s="5"/>
      <c r="AO210" s="5"/>
      <c r="AV210" s="5"/>
      <c r="AX210" s="5"/>
      <c r="BB210" s="6"/>
      <c r="BC210" s="5"/>
    </row>
    <row r="211" spans="1:55" x14ac:dyDescent="0.3">
      <c r="F211" s="1" t="s">
        <v>1489</v>
      </c>
      <c r="G211">
        <f>G210</f>
        <v>24150</v>
      </c>
      <c r="H211" s="14">
        <f>AA71</f>
        <v>0.36257759090847458</v>
      </c>
      <c r="I211" s="14">
        <f t="shared" si="14"/>
        <v>8756.2488204396614</v>
      </c>
      <c r="J211" s="5"/>
      <c r="K211" s="14">
        <f>AD71</f>
        <v>7.8680163387570623</v>
      </c>
      <c r="L211">
        <f t="shared" ref="L211:L212" si="17">K211*G211</f>
        <v>190012.59458098304</v>
      </c>
      <c r="M211" s="5"/>
      <c r="P211" s="14">
        <f>AI71</f>
        <v>9.8033978399999971E-2</v>
      </c>
      <c r="Q211">
        <f t="shared" si="15"/>
        <v>2367.5205783599995</v>
      </c>
      <c r="R211" s="5"/>
      <c r="S211" s="14">
        <f>AL71</f>
        <v>5.0440063079999986E-2</v>
      </c>
      <c r="T211">
        <f t="shared" si="16"/>
        <v>1218.1275233819997</v>
      </c>
      <c r="U211" s="5"/>
      <c r="AN211" s="5"/>
      <c r="AO211" s="5"/>
      <c r="AV211" s="5"/>
      <c r="AX211" s="5"/>
      <c r="BB211" s="6"/>
      <c r="BC211" s="5"/>
    </row>
    <row r="212" spans="1:55" x14ac:dyDescent="0.3">
      <c r="F212" s="1" t="s">
        <v>1552</v>
      </c>
      <c r="G212">
        <f>G210</f>
        <v>24150</v>
      </c>
      <c r="H212" s="14">
        <f>AA70</f>
        <v>1.396493244</v>
      </c>
      <c r="I212" s="14">
        <f t="shared" si="14"/>
        <v>33725.3118426</v>
      </c>
      <c r="J212" s="5"/>
      <c r="K212" s="14">
        <f>AD70</f>
        <v>31.584411360000001</v>
      </c>
      <c r="L212">
        <f t="shared" si="17"/>
        <v>762763.53434400004</v>
      </c>
      <c r="M212" s="5"/>
      <c r="P212" s="14">
        <f>AI70</f>
        <v>0.17302907820000002</v>
      </c>
      <c r="Q212">
        <f t="shared" si="15"/>
        <v>4178.6522385300004</v>
      </c>
      <c r="R212" s="5"/>
      <c r="S212" s="14">
        <f>AL70</f>
        <v>0.11096542650000001</v>
      </c>
      <c r="T212">
        <f t="shared" si="16"/>
        <v>2679.815049975</v>
      </c>
      <c r="U212" s="5"/>
      <c r="AN212" s="5"/>
      <c r="AO212" s="5"/>
      <c r="AV212" s="5"/>
      <c r="AX212" s="5"/>
      <c r="BB212" s="6"/>
      <c r="BC212" s="5"/>
    </row>
    <row r="213" spans="1:55" x14ac:dyDescent="0.3">
      <c r="E213" t="s">
        <v>301</v>
      </c>
      <c r="F213" s="1"/>
      <c r="G213">
        <f>G109</f>
        <v>0</v>
      </c>
      <c r="H213">
        <f>AA5</f>
        <v>1.57</v>
      </c>
      <c r="I213">
        <f t="shared" si="14"/>
        <v>0</v>
      </c>
      <c r="J213" s="5"/>
      <c r="K213">
        <f>AD5</f>
        <v>20.9</v>
      </c>
      <c r="L213">
        <f>K213*G213</f>
        <v>0</v>
      </c>
      <c r="M213" s="5"/>
      <c r="P213">
        <f>AI5</f>
        <v>3.368E-4</v>
      </c>
      <c r="Q213">
        <f t="shared" si="15"/>
        <v>0</v>
      </c>
      <c r="R213" s="5"/>
      <c r="S213">
        <f>AL5</f>
        <v>1.192E-2</v>
      </c>
      <c r="T213">
        <f t="shared" si="16"/>
        <v>0</v>
      </c>
      <c r="U213" s="5"/>
      <c r="AN213" s="5"/>
      <c r="AO213" s="5"/>
      <c r="AV213" s="5"/>
      <c r="AX213" s="5"/>
      <c r="BB213" s="6"/>
      <c r="BC213" s="5"/>
    </row>
    <row r="214" spans="1:55" x14ac:dyDescent="0.3">
      <c r="E214" s="250" t="s">
        <v>7</v>
      </c>
      <c r="F214" s="1"/>
      <c r="G214">
        <f>G213</f>
        <v>0</v>
      </c>
      <c r="H214" s="14">
        <f>AA24</f>
        <v>1.6</v>
      </c>
      <c r="I214">
        <f t="shared" si="14"/>
        <v>0</v>
      </c>
      <c r="J214" s="5"/>
      <c r="K214" s="14">
        <f>AD24</f>
        <v>27.8</v>
      </c>
      <c r="L214">
        <f t="shared" ref="L214:L218" si="18">K214*G214</f>
        <v>0</v>
      </c>
      <c r="M214" s="5"/>
      <c r="Q214">
        <f t="shared" si="15"/>
        <v>0</v>
      </c>
      <c r="R214" s="5"/>
      <c r="T214">
        <f t="shared" si="16"/>
        <v>0</v>
      </c>
      <c r="U214" s="5"/>
      <c r="AN214" s="5"/>
      <c r="AO214" s="5"/>
      <c r="AV214" s="5"/>
      <c r="AX214" s="5"/>
      <c r="BB214" s="6"/>
      <c r="BC214" s="5"/>
    </row>
    <row r="215" spans="1:55" x14ac:dyDescent="0.3">
      <c r="F215" s="1"/>
      <c r="I215">
        <f t="shared" si="14"/>
        <v>0</v>
      </c>
      <c r="J215" s="5"/>
      <c r="L215">
        <f t="shared" si="18"/>
        <v>0</v>
      </c>
      <c r="M215" s="5"/>
      <c r="Q215">
        <f t="shared" si="15"/>
        <v>0</v>
      </c>
      <c r="R215" s="5"/>
      <c r="T215">
        <f t="shared" si="16"/>
        <v>0</v>
      </c>
      <c r="U215" s="5"/>
      <c r="AN215" s="5"/>
      <c r="AO215" s="5"/>
      <c r="AV215" s="5"/>
      <c r="AX215" s="5"/>
      <c r="BB215" s="6"/>
      <c r="BC215" s="5"/>
    </row>
    <row r="216" spans="1:55" x14ac:dyDescent="0.3">
      <c r="E216" t="s">
        <v>6</v>
      </c>
      <c r="F216" s="69"/>
      <c r="G216">
        <f>G111</f>
        <v>24150</v>
      </c>
      <c r="H216" s="14">
        <f>AA64</f>
        <v>23.61956697627118</v>
      </c>
      <c r="I216">
        <f t="shared" si="14"/>
        <v>570412.54247694905</v>
      </c>
      <c r="J216" s="5"/>
      <c r="K216" s="14">
        <f>AD64</f>
        <v>473.73135881355932</v>
      </c>
      <c r="L216">
        <f t="shared" si="18"/>
        <v>11440612.315347457</v>
      </c>
      <c r="M216" s="5"/>
      <c r="P216" s="14">
        <f>AI64</f>
        <v>0.62</v>
      </c>
      <c r="Q216">
        <f t="shared" si="15"/>
        <v>14973</v>
      </c>
      <c r="R216" s="5"/>
      <c r="S216" s="14">
        <f>AL64</f>
        <v>0.31900000000000001</v>
      </c>
      <c r="T216">
        <f t="shared" si="16"/>
        <v>7703.85</v>
      </c>
      <c r="U216" s="5"/>
      <c r="AN216" s="5"/>
      <c r="AO216" s="5"/>
      <c r="AV216" s="5"/>
      <c r="AX216" s="5"/>
      <c r="BB216" s="6"/>
      <c r="BC216" s="5"/>
    </row>
    <row r="217" spans="1:55" x14ac:dyDescent="0.3">
      <c r="F217" s="1" t="s">
        <v>1489</v>
      </c>
      <c r="G217">
        <f>G216</f>
        <v>24150</v>
      </c>
      <c r="H217">
        <f>AA72</f>
        <v>5.1665818409084743</v>
      </c>
      <c r="I217">
        <f t="shared" si="14"/>
        <v>124772.95145793965</v>
      </c>
      <c r="J217" s="5"/>
      <c r="K217">
        <f>AD72</f>
        <v>104.25763350542371</v>
      </c>
      <c r="L217">
        <f t="shared" si="18"/>
        <v>2517821.8491559825</v>
      </c>
      <c r="M217" s="5"/>
      <c r="P217">
        <f>AI72</f>
        <v>9.8033978399999971E-2</v>
      </c>
      <c r="Q217">
        <f t="shared" si="15"/>
        <v>2367.5205783599995</v>
      </c>
      <c r="R217" s="5"/>
      <c r="S217">
        <f>AL72</f>
        <v>5.0440063079999986E-2</v>
      </c>
      <c r="T217">
        <f t="shared" si="16"/>
        <v>1218.1275233819997</v>
      </c>
      <c r="U217" s="5"/>
      <c r="AN217" s="5"/>
      <c r="AO217" s="5"/>
      <c r="AV217" s="5"/>
      <c r="AX217" s="5"/>
      <c r="BB217" s="6"/>
      <c r="BC217" s="5"/>
    </row>
    <row r="218" spans="1:55" x14ac:dyDescent="0.3">
      <c r="F218" s="1" t="s">
        <v>1552</v>
      </c>
      <c r="G218">
        <f>G216</f>
        <v>24150</v>
      </c>
      <c r="H218">
        <f>AA70</f>
        <v>1.396493244</v>
      </c>
      <c r="I218">
        <f t="shared" si="14"/>
        <v>33725.3118426</v>
      </c>
      <c r="J218" s="5"/>
      <c r="K218">
        <f>AD70</f>
        <v>31.584411360000001</v>
      </c>
      <c r="L218">
        <f t="shared" si="18"/>
        <v>762763.53434400004</v>
      </c>
      <c r="M218" s="5"/>
      <c r="P218">
        <f>AI70</f>
        <v>0.17302907820000002</v>
      </c>
      <c r="Q218">
        <f t="shared" si="15"/>
        <v>4178.6522385300004</v>
      </c>
      <c r="R218" s="5"/>
      <c r="S218">
        <f>AL70</f>
        <v>0.11096542650000001</v>
      </c>
      <c r="T218">
        <f t="shared" si="16"/>
        <v>2679.815049975</v>
      </c>
      <c r="U218" s="5"/>
      <c r="AN218" s="5"/>
      <c r="AO218" s="5"/>
      <c r="AV218" s="5"/>
      <c r="AX218" s="5"/>
      <c r="BB218" s="6"/>
      <c r="BC218" s="5"/>
    </row>
    <row r="219" spans="1:55" x14ac:dyDescent="0.3">
      <c r="F219" s="1"/>
      <c r="J219" s="5"/>
      <c r="M219" s="5"/>
      <c r="R219" s="5"/>
      <c r="U219" s="5"/>
      <c r="AN219" s="5"/>
      <c r="AO219" s="5"/>
      <c r="AV219" s="5"/>
      <c r="AX219" s="5"/>
      <c r="BB219" s="6"/>
      <c r="BC219" s="5"/>
    </row>
    <row r="220" spans="1:55" x14ac:dyDescent="0.3">
      <c r="F220" s="1"/>
      <c r="J220" s="5"/>
      <c r="M220" s="5"/>
      <c r="R220" s="5"/>
      <c r="U220" s="5"/>
      <c r="AN220" s="5"/>
      <c r="AO220" s="5"/>
      <c r="AV220" s="5"/>
      <c r="AX220" s="5"/>
      <c r="BB220" s="6"/>
      <c r="BC220" s="5"/>
    </row>
    <row r="221" spans="1:55" x14ac:dyDescent="0.3">
      <c r="F221" s="1"/>
      <c r="J221" s="5"/>
      <c r="M221" s="5"/>
      <c r="R221" s="5"/>
      <c r="U221" s="5"/>
      <c r="AN221" s="5"/>
      <c r="AO221" s="5"/>
      <c r="AV221" s="5"/>
      <c r="AX221" s="5"/>
      <c r="BB221" s="6"/>
      <c r="BC221" s="5"/>
    </row>
    <row r="222" spans="1:55" x14ac:dyDescent="0.3">
      <c r="F222" s="1"/>
      <c r="J222" s="5"/>
      <c r="M222" s="5"/>
      <c r="R222" s="5"/>
      <c r="U222" s="5"/>
      <c r="AN222" s="5"/>
      <c r="AO222" s="5"/>
      <c r="AV222" s="5"/>
      <c r="AX222" s="5"/>
      <c r="BB222" s="6"/>
      <c r="BC222" s="5"/>
    </row>
    <row r="223" spans="1:55" x14ac:dyDescent="0.3">
      <c r="F223" s="1"/>
      <c r="J223" s="5"/>
      <c r="M223" s="5"/>
      <c r="R223" s="5"/>
      <c r="U223" s="5"/>
      <c r="AN223" s="5"/>
      <c r="AO223" s="5"/>
      <c r="AV223" s="5"/>
      <c r="AX223" s="5"/>
      <c r="BB223" s="6"/>
      <c r="BC223" s="5"/>
    </row>
    <row r="224" spans="1:55" s="9" customFormat="1" x14ac:dyDescent="0.3">
      <c r="D224" s="9" t="s">
        <v>1045</v>
      </c>
      <c r="F224" s="67"/>
      <c r="G224" s="9">
        <f>G119</f>
        <v>34100</v>
      </c>
      <c r="J224" s="45">
        <f>SUM(I225:I226)</f>
        <v>112530</v>
      </c>
      <c r="M224" s="45">
        <f>SUM(L225:L226)</f>
        <v>1698180</v>
      </c>
      <c r="R224" s="45">
        <f>SUM(Q225:Q226)</f>
        <v>1691.36</v>
      </c>
      <c r="U224" s="45">
        <f>SUM(T225:T226)</f>
        <v>870.23200000000008</v>
      </c>
      <c r="X224" s="9">
        <f>G224</f>
        <v>34100</v>
      </c>
      <c r="Y224" s="9" t="str">
        <f>$X$80</f>
        <v>ship ferry</v>
      </c>
      <c r="Z224" s="9">
        <f>$F$19</f>
        <v>2000</v>
      </c>
      <c r="AA224" s="9">
        <f>$AA$80</f>
        <v>0.109</v>
      </c>
      <c r="AB224" s="9">
        <f>AA224*Z224*X224/1000</f>
        <v>7433.8</v>
      </c>
      <c r="AC224" s="9">
        <f>$AD$80</f>
        <v>1.5</v>
      </c>
      <c r="AD224" s="9">
        <f>AC224*Z224*X224/1000</f>
        <v>102300</v>
      </c>
      <c r="AF224" s="9" t="s">
        <v>61</v>
      </c>
      <c r="AG224" s="9">
        <f>$G$19</f>
        <v>500</v>
      </c>
      <c r="AH224" s="9">
        <f>$AA$78</f>
        <v>8.9976823999999997E-2</v>
      </c>
      <c r="AI224" s="9">
        <f>AH224*AG224*X224/1000</f>
        <v>1534.1048491999998</v>
      </c>
      <c r="AJ224" s="9">
        <f>$AD$78</f>
        <v>1.52</v>
      </c>
      <c r="AK224" s="9">
        <f>AJ224*AG224*X224/1000</f>
        <v>25916</v>
      </c>
      <c r="AN224" s="11">
        <f>AI224+AB224</f>
        <v>8967.9048492000002</v>
      </c>
      <c r="AO224" s="11">
        <f>AD224+AK224</f>
        <v>128216</v>
      </c>
      <c r="AS224" s="9" t="s">
        <v>161</v>
      </c>
      <c r="AT224" s="9">
        <f>$G$21</f>
        <v>200</v>
      </c>
      <c r="AU224" s="9">
        <f>$AA$78</f>
        <v>8.9976823999999997E-2</v>
      </c>
      <c r="AV224" s="11">
        <f>(AU224*AT224*X224)/1000</f>
        <v>613.64193968000006</v>
      </c>
      <c r="AW224" s="9">
        <f>$AD$78</f>
        <v>1.52</v>
      </c>
      <c r="AX224" s="11">
        <f>(AW224*AT224*X224)/1000</f>
        <v>10366.4</v>
      </c>
      <c r="BB224" s="74">
        <f>AV224+AN224+R224+J224</f>
        <v>123802.90678888001</v>
      </c>
      <c r="BC224" s="11">
        <f>AX224+AO224+U224+M224</f>
        <v>1837632.632</v>
      </c>
    </row>
    <row r="225" spans="1:55" x14ac:dyDescent="0.3">
      <c r="E225" t="s">
        <v>23</v>
      </c>
      <c r="F225" s="1"/>
      <c r="G225">
        <f>G120</f>
        <v>34100</v>
      </c>
      <c r="H225" s="14">
        <f>AA6</f>
        <v>1.7</v>
      </c>
      <c r="I225" s="14">
        <f t="shared" ref="I225:I226" si="19">G225*H225</f>
        <v>57970</v>
      </c>
      <c r="J225" s="5"/>
      <c r="K225" s="14">
        <f>AD6</f>
        <v>22</v>
      </c>
      <c r="L225">
        <f>K225*G225</f>
        <v>750200</v>
      </c>
      <c r="M225" s="5"/>
      <c r="P225" s="14">
        <f>AI6</f>
        <v>4.9599999999999998E-2</v>
      </c>
      <c r="Q225">
        <f t="shared" ref="Q225:Q226" si="20">P225*G225</f>
        <v>1691.36</v>
      </c>
      <c r="R225" s="5"/>
      <c r="S225" s="14">
        <f>AL6</f>
        <v>2.5520000000000001E-2</v>
      </c>
      <c r="T225">
        <f t="shared" ref="T225:T226" si="21">S225*G225</f>
        <v>870.23200000000008</v>
      </c>
      <c r="U225" s="5"/>
      <c r="AN225" s="5"/>
      <c r="AO225" s="5"/>
      <c r="AV225" s="5"/>
      <c r="AX225" s="5"/>
      <c r="BB225" s="6"/>
      <c r="BC225" s="5"/>
    </row>
    <row r="226" spans="1:55" x14ac:dyDescent="0.3">
      <c r="E226" t="s">
        <v>1511</v>
      </c>
      <c r="F226" s="1"/>
      <c r="G226">
        <f>G121</f>
        <v>34100</v>
      </c>
      <c r="H226" s="14">
        <f>AA31</f>
        <v>1.6</v>
      </c>
      <c r="I226" s="14">
        <f t="shared" si="19"/>
        <v>54560</v>
      </c>
      <c r="J226" s="5"/>
      <c r="K226" s="14">
        <f>AD31</f>
        <v>27.8</v>
      </c>
      <c r="L226">
        <f>K226*G226</f>
        <v>947980</v>
      </c>
      <c r="M226" s="5"/>
      <c r="P226" s="14">
        <f>AI31</f>
        <v>0</v>
      </c>
      <c r="Q226">
        <f t="shared" si="20"/>
        <v>0</v>
      </c>
      <c r="R226" s="5"/>
      <c r="S226" s="14">
        <f>AL31</f>
        <v>0</v>
      </c>
      <c r="T226">
        <f t="shared" si="21"/>
        <v>0</v>
      </c>
      <c r="U226" s="5"/>
      <c r="AN226" s="5"/>
      <c r="AO226" s="5"/>
      <c r="AV226" s="5"/>
      <c r="AX226" s="5"/>
      <c r="BB226" s="6"/>
      <c r="BC226" s="5"/>
    </row>
    <row r="227" spans="1:55" s="9" customFormat="1" x14ac:dyDescent="0.3">
      <c r="D227" s="9" t="s">
        <v>1046</v>
      </c>
      <c r="F227" s="67"/>
      <c r="G227" s="9">
        <f>G127</f>
        <v>1800</v>
      </c>
      <c r="J227" s="45">
        <f>SUM(I228:I232)</f>
        <v>10840.74834711722</v>
      </c>
      <c r="M227" s="11">
        <f>SUM(L228:L232)</f>
        <v>223061.39301606099</v>
      </c>
      <c r="R227" s="11">
        <f>SUM(Q228:Q232)</f>
        <v>1523.7481387860003</v>
      </c>
      <c r="U227" s="11">
        <f>SUM(T228:T232)</f>
        <v>822.56618718180005</v>
      </c>
      <c r="X227" s="9">
        <f>G227</f>
        <v>1800</v>
      </c>
      <c r="Y227" s="9" t="str">
        <f>$X$80</f>
        <v>ship ferry</v>
      </c>
      <c r="Z227" s="9">
        <f>$F$19</f>
        <v>2000</v>
      </c>
      <c r="AA227" s="9">
        <f>$AA$80</f>
        <v>0.109</v>
      </c>
      <c r="AB227" s="9">
        <f>AA227*Z227*X227/1000</f>
        <v>392.4</v>
      </c>
      <c r="AC227" s="9">
        <f>$AD$80</f>
        <v>1.5</v>
      </c>
      <c r="AD227" s="9">
        <f>AC227*Z227*X227/1000</f>
        <v>5400</v>
      </c>
      <c r="AF227" s="9" t="s">
        <v>61</v>
      </c>
      <c r="AG227" s="9">
        <f>$G$19</f>
        <v>500</v>
      </c>
      <c r="AH227" s="9">
        <f>$AA$78</f>
        <v>8.9976823999999997E-2</v>
      </c>
      <c r="AI227" s="9">
        <f>AH227*AG227*X227/1000</f>
        <v>80.979141599999991</v>
      </c>
      <c r="AJ227" s="9">
        <f>$AD$78</f>
        <v>1.52</v>
      </c>
      <c r="AK227" s="9">
        <f>AJ227*AG227*X227/1000</f>
        <v>1368</v>
      </c>
      <c r="AN227" s="11">
        <f>AI227+AB227</f>
        <v>473.37914159999997</v>
      </c>
      <c r="AO227" s="11">
        <f>AD227+AK227</f>
        <v>6768</v>
      </c>
      <c r="AS227" s="9" t="s">
        <v>161</v>
      </c>
      <c r="AT227" s="9">
        <f>$G$21</f>
        <v>200</v>
      </c>
      <c r="AU227" s="9">
        <f>$AA$78</f>
        <v>8.9976823999999997E-2</v>
      </c>
      <c r="AV227" s="11">
        <f>(AU227*AT227*X227)/1000</f>
        <v>32.391656640000001</v>
      </c>
      <c r="AW227" s="9">
        <f>$AD$78</f>
        <v>1.52</v>
      </c>
      <c r="AX227" s="11">
        <f>(AW227*AT227*X227)/1000</f>
        <v>547.20000000000005</v>
      </c>
      <c r="BB227" s="74">
        <f>AV227+AN227+R227+J227</f>
        <v>12870.26728414322</v>
      </c>
      <c r="BC227" s="11">
        <f>AX227+AO227+U227+M227</f>
        <v>231199.1592032428</v>
      </c>
    </row>
    <row r="228" spans="1:55" x14ac:dyDescent="0.3">
      <c r="E228" t="s">
        <v>123</v>
      </c>
      <c r="F228" s="1"/>
      <c r="G228">
        <f>G128</f>
        <v>1710</v>
      </c>
      <c r="H228" s="14">
        <f>AA65</f>
        <v>4.4137059762711868</v>
      </c>
      <c r="I228" s="14">
        <f t="shared" ref="I228:I232" si="22">G228*H228</f>
        <v>7547.4372194237294</v>
      </c>
      <c r="J228" s="5"/>
      <c r="K228" s="14">
        <f>AD65</f>
        <v>88.429673480225972</v>
      </c>
      <c r="L228">
        <f>K228*G228</f>
        <v>151214.7416511864</v>
      </c>
      <c r="M228" s="5"/>
      <c r="P228" s="14">
        <f>AI65</f>
        <v>0.62</v>
      </c>
      <c r="Q228">
        <f t="shared" ref="Q228:Q232" si="23">P228*G228</f>
        <v>1060.2</v>
      </c>
      <c r="R228" s="5"/>
      <c r="S228" s="14">
        <f>AL65</f>
        <v>0.31900000000000001</v>
      </c>
      <c r="T228">
        <f t="shared" ref="T228:T232" si="24">S228*G228</f>
        <v>545.49</v>
      </c>
      <c r="U228" s="5"/>
      <c r="AN228" s="5"/>
      <c r="AO228" s="5"/>
      <c r="AV228" s="5"/>
      <c r="AX228" s="5"/>
      <c r="BB228" s="6"/>
      <c r="BC228" s="5"/>
    </row>
    <row r="229" spans="1:55" x14ac:dyDescent="0.3">
      <c r="F229" s="1" t="s">
        <v>1489</v>
      </c>
      <c r="G229">
        <f>G228</f>
        <v>1710</v>
      </c>
      <c r="H229" s="14">
        <f>AA71</f>
        <v>0.36257759090847458</v>
      </c>
      <c r="I229" s="14">
        <f t="shared" si="22"/>
        <v>620.0076804534915</v>
      </c>
      <c r="J229" s="5"/>
      <c r="K229" s="14">
        <f>AD71</f>
        <v>7.8680163387570623</v>
      </c>
      <c r="L229">
        <f t="shared" ref="L229:L230" si="25">K229*G229</f>
        <v>13454.307939274577</v>
      </c>
      <c r="M229" s="5"/>
      <c r="P229" s="14">
        <f>AI71</f>
        <v>9.8033978399999971E-2</v>
      </c>
      <c r="Q229">
        <f t="shared" si="23"/>
        <v>167.63810306399995</v>
      </c>
      <c r="R229" s="5"/>
      <c r="S229" s="14">
        <f>AL71</f>
        <v>5.0440063079999986E-2</v>
      </c>
      <c r="T229">
        <f t="shared" si="24"/>
        <v>86.252507866799974</v>
      </c>
      <c r="U229" s="5"/>
      <c r="AN229" s="5"/>
      <c r="AO229" s="5"/>
      <c r="AV229" s="5"/>
      <c r="AX229" s="5"/>
      <c r="BB229" s="6"/>
      <c r="BC229" s="5"/>
    </row>
    <row r="230" spans="1:55" x14ac:dyDescent="0.3">
      <c r="F230" s="1" t="s">
        <v>1552</v>
      </c>
      <c r="G230">
        <f>G228</f>
        <v>1710</v>
      </c>
      <c r="H230" s="14">
        <f>AA70</f>
        <v>1.396493244</v>
      </c>
      <c r="I230" s="14">
        <f t="shared" si="22"/>
        <v>2388.0034472399998</v>
      </c>
      <c r="J230" s="5"/>
      <c r="K230" s="14">
        <f>AD70</f>
        <v>31.584411360000001</v>
      </c>
      <c r="L230">
        <f t="shared" si="25"/>
        <v>54009.343425600004</v>
      </c>
      <c r="M230" s="5"/>
      <c r="P230" s="14">
        <f>AI70</f>
        <v>0.17302907820000002</v>
      </c>
      <c r="Q230">
        <f t="shared" si="23"/>
        <v>295.87972372200005</v>
      </c>
      <c r="R230" s="5"/>
      <c r="S230" s="14">
        <f>AL70</f>
        <v>0.11096542650000001</v>
      </c>
      <c r="T230">
        <f t="shared" si="24"/>
        <v>189.75087931500002</v>
      </c>
      <c r="U230" s="5"/>
      <c r="AN230" s="5"/>
      <c r="AO230" s="5"/>
      <c r="AV230" s="5"/>
      <c r="AX230" s="5"/>
      <c r="BB230" s="6"/>
      <c r="BC230" s="5"/>
    </row>
    <row r="231" spans="1:55" x14ac:dyDescent="0.3">
      <c r="E231" t="s">
        <v>301</v>
      </c>
      <c r="F231" s="1"/>
      <c r="G231">
        <f>G129</f>
        <v>90</v>
      </c>
      <c r="H231" s="14">
        <f>AA5</f>
        <v>1.57</v>
      </c>
      <c r="I231">
        <f t="shared" si="22"/>
        <v>141.30000000000001</v>
      </c>
      <c r="J231" s="5"/>
      <c r="K231" s="14">
        <f>AD5</f>
        <v>20.9</v>
      </c>
      <c r="L231">
        <f>K231*G231</f>
        <v>1880.9999999999998</v>
      </c>
      <c r="M231" s="5"/>
      <c r="P231" s="14">
        <f>AI5</f>
        <v>3.368E-4</v>
      </c>
      <c r="Q231">
        <f t="shared" si="23"/>
        <v>3.0311999999999999E-2</v>
      </c>
      <c r="R231" s="5"/>
      <c r="S231" s="14">
        <f>AL5</f>
        <v>1.192E-2</v>
      </c>
      <c r="T231">
        <f t="shared" si="24"/>
        <v>1.0728</v>
      </c>
      <c r="U231" s="5"/>
      <c r="AN231" s="5"/>
      <c r="AO231" s="5"/>
      <c r="AV231" s="5"/>
      <c r="AX231" s="5"/>
      <c r="BB231" s="6"/>
      <c r="BC231" s="5"/>
    </row>
    <row r="232" spans="1:55" x14ac:dyDescent="0.3">
      <c r="E232" s="250" t="s">
        <v>7</v>
      </c>
      <c r="F232" s="1"/>
      <c r="G232">
        <f>G231</f>
        <v>90</v>
      </c>
      <c r="H232" s="14">
        <f>AA24</f>
        <v>1.6</v>
      </c>
      <c r="I232">
        <f t="shared" si="22"/>
        <v>144</v>
      </c>
      <c r="J232" s="5"/>
      <c r="K232" s="14">
        <f>AD24</f>
        <v>27.8</v>
      </c>
      <c r="L232">
        <f t="shared" ref="L232" si="26">K232*G232</f>
        <v>2502</v>
      </c>
      <c r="M232" s="5"/>
      <c r="P232" s="14">
        <f>AI24</f>
        <v>0</v>
      </c>
      <c r="Q232">
        <f t="shared" si="23"/>
        <v>0</v>
      </c>
      <c r="R232" s="5"/>
      <c r="S232" s="14">
        <f>AL24</f>
        <v>0</v>
      </c>
      <c r="T232">
        <f t="shared" si="24"/>
        <v>0</v>
      </c>
      <c r="U232" s="5"/>
      <c r="AN232" s="5"/>
      <c r="AO232" s="5"/>
      <c r="AV232" s="5"/>
      <c r="AX232" s="5"/>
      <c r="BB232" s="6"/>
      <c r="BC232" s="5"/>
    </row>
    <row r="233" spans="1:55" s="9" customFormat="1" x14ac:dyDescent="0.3">
      <c r="A233"/>
      <c r="D233" s="9" t="s">
        <v>1047</v>
      </c>
      <c r="F233" s="67"/>
      <c r="G233" s="9">
        <f>H133</f>
        <v>14700</v>
      </c>
      <c r="J233" s="11">
        <f>SUM(I234:I243)</f>
        <v>96937.35</v>
      </c>
      <c r="M233" s="11">
        <f>SUM(L234:L243)</f>
        <v>1485108</v>
      </c>
      <c r="R233" s="11">
        <f>SUM(Q234:Q243)</f>
        <v>29.544978</v>
      </c>
      <c r="U233" s="11">
        <f>SUM(T234:T243)</f>
        <v>182.8563</v>
      </c>
      <c r="X233" s="9">
        <f>G233</f>
        <v>14700</v>
      </c>
      <c r="Y233" s="9" t="str">
        <f>$X$80</f>
        <v>ship ferry</v>
      </c>
      <c r="Z233" s="9">
        <f>$F$19</f>
        <v>2000</v>
      </c>
      <c r="AA233" s="9">
        <f>$AA$80</f>
        <v>0.109</v>
      </c>
      <c r="AB233" s="9">
        <f>AA233*Z233*X233/1000</f>
        <v>3204.6</v>
      </c>
      <c r="AC233" s="9">
        <f>$AD$80</f>
        <v>1.5</v>
      </c>
      <c r="AD233" s="9">
        <f>AC233*Z233*X233/1000</f>
        <v>44100</v>
      </c>
      <c r="AF233" s="9" t="s">
        <v>61</v>
      </c>
      <c r="AG233" s="9">
        <f>$G$19</f>
        <v>500</v>
      </c>
      <c r="AH233" s="9">
        <f>$AA$78</f>
        <v>8.9976823999999997E-2</v>
      </c>
      <c r="AI233" s="9">
        <f>AH233*AG233*X233/1000</f>
        <v>661.32965639999998</v>
      </c>
      <c r="AJ233" s="9">
        <f>$AD$78</f>
        <v>1.52</v>
      </c>
      <c r="AK233" s="9">
        <f>AJ233*AG233*X233/1000</f>
        <v>11172</v>
      </c>
      <c r="AN233" s="11">
        <f>AI233+AB233</f>
        <v>3865.9296563999997</v>
      </c>
      <c r="AO233" s="11">
        <f>AD233+AK233</f>
        <v>55272</v>
      </c>
      <c r="AS233" s="9" t="s">
        <v>161</v>
      </c>
      <c r="AT233" s="9">
        <f>$G$21</f>
        <v>200</v>
      </c>
      <c r="AU233" s="9">
        <f>$AA$78</f>
        <v>8.9976823999999997E-2</v>
      </c>
      <c r="AV233" s="11">
        <f>(AU233*AT233*X233)/1000</f>
        <v>264.53186256000004</v>
      </c>
      <c r="AW233" s="9">
        <f>$AD$78</f>
        <v>1.52</v>
      </c>
      <c r="AX233" s="11">
        <f>(AW233*AT233*X233)/1000</f>
        <v>4468.8</v>
      </c>
      <c r="BB233" s="74">
        <f>AV233+AN233+R233+J233</f>
        <v>101097.35649696001</v>
      </c>
      <c r="BC233" s="11">
        <f>AX233+AO233+U233+M233</f>
        <v>1545031.6562999999</v>
      </c>
    </row>
    <row r="234" spans="1:55" x14ac:dyDescent="0.3">
      <c r="D234" t="s">
        <v>1529</v>
      </c>
      <c r="F234" s="1"/>
      <c r="J234" s="5"/>
      <c r="M234" s="5"/>
      <c r="R234" s="5"/>
      <c r="U234" s="5"/>
      <c r="AN234" s="5"/>
      <c r="AO234" s="5"/>
      <c r="AV234" s="5"/>
      <c r="AX234" s="5"/>
      <c r="BB234" s="6"/>
      <c r="BC234" s="5"/>
    </row>
    <row r="235" spans="1:55" x14ac:dyDescent="0.3">
      <c r="E235" t="s">
        <v>19</v>
      </c>
      <c r="F235" s="1"/>
      <c r="G235" s="14">
        <f>H135</f>
        <v>285</v>
      </c>
      <c r="H235" s="14">
        <f>AA41</f>
        <v>7.96</v>
      </c>
      <c r="I235" s="14">
        <f t="shared" ref="I235:I242" si="27">G235*H235</f>
        <v>2268.6</v>
      </c>
      <c r="J235" s="5"/>
      <c r="K235" s="14">
        <f>AD41</f>
        <v>108</v>
      </c>
      <c r="L235">
        <f>K235*G235</f>
        <v>30780</v>
      </c>
      <c r="M235" s="5"/>
      <c r="P235" s="14">
        <f>AI41</f>
        <v>6.2E-2</v>
      </c>
      <c r="Q235">
        <f t="shared" ref="Q235:Q242" si="28">P235*G235</f>
        <v>17.669999999999998</v>
      </c>
      <c r="R235" s="5"/>
      <c r="S235" s="14">
        <f>AL41</f>
        <v>3.1900000000000005E-2</v>
      </c>
      <c r="T235">
        <f t="shared" ref="T235:T242" si="29">S235*G235</f>
        <v>9.0915000000000017</v>
      </c>
      <c r="U235" s="5"/>
      <c r="AN235" s="5"/>
      <c r="AO235" s="5"/>
      <c r="AV235" s="5"/>
      <c r="AX235" s="5"/>
      <c r="BB235" s="6"/>
      <c r="BC235" s="5"/>
    </row>
    <row r="236" spans="1:55" x14ac:dyDescent="0.3">
      <c r="E236" t="s">
        <v>23</v>
      </c>
      <c r="F236" s="1"/>
      <c r="G236" s="14">
        <f t="shared" ref="G236:G242" si="30">H136</f>
        <v>142.5</v>
      </c>
      <c r="H236" s="14">
        <f>AA6</f>
        <v>1.7</v>
      </c>
      <c r="I236" s="14">
        <f t="shared" si="27"/>
        <v>242.25</v>
      </c>
      <c r="J236" s="5"/>
      <c r="K236" s="14">
        <f>AD6</f>
        <v>22</v>
      </c>
      <c r="L236">
        <f t="shared" ref="L236:L242" si="31">K236*G236</f>
        <v>3135</v>
      </c>
      <c r="M236" s="5"/>
      <c r="P236" s="14">
        <f>AI6</f>
        <v>4.9599999999999998E-2</v>
      </c>
      <c r="Q236">
        <f t="shared" si="28"/>
        <v>7.0679999999999996</v>
      </c>
      <c r="R236" s="5"/>
      <c r="S236" s="14">
        <f>AL6</f>
        <v>2.5520000000000001E-2</v>
      </c>
      <c r="T236">
        <f t="shared" si="29"/>
        <v>3.6366000000000001</v>
      </c>
      <c r="U236" s="5"/>
      <c r="AN236" s="5"/>
      <c r="AO236" s="5"/>
      <c r="AV236" s="5"/>
      <c r="AX236" s="5"/>
      <c r="BB236" s="6"/>
      <c r="BC236" s="5"/>
    </row>
    <row r="237" spans="1:55" x14ac:dyDescent="0.3">
      <c r="E237" t="s">
        <v>1535</v>
      </c>
      <c r="F237" s="1"/>
      <c r="G237" s="14">
        <f t="shared" si="30"/>
        <v>142.5</v>
      </c>
      <c r="H237" s="14">
        <f>AA7</f>
        <v>4.37</v>
      </c>
      <c r="I237" s="14">
        <f t="shared" si="27"/>
        <v>622.72500000000002</v>
      </c>
      <c r="J237" s="5"/>
      <c r="K237" s="14">
        <f>AD7</f>
        <v>63.8</v>
      </c>
      <c r="L237">
        <f t="shared" si="31"/>
        <v>9091.5</v>
      </c>
      <c r="M237" s="5"/>
      <c r="P237" s="14">
        <f>AI7</f>
        <v>3.368E-4</v>
      </c>
      <c r="Q237">
        <f t="shared" si="28"/>
        <v>4.7994000000000002E-2</v>
      </c>
      <c r="R237" s="5"/>
      <c r="S237" s="14">
        <f>AL7</f>
        <v>1.192E-2</v>
      </c>
      <c r="T237">
        <f t="shared" si="29"/>
        <v>1.6986000000000001</v>
      </c>
      <c r="U237" s="5"/>
      <c r="AN237" s="5"/>
      <c r="AO237" s="5"/>
      <c r="AV237" s="5"/>
      <c r="AX237" s="5"/>
      <c r="BB237" s="6"/>
      <c r="BC237" s="5"/>
    </row>
    <row r="238" spans="1:55" x14ac:dyDescent="0.3">
      <c r="E238" t="s">
        <v>1511</v>
      </c>
      <c r="F238" s="1"/>
      <c r="G238" s="14">
        <f t="shared" si="30"/>
        <v>142.5</v>
      </c>
      <c r="H238" s="14">
        <f>AA31</f>
        <v>1.6</v>
      </c>
      <c r="I238" s="14">
        <f t="shared" si="27"/>
        <v>228</v>
      </c>
      <c r="J238" s="5"/>
      <c r="K238" s="14">
        <f>AD31</f>
        <v>27.8</v>
      </c>
      <c r="L238">
        <f t="shared" si="31"/>
        <v>3961.5</v>
      </c>
      <c r="M238" s="5"/>
      <c r="P238" s="14">
        <f>AI31</f>
        <v>0</v>
      </c>
      <c r="Q238">
        <f t="shared" si="28"/>
        <v>0</v>
      </c>
      <c r="R238" s="5"/>
      <c r="S238" s="14">
        <f>AL31</f>
        <v>0</v>
      </c>
      <c r="T238">
        <f t="shared" si="29"/>
        <v>0</v>
      </c>
      <c r="U238" s="5"/>
      <c r="AN238" s="5"/>
      <c r="AO238" s="5"/>
      <c r="AV238" s="5"/>
      <c r="AX238" s="5"/>
      <c r="BB238" s="6"/>
      <c r="BC238" s="5"/>
    </row>
    <row r="239" spans="1:55" x14ac:dyDescent="0.3">
      <c r="E239" t="s">
        <v>25</v>
      </c>
      <c r="F239" s="1"/>
      <c r="G239" s="14">
        <f t="shared" si="30"/>
        <v>142.5</v>
      </c>
      <c r="H239" s="14">
        <f>AA25</f>
        <v>2.23</v>
      </c>
      <c r="I239" s="14">
        <f t="shared" si="27"/>
        <v>317.77499999999998</v>
      </c>
      <c r="J239" s="5"/>
      <c r="K239" s="14">
        <f>AD25</f>
        <v>37.6</v>
      </c>
      <c r="L239">
        <f t="shared" si="31"/>
        <v>5358</v>
      </c>
      <c r="M239" s="5"/>
      <c r="P239" s="14">
        <f>AI25</f>
        <v>0</v>
      </c>
      <c r="Q239">
        <f t="shared" si="28"/>
        <v>0</v>
      </c>
      <c r="R239" s="5"/>
      <c r="S239" s="14">
        <f>AL25</f>
        <v>0</v>
      </c>
      <c r="T239">
        <f t="shared" si="29"/>
        <v>0</v>
      </c>
      <c r="U239" s="5"/>
      <c r="AN239" s="5"/>
      <c r="AO239" s="5"/>
      <c r="AV239" s="5"/>
      <c r="AX239" s="5"/>
      <c r="BB239" s="6"/>
      <c r="BC239" s="5"/>
    </row>
    <row r="240" spans="1:55" x14ac:dyDescent="0.3">
      <c r="D240" t="s">
        <v>1536</v>
      </c>
      <c r="F240" s="1"/>
      <c r="G240" s="14">
        <f t="shared" si="30"/>
        <v>0</v>
      </c>
      <c r="I240" s="14">
        <f t="shared" si="27"/>
        <v>0</v>
      </c>
      <c r="J240" s="5"/>
      <c r="L240">
        <f t="shared" si="31"/>
        <v>0</v>
      </c>
      <c r="M240" s="5"/>
      <c r="Q240">
        <f t="shared" si="28"/>
        <v>0</v>
      </c>
      <c r="R240" s="5"/>
      <c r="T240">
        <f t="shared" si="29"/>
        <v>0</v>
      </c>
      <c r="U240" s="5"/>
      <c r="AN240" s="5"/>
      <c r="AO240" s="5"/>
      <c r="AV240" s="5"/>
      <c r="AX240" s="5"/>
      <c r="BB240" s="6"/>
      <c r="BC240" s="5"/>
    </row>
    <row r="241" spans="1:55" x14ac:dyDescent="0.3">
      <c r="E241" t="s">
        <v>1535</v>
      </c>
      <c r="F241" s="1"/>
      <c r="G241" s="14">
        <f t="shared" si="30"/>
        <v>14130</v>
      </c>
      <c r="H241" s="14">
        <f>AA7</f>
        <v>4.37</v>
      </c>
      <c r="I241" s="14">
        <f t="shared" si="27"/>
        <v>61748.1</v>
      </c>
      <c r="J241" s="5"/>
      <c r="K241" s="14">
        <f>AD7</f>
        <v>63.8</v>
      </c>
      <c r="L241">
        <f t="shared" si="31"/>
        <v>901494</v>
      </c>
      <c r="M241" s="5"/>
      <c r="P241" s="14">
        <f>AI7</f>
        <v>3.368E-4</v>
      </c>
      <c r="Q241">
        <f t="shared" si="28"/>
        <v>4.7589839999999999</v>
      </c>
      <c r="R241" s="5"/>
      <c r="S241" s="14">
        <f>AL7</f>
        <v>1.192E-2</v>
      </c>
      <c r="T241">
        <f t="shared" si="29"/>
        <v>168.42959999999999</v>
      </c>
      <c r="U241" s="5"/>
      <c r="AN241" s="5"/>
      <c r="AO241" s="5"/>
      <c r="AV241" s="5"/>
      <c r="AX241" s="5"/>
      <c r="BB241" s="6"/>
      <c r="BC241" s="5"/>
    </row>
    <row r="242" spans="1:55" x14ac:dyDescent="0.3">
      <c r="E242" t="s">
        <v>25</v>
      </c>
      <c r="F242" s="1"/>
      <c r="G242" s="14">
        <f t="shared" si="30"/>
        <v>14130</v>
      </c>
      <c r="H242" s="14">
        <f>AA25</f>
        <v>2.23</v>
      </c>
      <c r="I242" s="14">
        <f t="shared" si="27"/>
        <v>31509.9</v>
      </c>
      <c r="J242" s="5"/>
      <c r="K242" s="14">
        <f>AD25</f>
        <v>37.6</v>
      </c>
      <c r="L242">
        <f t="shared" si="31"/>
        <v>531288</v>
      </c>
      <c r="M242" s="5"/>
      <c r="P242" s="14">
        <f>AI25</f>
        <v>0</v>
      </c>
      <c r="Q242">
        <f t="shared" si="28"/>
        <v>0</v>
      </c>
      <c r="R242" s="5"/>
      <c r="S242" s="14">
        <f>AL25</f>
        <v>0</v>
      </c>
      <c r="T242">
        <f t="shared" si="29"/>
        <v>0</v>
      </c>
      <c r="U242" s="5"/>
      <c r="AN242" s="5"/>
      <c r="AO242" s="5"/>
      <c r="AV242" s="5"/>
      <c r="AX242" s="5"/>
      <c r="BB242" s="6"/>
      <c r="BC242" s="5"/>
    </row>
    <row r="243" spans="1:55" x14ac:dyDescent="0.3">
      <c r="F243" s="1"/>
      <c r="J243" s="5"/>
      <c r="M243" s="5"/>
      <c r="R243" s="5"/>
      <c r="U243" s="5"/>
      <c r="AN243" s="5"/>
      <c r="AO243" s="5"/>
      <c r="AV243" s="5"/>
      <c r="AX243" s="5"/>
      <c r="BB243" s="6"/>
      <c r="BC243" s="5"/>
    </row>
    <row r="244" spans="1:55" s="12" customFormat="1" x14ac:dyDescent="0.3">
      <c r="A244"/>
      <c r="C244" s="12" t="s">
        <v>1050</v>
      </c>
      <c r="F244" s="68"/>
      <c r="G244" s="12">
        <f>G245+G264+G270+G274+G281+G316</f>
        <v>96531.125</v>
      </c>
      <c r="I244" s="12">
        <f t="shared" si="14"/>
        <v>0</v>
      </c>
      <c r="J244" s="13"/>
      <c r="M244" s="13"/>
      <c r="Q244" s="12">
        <f t="shared" ref="Q244:Q279" si="32">P244*G244</f>
        <v>0</v>
      </c>
      <c r="R244" s="13"/>
      <c r="U244" s="13"/>
      <c r="AN244" s="13"/>
      <c r="AO244" s="13"/>
      <c r="AV244" s="13"/>
      <c r="AX244" s="13"/>
      <c r="BB244" s="73"/>
      <c r="BC244" s="13"/>
    </row>
    <row r="245" spans="1:55" s="9" customFormat="1" x14ac:dyDescent="0.3">
      <c r="A245"/>
      <c r="D245" s="9" t="s">
        <v>21</v>
      </c>
      <c r="F245" s="67"/>
      <c r="G245" s="43">
        <f>AF118</f>
        <v>16700</v>
      </c>
      <c r="I245" s="9">
        <f t="shared" si="14"/>
        <v>0</v>
      </c>
      <c r="J245" s="11">
        <f>SUM(I246:I258)</f>
        <v>64315.131033879792</v>
      </c>
      <c r="M245" s="11">
        <f>SUM(L246:L258)</f>
        <v>966300.42870171694</v>
      </c>
      <c r="Q245" s="9">
        <f t="shared" si="32"/>
        <v>0</v>
      </c>
      <c r="R245" s="11">
        <f>SUM(Q246:Q258)</f>
        <v>117.47748501355342</v>
      </c>
      <c r="U245" s="11">
        <f>SUM(T246:T258)</f>
        <v>254.95765748270415</v>
      </c>
      <c r="X245" s="9">
        <f>G245</f>
        <v>16700</v>
      </c>
      <c r="Y245" s="9" t="str">
        <f>$X$80</f>
        <v>ship ferry</v>
      </c>
      <c r="Z245" s="9">
        <f>$F$19</f>
        <v>2000</v>
      </c>
      <c r="AA245" s="9">
        <f>$AA$80</f>
        <v>0.109</v>
      </c>
      <c r="AB245" s="9">
        <f>AA245*Z245*X245/1000</f>
        <v>3640.6</v>
      </c>
      <c r="AC245" s="9">
        <f>$AD$80</f>
        <v>1.5</v>
      </c>
      <c r="AD245" s="9">
        <f>AC245*Z245*X245/1000</f>
        <v>50100</v>
      </c>
      <c r="AF245" s="9" t="s">
        <v>61</v>
      </c>
      <c r="AG245" s="9">
        <f>$G$19</f>
        <v>500</v>
      </c>
      <c r="AH245" s="9">
        <f>$AA$78</f>
        <v>8.9976823999999997E-2</v>
      </c>
      <c r="AI245" s="9">
        <f>AH245*AG245*X245/1000</f>
        <v>751.30648040000005</v>
      </c>
      <c r="AJ245" s="9">
        <f>$AD$78</f>
        <v>1.52</v>
      </c>
      <c r="AK245" s="9">
        <f>AJ245*AG245*X245/1000</f>
        <v>12692</v>
      </c>
      <c r="AN245" s="11">
        <f>AI245+AB245</f>
        <v>4391.9064804</v>
      </c>
      <c r="AO245" s="11">
        <f>AD245+AK245</f>
        <v>62792</v>
      </c>
      <c r="AS245" s="9" t="s">
        <v>161</v>
      </c>
      <c r="AT245" s="9">
        <f>$G$21</f>
        <v>200</v>
      </c>
      <c r="AU245" s="9">
        <f>$AA$78</f>
        <v>8.9976823999999997E-2</v>
      </c>
      <c r="AV245" s="11">
        <f>(AU245*AT245*X245)/1000</f>
        <v>300.52259215999999</v>
      </c>
      <c r="AW245" s="9">
        <f>$AD$78</f>
        <v>1.52</v>
      </c>
      <c r="AX245" s="11">
        <f>(AW245*AT245*X245)/1000</f>
        <v>5076.8</v>
      </c>
      <c r="BB245" s="74">
        <f>AV245+AN245+R245+J245</f>
        <v>69125.037591453351</v>
      </c>
      <c r="BC245" s="11">
        <f>AX245+AO245+U245+M245</f>
        <v>1034424.1863591997</v>
      </c>
    </row>
    <row r="246" spans="1:55" x14ac:dyDescent="0.3">
      <c r="E246" t="s">
        <v>19</v>
      </c>
      <c r="F246" s="249">
        <v>0</v>
      </c>
      <c r="G246">
        <f>F246*G245</f>
        <v>0</v>
      </c>
      <c r="H246">
        <f>AA41</f>
        <v>7.96</v>
      </c>
      <c r="I246">
        <f t="shared" si="14"/>
        <v>0</v>
      </c>
      <c r="J246" s="5"/>
      <c r="K246">
        <f>AD41</f>
        <v>108</v>
      </c>
      <c r="L246">
        <f t="shared" ref="L246:L258" si="33">K246*G246</f>
        <v>0</v>
      </c>
      <c r="M246" s="5"/>
      <c r="P246">
        <f>AI41</f>
        <v>6.2E-2</v>
      </c>
      <c r="Q246">
        <f t="shared" si="32"/>
        <v>0</v>
      </c>
      <c r="R246" s="5"/>
      <c r="S246">
        <f>AL41</f>
        <v>3.1900000000000005E-2</v>
      </c>
      <c r="T246">
        <f t="shared" si="16"/>
        <v>0</v>
      </c>
      <c r="U246" s="5"/>
      <c r="AN246" s="5"/>
      <c r="AO246" s="5"/>
      <c r="AV246" s="5"/>
      <c r="AX246" s="5"/>
      <c r="BB246" s="6"/>
      <c r="BC246" s="5"/>
    </row>
    <row r="247" spans="1:55" x14ac:dyDescent="0.3">
      <c r="E247" t="s">
        <v>820</v>
      </c>
      <c r="F247" s="68"/>
      <c r="G247">
        <f t="shared" ref="G247:G254" si="34">AG121</f>
        <v>9521.2363960027506</v>
      </c>
      <c r="H247" s="14">
        <f>AA7</f>
        <v>4.37</v>
      </c>
      <c r="I247">
        <f t="shared" si="14"/>
        <v>41607.80305053202</v>
      </c>
      <c r="J247" s="5"/>
      <c r="K247" s="14">
        <f>AD7</f>
        <v>63.8</v>
      </c>
      <c r="L247">
        <f t="shared" si="33"/>
        <v>607454.88206497545</v>
      </c>
      <c r="M247" s="5"/>
      <c r="P247" s="14">
        <f>AI7</f>
        <v>3.368E-4</v>
      </c>
      <c r="Q247">
        <f t="shared" si="32"/>
        <v>3.2067524181737266</v>
      </c>
      <c r="R247" s="5"/>
      <c r="S247" s="14">
        <f>AL7</f>
        <v>1.192E-2</v>
      </c>
      <c r="T247">
        <f t="shared" si="16"/>
        <v>113.49313784035279</v>
      </c>
      <c r="U247" s="5"/>
      <c r="AN247" s="5"/>
      <c r="AO247" s="5"/>
      <c r="AV247" s="5"/>
      <c r="AX247" s="5"/>
      <c r="BB247" s="6"/>
      <c r="BC247" s="5"/>
    </row>
    <row r="248" spans="1:55" x14ac:dyDescent="0.3">
      <c r="E248" t="s">
        <v>114</v>
      </c>
      <c r="F248" s="68"/>
      <c r="G248">
        <f t="shared" si="34"/>
        <v>1786.4142088441154</v>
      </c>
      <c r="H248" s="14">
        <f>AA10</f>
        <v>2.02</v>
      </c>
      <c r="I248">
        <f t="shared" si="14"/>
        <v>3608.5567018651132</v>
      </c>
      <c r="J248" s="5"/>
      <c r="K248" s="14">
        <f>AD10</f>
        <v>25.2</v>
      </c>
      <c r="L248">
        <f t="shared" si="33"/>
        <v>45017.638062871709</v>
      </c>
      <c r="M248" s="5"/>
      <c r="P248" s="14">
        <f>AI10</f>
        <v>3.368E-4</v>
      </c>
      <c r="Q248">
        <f t="shared" si="32"/>
        <v>0.6016643055386981</v>
      </c>
      <c r="R248" s="5"/>
      <c r="S248" s="14">
        <f>AL10</f>
        <v>1.192E-2</v>
      </c>
      <c r="T248">
        <f t="shared" si="16"/>
        <v>21.294057369421854</v>
      </c>
      <c r="U248" s="5"/>
      <c r="AN248" s="5"/>
      <c r="AO248" s="5"/>
      <c r="AV248" s="5"/>
      <c r="AX248" s="5"/>
      <c r="BB248" s="6"/>
      <c r="BC248" s="5"/>
    </row>
    <row r="249" spans="1:55" x14ac:dyDescent="0.3">
      <c r="E249" t="s">
        <v>113</v>
      </c>
      <c r="F249" s="68"/>
      <c r="G249">
        <f t="shared" si="34"/>
        <v>1869.5189545656835</v>
      </c>
      <c r="H249" s="14">
        <f>AA8</f>
        <v>4.63</v>
      </c>
      <c r="I249">
        <f t="shared" si="14"/>
        <v>8655.8727596391145</v>
      </c>
      <c r="J249" s="5"/>
      <c r="K249" s="14">
        <f>AD8</f>
        <v>69.3</v>
      </c>
      <c r="L249">
        <f t="shared" si="33"/>
        <v>129557.66355140187</v>
      </c>
      <c r="M249" s="5"/>
      <c r="P249" s="14">
        <f>AI8</f>
        <v>4.9599999999999998E-2</v>
      </c>
      <c r="Q249">
        <f t="shared" si="32"/>
        <v>92.728140146457903</v>
      </c>
      <c r="R249" s="5"/>
      <c r="S249" s="14">
        <f>AL8</f>
        <v>2.5520000000000001E-2</v>
      </c>
      <c r="T249">
        <f t="shared" si="16"/>
        <v>47.710123720516243</v>
      </c>
      <c r="U249" s="5"/>
      <c r="AN249" s="5"/>
      <c r="AO249" s="5"/>
      <c r="AV249" s="5"/>
      <c r="AX249" s="5"/>
      <c r="BB249" s="6"/>
      <c r="BC249" s="5"/>
    </row>
    <row r="250" spans="1:55" x14ac:dyDescent="0.3">
      <c r="E250" t="s">
        <v>110</v>
      </c>
      <c r="F250" s="68"/>
      <c r="G250">
        <f t="shared" si="34"/>
        <v>1879.6536796536798</v>
      </c>
      <c r="H250" s="14">
        <f>AA12</f>
        <v>2.1795</v>
      </c>
      <c r="I250">
        <f t="shared" si="14"/>
        <v>4096.7051948051949</v>
      </c>
      <c r="J250" s="5"/>
      <c r="K250" s="14">
        <f>AD12</f>
        <v>26.945</v>
      </c>
      <c r="L250">
        <f t="shared" si="33"/>
        <v>50647.268398268403</v>
      </c>
      <c r="M250" s="5"/>
      <c r="P250" s="14">
        <f>AI12</f>
        <v>3.368E-4</v>
      </c>
      <c r="Q250">
        <f t="shared" si="32"/>
        <v>0.63306735930735936</v>
      </c>
      <c r="R250" s="5"/>
      <c r="S250" s="14">
        <f>AL12</f>
        <v>1.192E-2</v>
      </c>
      <c r="T250">
        <f t="shared" si="16"/>
        <v>22.405471861471863</v>
      </c>
      <c r="U250" s="5"/>
      <c r="AN250" s="5"/>
      <c r="AO250" s="5"/>
      <c r="AV250" s="5"/>
      <c r="AX250" s="5"/>
      <c r="BB250" s="6"/>
      <c r="BC250" s="5"/>
    </row>
    <row r="251" spans="1:55" x14ac:dyDescent="0.3">
      <c r="E251" t="s">
        <v>23</v>
      </c>
      <c r="F251" s="68"/>
      <c r="G251">
        <f t="shared" si="34"/>
        <v>310.79823603188089</v>
      </c>
      <c r="H251" s="14">
        <f>AA6</f>
        <v>1.7</v>
      </c>
      <c r="I251">
        <f t="shared" si="14"/>
        <v>528.35700125419748</v>
      </c>
      <c r="J251" s="5"/>
      <c r="K251" s="14">
        <f>AD6</f>
        <v>22</v>
      </c>
      <c r="L251">
        <f t="shared" si="33"/>
        <v>6837.5611927013797</v>
      </c>
      <c r="M251" s="5"/>
      <c r="P251" s="14">
        <f>AI6</f>
        <v>4.9599999999999998E-2</v>
      </c>
      <c r="Q251">
        <f t="shared" si="32"/>
        <v>15.415592507181291</v>
      </c>
      <c r="R251" s="5"/>
      <c r="S251" s="14">
        <f>AL6</f>
        <v>2.5520000000000001E-2</v>
      </c>
      <c r="T251">
        <f t="shared" si="16"/>
        <v>7.931570983533601</v>
      </c>
      <c r="U251" s="5"/>
      <c r="AN251" s="5"/>
      <c r="AO251" s="5"/>
      <c r="AV251" s="5"/>
      <c r="AX251" s="5"/>
      <c r="BB251" s="6"/>
      <c r="BC251" s="5"/>
    </row>
    <row r="252" spans="1:55" x14ac:dyDescent="0.3">
      <c r="E252" t="s">
        <v>828</v>
      </c>
      <c r="F252" s="68"/>
      <c r="G252">
        <f t="shared" si="34"/>
        <v>260.12461059190031</v>
      </c>
      <c r="H252" s="14">
        <f>AA68</f>
        <v>1.85</v>
      </c>
      <c r="I252" s="14">
        <f t="shared" si="14"/>
        <v>481.23052959501558</v>
      </c>
      <c r="J252" s="5"/>
      <c r="K252" s="14">
        <f>AD68</f>
        <v>39.6</v>
      </c>
      <c r="L252">
        <f t="shared" si="33"/>
        <v>10300.934579439252</v>
      </c>
      <c r="M252" s="5"/>
      <c r="P252" s="14">
        <f>AI68</f>
        <v>4.2100000000000002E-3</v>
      </c>
      <c r="Q252">
        <f t="shared" si="32"/>
        <v>1.0951246105919004</v>
      </c>
      <c r="R252" s="5"/>
      <c r="S252" s="14">
        <f>AL68</f>
        <v>0.14899999999999999</v>
      </c>
      <c r="T252">
        <f t="shared" si="16"/>
        <v>38.758566978193144</v>
      </c>
      <c r="U252" s="5"/>
      <c r="AN252" s="5"/>
      <c r="AO252" s="5"/>
      <c r="AV252" s="5"/>
      <c r="AX252" s="5"/>
      <c r="BB252" s="6"/>
      <c r="BC252" s="5"/>
    </row>
    <row r="253" spans="1:55" x14ac:dyDescent="0.3">
      <c r="E253" t="s">
        <v>824</v>
      </c>
      <c r="F253" s="68"/>
      <c r="G253">
        <f t="shared" si="34"/>
        <v>4.0538900351984468</v>
      </c>
      <c r="H253" s="14">
        <f>AA67</f>
        <v>4.851355932203389</v>
      </c>
      <c r="I253">
        <f t="shared" si="14"/>
        <v>19.666863470760191</v>
      </c>
      <c r="J253" s="5"/>
      <c r="K253" s="14">
        <f>AD67</f>
        <v>108.06779661016948</v>
      </c>
      <c r="L253">
        <f t="shared" si="33"/>
        <v>438.09496380381853</v>
      </c>
      <c r="M253" s="5"/>
      <c r="P253">
        <f>AI67</f>
        <v>0.62</v>
      </c>
      <c r="Q253">
        <f t="shared" si="32"/>
        <v>2.5134118218230368</v>
      </c>
      <c r="R253" s="5"/>
      <c r="T253">
        <f t="shared" si="16"/>
        <v>0</v>
      </c>
      <c r="U253" s="5"/>
      <c r="AN253" s="5"/>
      <c r="AO253" s="5"/>
      <c r="AV253" s="5"/>
      <c r="AX253" s="5"/>
      <c r="BB253" s="6"/>
      <c r="BC253" s="5"/>
    </row>
    <row r="254" spans="1:55" x14ac:dyDescent="0.3">
      <c r="E254" t="s">
        <v>138</v>
      </c>
      <c r="F254" s="68"/>
      <c r="G254">
        <f t="shared" si="34"/>
        <v>13.51296678399482</v>
      </c>
      <c r="H254" s="14">
        <f>AA35</f>
        <v>5.6</v>
      </c>
      <c r="I254">
        <f t="shared" si="14"/>
        <v>75.672613990370991</v>
      </c>
      <c r="J254" s="5"/>
      <c r="K254" s="14">
        <f>AD35</f>
        <v>88</v>
      </c>
      <c r="L254">
        <f t="shared" si="33"/>
        <v>1189.1410769915442</v>
      </c>
      <c r="M254" s="5"/>
      <c r="P254" s="14">
        <f>AI35</f>
        <v>9.5000000000000001E-2</v>
      </c>
      <c r="Q254">
        <f t="shared" si="32"/>
        <v>1.2837318444795078</v>
      </c>
      <c r="R254" s="5"/>
      <c r="S254" s="14">
        <f>AL35</f>
        <v>0.249</v>
      </c>
      <c r="T254">
        <f t="shared" si="16"/>
        <v>3.3647287292147099</v>
      </c>
      <c r="U254" s="5"/>
      <c r="AN254" s="5"/>
      <c r="AO254" s="5"/>
      <c r="AV254" s="5"/>
      <c r="AX254" s="5"/>
      <c r="BB254" s="6"/>
      <c r="BC254" s="5"/>
    </row>
    <row r="255" spans="1:55" x14ac:dyDescent="0.3">
      <c r="D255">
        <f>AG129</f>
        <v>43538.778978031318</v>
      </c>
      <c r="E255" s="250" t="s">
        <v>821</v>
      </c>
      <c r="F255" s="68"/>
      <c r="G255">
        <f>D255</f>
        <v>43538.778978031318</v>
      </c>
      <c r="H255" s="14">
        <f>AA85</f>
        <v>8.9499999999999996E-2</v>
      </c>
      <c r="I255">
        <f t="shared" si="14"/>
        <v>3896.7207185338029</v>
      </c>
      <c r="J255" s="5"/>
      <c r="K255" s="14">
        <f>AD85</f>
        <v>2.23</v>
      </c>
      <c r="L255">
        <f t="shared" si="33"/>
        <v>97091.477121009841</v>
      </c>
      <c r="M255" s="5"/>
      <c r="P255" s="14">
        <f>AI85</f>
        <v>0</v>
      </c>
      <c r="Q255">
        <f t="shared" si="32"/>
        <v>0</v>
      </c>
      <c r="R255" s="5"/>
      <c r="S255" s="14">
        <f>AL85</f>
        <v>0</v>
      </c>
      <c r="T255">
        <f t="shared" si="16"/>
        <v>0</v>
      </c>
      <c r="U255" s="5"/>
      <c r="AN255" s="5"/>
      <c r="AO255" s="5"/>
      <c r="AV255" s="5"/>
      <c r="AX255" s="5"/>
      <c r="BB255" s="6"/>
      <c r="BC255" s="5"/>
    </row>
    <row r="256" spans="1:55" x14ac:dyDescent="0.3">
      <c r="D256">
        <f>AG130</f>
        <v>20188.372375288265</v>
      </c>
      <c r="E256" s="250" t="s">
        <v>819</v>
      </c>
      <c r="F256" s="68"/>
      <c r="G256">
        <f>D256</f>
        <v>20188.372375288265</v>
      </c>
      <c r="H256" s="14">
        <f>AA84</f>
        <v>6.6600000000000006E-2</v>
      </c>
      <c r="I256">
        <f t="shared" si="14"/>
        <v>1344.5456001941986</v>
      </c>
      <c r="J256" s="5"/>
      <c r="K256" s="14">
        <f>AD84</f>
        <v>0.88</v>
      </c>
      <c r="L256">
        <f t="shared" si="33"/>
        <v>17765.767690253673</v>
      </c>
      <c r="M256" s="5"/>
      <c r="P256" s="14">
        <f>AI84</f>
        <v>0</v>
      </c>
      <c r="Q256">
        <f t="shared" si="32"/>
        <v>0</v>
      </c>
      <c r="R256" s="5"/>
      <c r="S256" s="14">
        <f>AL84</f>
        <v>0</v>
      </c>
      <c r="T256">
        <f t="shared" si="16"/>
        <v>0</v>
      </c>
      <c r="U256" s="5"/>
      <c r="AN256" s="5"/>
      <c r="AO256" s="5"/>
      <c r="AV256" s="5"/>
      <c r="AX256" s="5"/>
      <c r="BB256" s="6"/>
      <c r="BC256" s="5"/>
    </row>
    <row r="257" spans="1:55" x14ac:dyDescent="0.3">
      <c r="D257">
        <f>AG131</f>
        <v>1869.5189545656835</v>
      </c>
      <c r="E257" s="250" t="s">
        <v>124</v>
      </c>
      <c r="F257" s="68"/>
      <c r="G257">
        <v>0</v>
      </c>
      <c r="H257" s="14">
        <f>AA21</f>
        <v>0.5</v>
      </c>
      <c r="I257">
        <f t="shared" si="14"/>
        <v>0</v>
      </c>
      <c r="J257" s="5"/>
      <c r="K257" s="14">
        <f>AD21</f>
        <v>9.5399999999999991</v>
      </c>
      <c r="L257">
        <f t="shared" si="33"/>
        <v>0</v>
      </c>
      <c r="M257" s="5"/>
      <c r="P257" s="14">
        <f>AI21</f>
        <v>0</v>
      </c>
      <c r="Q257">
        <f t="shared" si="32"/>
        <v>0</v>
      </c>
      <c r="R257" s="5"/>
      <c r="S257" s="14">
        <f>AL21</f>
        <v>0</v>
      </c>
      <c r="T257">
        <f t="shared" si="16"/>
        <v>0</v>
      </c>
      <c r="U257" s="5"/>
      <c r="AN257" s="5"/>
      <c r="AO257" s="5"/>
      <c r="AV257" s="5"/>
      <c r="AX257" s="5"/>
      <c r="BB257" s="6"/>
      <c r="BC257" s="5"/>
    </row>
    <row r="258" spans="1:55" x14ac:dyDescent="0.3">
      <c r="D258">
        <f>AG132</f>
        <v>9521.2363960027506</v>
      </c>
      <c r="E258" s="250" t="s">
        <v>822</v>
      </c>
      <c r="F258" s="68"/>
      <c r="G258">
        <v>0</v>
      </c>
      <c r="H258" s="14">
        <f>AA25</f>
        <v>2.23</v>
      </c>
      <c r="I258" s="14">
        <f t="shared" si="14"/>
        <v>0</v>
      </c>
      <c r="J258" s="5"/>
      <c r="K258" s="14">
        <f>AD25</f>
        <v>37.6</v>
      </c>
      <c r="L258">
        <f t="shared" si="33"/>
        <v>0</v>
      </c>
      <c r="M258" s="5"/>
      <c r="P258" s="14">
        <f>AI25</f>
        <v>0</v>
      </c>
      <c r="Q258">
        <f t="shared" si="32"/>
        <v>0</v>
      </c>
      <c r="R258" s="5"/>
      <c r="S258" s="14">
        <f>AL25</f>
        <v>0</v>
      </c>
      <c r="T258">
        <f t="shared" si="16"/>
        <v>0</v>
      </c>
      <c r="U258" s="5"/>
      <c r="AN258" s="5"/>
      <c r="AO258" s="5"/>
      <c r="AV258" s="5"/>
      <c r="AX258" s="5"/>
      <c r="BB258" s="6"/>
      <c r="BC258" s="5"/>
    </row>
    <row r="259" spans="1:55" x14ac:dyDescent="0.3">
      <c r="D259" t="s">
        <v>823</v>
      </c>
      <c r="F259" s="1"/>
      <c r="J259" s="5"/>
      <c r="M259" s="5"/>
      <c r="R259" s="5"/>
      <c r="U259" s="5"/>
      <c r="AN259" s="5"/>
      <c r="AO259" s="5"/>
      <c r="AV259" s="5"/>
      <c r="AX259" s="5"/>
      <c r="BB259" s="6"/>
      <c r="BC259" s="5"/>
    </row>
    <row r="260" spans="1:55" x14ac:dyDescent="0.3">
      <c r="F260" s="1"/>
      <c r="J260" s="5"/>
      <c r="M260" s="5"/>
      <c r="R260" s="5"/>
      <c r="U260" s="5"/>
      <c r="AN260" s="5"/>
      <c r="AO260" s="5"/>
      <c r="AV260" s="5"/>
      <c r="AX260" s="5"/>
      <c r="BB260" s="6"/>
      <c r="BC260" s="5"/>
    </row>
    <row r="261" spans="1:55" x14ac:dyDescent="0.3">
      <c r="F261" s="1"/>
      <c r="J261" s="5"/>
      <c r="M261" s="5"/>
      <c r="R261" s="5"/>
      <c r="U261" s="5"/>
      <c r="AN261" s="5"/>
      <c r="AO261" s="5"/>
      <c r="AV261" s="5"/>
      <c r="AX261" s="5"/>
      <c r="BB261" s="6"/>
      <c r="BC261" s="5"/>
    </row>
    <row r="262" spans="1:55" x14ac:dyDescent="0.3">
      <c r="F262" s="1"/>
      <c r="J262" s="5"/>
      <c r="M262" s="5"/>
      <c r="R262" s="5"/>
      <c r="U262" s="5"/>
      <c r="AN262" s="5"/>
      <c r="AO262" s="5"/>
      <c r="AV262" s="5"/>
      <c r="AX262" s="5"/>
      <c r="BB262" s="6"/>
      <c r="BC262" s="5"/>
    </row>
    <row r="263" spans="1:55" x14ac:dyDescent="0.3">
      <c r="F263" s="1"/>
      <c r="J263" s="5"/>
      <c r="M263" s="5"/>
      <c r="R263" s="5"/>
      <c r="U263" s="5"/>
      <c r="AN263" s="5"/>
      <c r="AO263" s="5"/>
      <c r="AV263" s="5"/>
      <c r="AX263" s="5"/>
      <c r="BB263" s="6"/>
      <c r="BC263" s="5"/>
    </row>
    <row r="264" spans="1:55" s="9" customFormat="1" x14ac:dyDescent="0.3">
      <c r="A264"/>
      <c r="D264" s="9" t="s">
        <v>22</v>
      </c>
      <c r="F264" s="67"/>
      <c r="G264" s="9">
        <f>AF111</f>
        <v>48600</v>
      </c>
      <c r="I264" s="9">
        <f t="shared" si="14"/>
        <v>0</v>
      </c>
      <c r="J264" s="11">
        <f>SUM(I265:I269)</f>
        <v>240842.16</v>
      </c>
      <c r="M264" s="11">
        <f>SUM(L265:L269)</f>
        <v>3678436.8</v>
      </c>
      <c r="Q264" s="9">
        <f t="shared" si="32"/>
        <v>0</v>
      </c>
      <c r="R264" s="11">
        <f>SUM(Q265:Q269)</f>
        <v>1218.08124</v>
      </c>
      <c r="U264" s="11">
        <f>SUM(T265:T269)</f>
        <v>921.89340000000016</v>
      </c>
      <c r="X264" s="9">
        <f>G264</f>
        <v>48600</v>
      </c>
      <c r="Y264" s="9" t="str">
        <f>$X$80</f>
        <v>ship ferry</v>
      </c>
      <c r="Z264" s="9">
        <f>$F$19</f>
        <v>2000</v>
      </c>
      <c r="AA264" s="9">
        <f>$AA$80</f>
        <v>0.109</v>
      </c>
      <c r="AB264" s="9">
        <f>AA264*Z264*X264/1000</f>
        <v>10594.8</v>
      </c>
      <c r="AC264" s="9">
        <f>$AD$80</f>
        <v>1.5</v>
      </c>
      <c r="AD264" s="9">
        <f>AC264*Z264*X264/1000</f>
        <v>145800</v>
      </c>
      <c r="AF264" s="9" t="s">
        <v>61</v>
      </c>
      <c r="AG264" s="9">
        <f>$G$19</f>
        <v>500</v>
      </c>
      <c r="AH264" s="9">
        <f>$AA$78</f>
        <v>8.9976823999999997E-2</v>
      </c>
      <c r="AI264" s="9">
        <f>AH264*AG264*X264/1000</f>
        <v>2186.4368232000002</v>
      </c>
      <c r="AJ264" s="9">
        <f>$AD$78</f>
        <v>1.52</v>
      </c>
      <c r="AK264" s="9">
        <f>AJ264*AG264*X264/1000</f>
        <v>36936</v>
      </c>
      <c r="AN264" s="11">
        <f>AI264+AB264</f>
        <v>12781.236823199999</v>
      </c>
      <c r="AO264" s="11">
        <f>AD264+AK264</f>
        <v>182736</v>
      </c>
      <c r="AS264" s="9" t="s">
        <v>161</v>
      </c>
      <c r="AT264" s="9">
        <f>$G$21</f>
        <v>200</v>
      </c>
      <c r="AU264" s="9">
        <f>$AA$78</f>
        <v>8.9976823999999997E-2</v>
      </c>
      <c r="AV264" s="11">
        <f>(AU264*AT264*X264)/1000</f>
        <v>874.57472928000004</v>
      </c>
      <c r="AW264" s="9">
        <f>$AD$78</f>
        <v>1.52</v>
      </c>
      <c r="AX264" s="11">
        <f>(AW264*AT264*X264)/1000</f>
        <v>14774.4</v>
      </c>
      <c r="BB264" s="74">
        <f>AV264+AN264+R264+J264</f>
        <v>255716.05279248001</v>
      </c>
      <c r="BC264" s="11">
        <f>AX264+AO264+U264+M264</f>
        <v>3876869.0933999997</v>
      </c>
    </row>
    <row r="265" spans="1:55" x14ac:dyDescent="0.3">
      <c r="E265" t="s">
        <v>23</v>
      </c>
      <c r="F265" s="1"/>
      <c r="G265">
        <f>AN107</f>
        <v>24300</v>
      </c>
      <c r="H265">
        <f>AA6</f>
        <v>1.7</v>
      </c>
      <c r="I265">
        <f t="shared" si="14"/>
        <v>41310</v>
      </c>
      <c r="J265" s="5"/>
      <c r="K265">
        <f>AD6</f>
        <v>22</v>
      </c>
      <c r="L265">
        <f>K265*G265</f>
        <v>534600</v>
      </c>
      <c r="M265" s="5"/>
      <c r="P265">
        <f>AI6</f>
        <v>4.9599999999999998E-2</v>
      </c>
      <c r="Q265">
        <f t="shared" si="32"/>
        <v>1205.28</v>
      </c>
      <c r="R265" s="5"/>
      <c r="S265">
        <f>AL6</f>
        <v>2.5520000000000001E-2</v>
      </c>
      <c r="T265">
        <f t="shared" si="16"/>
        <v>620.13600000000008</v>
      </c>
      <c r="U265" s="5"/>
      <c r="AN265" s="5"/>
      <c r="AO265" s="5"/>
      <c r="AV265" s="5"/>
      <c r="AX265" s="5"/>
      <c r="BB265" s="6"/>
      <c r="BC265" s="5"/>
    </row>
    <row r="266" spans="1:55" x14ac:dyDescent="0.3">
      <c r="E266" t="s">
        <v>24</v>
      </c>
      <c r="F266" s="1"/>
      <c r="G266">
        <f t="shared" ref="G266:G269" si="35">AN108</f>
        <v>24300</v>
      </c>
      <c r="H266">
        <f>AA7</f>
        <v>4.37</v>
      </c>
      <c r="I266">
        <f t="shared" si="14"/>
        <v>106191</v>
      </c>
      <c r="J266" s="5"/>
      <c r="K266">
        <f>AD7</f>
        <v>63.8</v>
      </c>
      <c r="L266">
        <f t="shared" ref="L266:L269" si="36">K266*G266</f>
        <v>1550340</v>
      </c>
      <c r="M266" s="5"/>
      <c r="P266">
        <f>AI7</f>
        <v>3.368E-4</v>
      </c>
      <c r="Q266">
        <f t="shared" si="32"/>
        <v>8.1842400000000008</v>
      </c>
      <c r="R266" s="5"/>
      <c r="S266">
        <f>AL7</f>
        <v>1.192E-2</v>
      </c>
      <c r="T266">
        <f t="shared" si="16"/>
        <v>289.65600000000001</v>
      </c>
      <c r="U266" s="5"/>
      <c r="AN266" s="5"/>
      <c r="AO266" s="5"/>
      <c r="AV266" s="5"/>
      <c r="AX266" s="5"/>
      <c r="BB266" s="6"/>
      <c r="BC266" s="5"/>
    </row>
    <row r="267" spans="1:55" x14ac:dyDescent="0.3">
      <c r="E267" s="20" t="s">
        <v>25</v>
      </c>
      <c r="F267" s="1"/>
      <c r="G267">
        <f t="shared" si="35"/>
        <v>24300</v>
      </c>
      <c r="H267">
        <f>AA25</f>
        <v>2.23</v>
      </c>
      <c r="I267">
        <f t="shared" si="14"/>
        <v>54189</v>
      </c>
      <c r="J267" s="5"/>
      <c r="K267">
        <f>AD25</f>
        <v>37.6</v>
      </c>
      <c r="L267">
        <f t="shared" si="36"/>
        <v>913680</v>
      </c>
      <c r="M267" s="5"/>
      <c r="P267">
        <f>AI25</f>
        <v>0</v>
      </c>
      <c r="Q267">
        <f t="shared" si="32"/>
        <v>0</v>
      </c>
      <c r="R267" s="5"/>
      <c r="S267">
        <f>AL25</f>
        <v>0</v>
      </c>
      <c r="T267">
        <f t="shared" si="16"/>
        <v>0</v>
      </c>
      <c r="U267" s="5"/>
      <c r="AN267" s="5"/>
      <c r="AO267" s="5"/>
      <c r="AV267" s="5"/>
      <c r="AX267" s="5"/>
      <c r="BB267" s="6"/>
      <c r="BC267" s="5"/>
    </row>
    <row r="268" spans="1:55" x14ac:dyDescent="0.3">
      <c r="E268" s="20" t="s">
        <v>1511</v>
      </c>
      <c r="F268" s="1"/>
      <c r="G268">
        <f t="shared" si="35"/>
        <v>24300</v>
      </c>
      <c r="H268" s="14">
        <f>AA31</f>
        <v>1.6</v>
      </c>
      <c r="I268">
        <f t="shared" si="14"/>
        <v>38880</v>
      </c>
      <c r="J268" s="5"/>
      <c r="K268" s="14">
        <f>AD31</f>
        <v>27.8</v>
      </c>
      <c r="L268">
        <f t="shared" si="36"/>
        <v>675540</v>
      </c>
      <c r="M268" s="5"/>
      <c r="P268" s="14">
        <f>AI31</f>
        <v>0</v>
      </c>
      <c r="Q268">
        <f t="shared" si="32"/>
        <v>0</v>
      </c>
      <c r="R268" s="5"/>
      <c r="S268" s="14">
        <f>AL31</f>
        <v>0</v>
      </c>
      <c r="T268">
        <f t="shared" si="16"/>
        <v>0</v>
      </c>
      <c r="U268" s="5"/>
      <c r="AN268" s="5"/>
      <c r="AO268" s="5"/>
      <c r="AV268" s="5"/>
      <c r="AX268" s="5"/>
      <c r="BB268" s="6"/>
      <c r="BC268" s="5"/>
    </row>
    <row r="269" spans="1:55" x14ac:dyDescent="0.3">
      <c r="E269" t="s">
        <v>138</v>
      </c>
      <c r="F269" s="1"/>
      <c r="G269">
        <f t="shared" si="35"/>
        <v>48.6</v>
      </c>
      <c r="H269" s="14">
        <f>AA35</f>
        <v>5.6</v>
      </c>
      <c r="I269">
        <f t="shared" si="14"/>
        <v>272.15999999999997</v>
      </c>
      <c r="J269" s="5"/>
      <c r="K269" s="14">
        <f>AD35</f>
        <v>88</v>
      </c>
      <c r="L269">
        <f t="shared" si="36"/>
        <v>4276.8</v>
      </c>
      <c r="M269" s="5"/>
      <c r="P269" s="14">
        <f>AI35</f>
        <v>9.5000000000000001E-2</v>
      </c>
      <c r="Q269">
        <f t="shared" si="32"/>
        <v>4.617</v>
      </c>
      <c r="R269" s="5"/>
      <c r="S269" s="14">
        <f>AL35</f>
        <v>0.249</v>
      </c>
      <c r="T269">
        <f t="shared" si="16"/>
        <v>12.1014</v>
      </c>
      <c r="U269" s="5"/>
      <c r="AN269" s="5"/>
      <c r="AO269" s="5"/>
      <c r="AV269" s="5"/>
      <c r="AX269" s="5"/>
      <c r="BB269" s="6"/>
      <c r="BC269" s="5"/>
    </row>
    <row r="270" spans="1:55" s="9" customFormat="1" x14ac:dyDescent="0.3">
      <c r="A270"/>
      <c r="D270" s="9" t="s">
        <v>26</v>
      </c>
      <c r="F270" s="67"/>
      <c r="G270" s="9">
        <f>AE160</f>
        <v>16877.125</v>
      </c>
      <c r="J270" s="11">
        <f>SUM(I271:I273)</f>
        <v>84385.625</v>
      </c>
      <c r="M270" s="11">
        <f>SUM(L271:L273)</f>
        <v>1488562.425</v>
      </c>
      <c r="R270" s="11">
        <f>SUM(Q271:Q273)</f>
        <v>1569.572625</v>
      </c>
      <c r="U270" s="11">
        <f>SUM(T271:T273)</f>
        <v>807.57043124999996</v>
      </c>
      <c r="X270" s="9">
        <f>G270</f>
        <v>16877.125</v>
      </c>
      <c r="Y270" s="9" t="str">
        <f>$X$80</f>
        <v>ship ferry</v>
      </c>
      <c r="Z270" s="9">
        <f>$F$19</f>
        <v>2000</v>
      </c>
      <c r="AA270" s="9">
        <f>$AA$80</f>
        <v>0.109</v>
      </c>
      <c r="AB270" s="9">
        <f>AA270*Z270*X270/1000</f>
        <v>3679.2132499999998</v>
      </c>
      <c r="AC270" s="9">
        <f>$AD$80</f>
        <v>1.5</v>
      </c>
      <c r="AD270" s="9">
        <f>AC270*Z270*X270/1000</f>
        <v>50631.375</v>
      </c>
      <c r="AF270" s="9" t="s">
        <v>61</v>
      </c>
      <c r="AG270" s="9">
        <f>$G$19</f>
        <v>500</v>
      </c>
      <c r="AH270" s="9">
        <f>$AA$78</f>
        <v>8.9976823999999997E-2</v>
      </c>
      <c r="AI270" s="9">
        <f>AH270*AG270*X270/1000</f>
        <v>759.27505287549991</v>
      </c>
      <c r="AJ270" s="9">
        <f>$AD$78</f>
        <v>1.52</v>
      </c>
      <c r="AK270" s="9">
        <f>AJ270*AG270*X270/1000</f>
        <v>12826.615</v>
      </c>
      <c r="AN270" s="11">
        <f>AI270+AB270</f>
        <v>4438.4883028754994</v>
      </c>
      <c r="AO270" s="11">
        <f>AD270+AK270</f>
        <v>63457.99</v>
      </c>
      <c r="AS270" s="9" t="s">
        <v>161</v>
      </c>
      <c r="AT270" s="9">
        <f>$G$21</f>
        <v>200</v>
      </c>
      <c r="AU270" s="9">
        <f>$AA$78</f>
        <v>8.9976823999999997E-2</v>
      </c>
      <c r="AV270" s="11">
        <f>(AU270*AT270*X270)/1000</f>
        <v>303.71002115019996</v>
      </c>
      <c r="AW270" s="9">
        <f>$AD$78</f>
        <v>1.52</v>
      </c>
      <c r="AX270" s="11">
        <f>(AW270*AT270*X270)/1000</f>
        <v>5130.6459999999997</v>
      </c>
      <c r="BB270" s="74">
        <f>AV270+AN270+R270+J270</f>
        <v>90697.395949025697</v>
      </c>
      <c r="BC270" s="11">
        <f>AX270+AO270+U270+M270</f>
        <v>1557958.6314312501</v>
      </c>
    </row>
    <row r="271" spans="1:55" x14ac:dyDescent="0.3">
      <c r="E271" t="s">
        <v>26</v>
      </c>
      <c r="F271" s="1">
        <v>1</v>
      </c>
      <c r="G271">
        <f>F271*G270</f>
        <v>16877.125</v>
      </c>
      <c r="H271">
        <f>AA40</f>
        <v>5</v>
      </c>
      <c r="I271">
        <f t="shared" si="14"/>
        <v>84385.625</v>
      </c>
      <c r="J271" s="5"/>
      <c r="K271">
        <f>AD40</f>
        <v>88.2</v>
      </c>
      <c r="L271">
        <f>K271*G271</f>
        <v>1488562.425</v>
      </c>
      <c r="M271" s="5"/>
      <c r="P271">
        <f>AI40</f>
        <v>9.2999999999999999E-2</v>
      </c>
      <c r="Q271">
        <f t="shared" si="32"/>
        <v>1569.572625</v>
      </c>
      <c r="R271" s="5"/>
      <c r="S271">
        <f>AL40</f>
        <v>4.7849999999999997E-2</v>
      </c>
      <c r="T271">
        <f t="shared" si="16"/>
        <v>807.57043124999996</v>
      </c>
      <c r="U271" s="5"/>
      <c r="AN271" s="5"/>
      <c r="AO271" s="5"/>
      <c r="AV271" s="5"/>
      <c r="AX271" s="5"/>
      <c r="BB271" s="6"/>
      <c r="BC271" s="5"/>
    </row>
    <row r="272" spans="1:55" x14ac:dyDescent="0.3">
      <c r="F272" s="1"/>
      <c r="I272">
        <f t="shared" si="14"/>
        <v>0</v>
      </c>
      <c r="J272" s="5"/>
      <c r="M272" s="5"/>
      <c r="Q272">
        <f t="shared" si="32"/>
        <v>0</v>
      </c>
      <c r="R272" s="5"/>
      <c r="T272">
        <f t="shared" si="16"/>
        <v>0</v>
      </c>
      <c r="U272" s="5"/>
      <c r="AN272" s="5"/>
      <c r="AO272" s="5"/>
      <c r="AV272" s="5"/>
      <c r="AX272" s="5"/>
      <c r="BB272" s="6"/>
      <c r="BC272" s="5"/>
    </row>
    <row r="273" spans="1:55" x14ac:dyDescent="0.3">
      <c r="F273" s="1"/>
      <c r="J273" s="5"/>
      <c r="M273" s="5"/>
      <c r="Q273">
        <f t="shared" si="32"/>
        <v>0</v>
      </c>
      <c r="R273" s="5"/>
      <c r="T273">
        <f t="shared" si="16"/>
        <v>0</v>
      </c>
      <c r="U273" s="5"/>
      <c r="AN273" s="5"/>
      <c r="AO273" s="5"/>
      <c r="AV273" s="5"/>
      <c r="AX273" s="5"/>
      <c r="BB273" s="6"/>
      <c r="BC273" s="5"/>
    </row>
    <row r="274" spans="1:55" s="9" customFormat="1" x14ac:dyDescent="0.3">
      <c r="A274"/>
      <c r="D274" s="43" t="s">
        <v>1051</v>
      </c>
      <c r="F274" s="67"/>
      <c r="G274" s="9">
        <f>V122</f>
        <v>3180</v>
      </c>
      <c r="J274" s="45">
        <f>SUM(I275:I280)</f>
        <v>19151.988746573759</v>
      </c>
      <c r="M274" s="45">
        <f>SUM(L275:L280)</f>
        <v>394075.12766170775</v>
      </c>
      <c r="Q274" s="9">
        <f t="shared" si="32"/>
        <v>0</v>
      </c>
      <c r="R274" s="45">
        <f>SUM(Q275:Q280)</f>
        <v>2691.9550451886003</v>
      </c>
      <c r="U274" s="45">
        <f>SUM(T275:T280)</f>
        <v>1453.2002640211801</v>
      </c>
      <c r="X274" s="9">
        <f>G274</f>
        <v>3180</v>
      </c>
      <c r="Y274" s="9" t="str">
        <f>$X$80</f>
        <v>ship ferry</v>
      </c>
      <c r="Z274" s="9">
        <f>$F$19</f>
        <v>2000</v>
      </c>
      <c r="AA274" s="9">
        <f>$AA$80</f>
        <v>0.109</v>
      </c>
      <c r="AB274" s="9">
        <f>AA274*Z274*X274/1000</f>
        <v>693.24</v>
      </c>
      <c r="AC274" s="9">
        <f>$AD$80</f>
        <v>1.5</v>
      </c>
      <c r="AD274" s="9">
        <f>AC274*Z274*X274/1000</f>
        <v>9540</v>
      </c>
      <c r="AF274" s="9" t="s">
        <v>61</v>
      </c>
      <c r="AG274" s="9">
        <f>$G$19</f>
        <v>500</v>
      </c>
      <c r="AH274" s="9">
        <f>$AA$78</f>
        <v>8.9976823999999997E-2</v>
      </c>
      <c r="AI274" s="9">
        <f>AH274*AG274*X274/1000</f>
        <v>143.06315015999999</v>
      </c>
      <c r="AJ274" s="9">
        <f>$AD$78</f>
        <v>1.52</v>
      </c>
      <c r="AK274" s="9">
        <f>AJ274*AG274*X274/1000</f>
        <v>2416.8000000000002</v>
      </c>
      <c r="AN274" s="11">
        <f>AI274+AB274</f>
        <v>836.30315015999997</v>
      </c>
      <c r="AO274" s="11">
        <f>AD274+AK274</f>
        <v>11956.8</v>
      </c>
      <c r="AS274" s="9" t="s">
        <v>161</v>
      </c>
      <c r="AT274" s="9">
        <f>$G$21</f>
        <v>200</v>
      </c>
      <c r="AU274" s="9">
        <f>$AA$78</f>
        <v>8.9976823999999997E-2</v>
      </c>
      <c r="AV274" s="11">
        <f>(AU274*AT274*X274)/1000</f>
        <v>57.225260064000004</v>
      </c>
      <c r="AW274" s="9">
        <f>$AD$78</f>
        <v>1.52</v>
      </c>
      <c r="AX274" s="11">
        <f>(AW274*AT274*X274)/1000</f>
        <v>966.72</v>
      </c>
      <c r="BB274" s="74">
        <f>AV274+AN274+R274+J274</f>
        <v>22737.472201986358</v>
      </c>
      <c r="BC274" s="11">
        <f>AX274+AO274+U274+M274</f>
        <v>408451.84792572894</v>
      </c>
    </row>
    <row r="275" spans="1:55" x14ac:dyDescent="0.3">
      <c r="D275" s="23"/>
      <c r="E275" t="s">
        <v>123</v>
      </c>
      <c r="F275" s="1"/>
      <c r="G275" s="14">
        <f>V123</f>
        <v>3021</v>
      </c>
      <c r="H275" s="14">
        <f>AA65</f>
        <v>4.4137059762711868</v>
      </c>
      <c r="I275" s="14">
        <f t="shared" ref="I275:I279" si="37">G275*H275</f>
        <v>13333.805754315255</v>
      </c>
      <c r="J275" s="5"/>
      <c r="K275" s="14">
        <f>AD65</f>
        <v>88.429673480225972</v>
      </c>
      <c r="L275">
        <f>K275*G275</f>
        <v>267146.04358376266</v>
      </c>
      <c r="M275" s="5"/>
      <c r="P275" s="14">
        <f>AI65</f>
        <v>0.62</v>
      </c>
      <c r="Q275">
        <f t="shared" si="32"/>
        <v>1873.02</v>
      </c>
      <c r="R275" s="5"/>
      <c r="S275" s="14">
        <f>AL65</f>
        <v>0.31900000000000001</v>
      </c>
      <c r="T275">
        <f t="shared" ref="T275:T279" si="38">S275*G275</f>
        <v>963.69900000000007</v>
      </c>
      <c r="U275" s="5"/>
      <c r="AN275" s="5"/>
      <c r="AO275" s="5"/>
      <c r="AV275" s="5"/>
      <c r="AX275" s="5"/>
      <c r="BB275" s="6"/>
      <c r="BC275" s="5"/>
    </row>
    <row r="276" spans="1:55" x14ac:dyDescent="0.3">
      <c r="D276" s="23"/>
      <c r="F276" s="1" t="s">
        <v>1489</v>
      </c>
      <c r="G276">
        <f>G275</f>
        <v>3021</v>
      </c>
      <c r="H276" s="14">
        <f>AA71</f>
        <v>0.36257759090847458</v>
      </c>
      <c r="I276" s="14">
        <f t="shared" si="37"/>
        <v>1095.3469021345018</v>
      </c>
      <c r="J276" s="5"/>
      <c r="K276" s="14">
        <f>AD71</f>
        <v>7.8680163387570623</v>
      </c>
      <c r="L276">
        <f t="shared" ref="L276:L277" si="39">K276*G276</f>
        <v>23769.277359385083</v>
      </c>
      <c r="M276" s="5"/>
      <c r="P276" s="14">
        <f>AI71</f>
        <v>9.8033978399999971E-2</v>
      </c>
      <c r="Q276">
        <f t="shared" si="32"/>
        <v>296.16064874639989</v>
      </c>
      <c r="R276" s="5"/>
      <c r="S276" s="14">
        <f>AL71</f>
        <v>5.0440063079999986E-2</v>
      </c>
      <c r="T276">
        <f t="shared" si="38"/>
        <v>152.37943056467995</v>
      </c>
      <c r="U276" s="5"/>
      <c r="AN276" s="5"/>
      <c r="AO276" s="5"/>
      <c r="AV276" s="5"/>
      <c r="AX276" s="5"/>
      <c r="BB276" s="6"/>
      <c r="BC276" s="5"/>
    </row>
    <row r="277" spans="1:55" x14ac:dyDescent="0.3">
      <c r="F277" s="1" t="s">
        <v>1552</v>
      </c>
      <c r="G277">
        <f>G275</f>
        <v>3021</v>
      </c>
      <c r="H277" s="14">
        <f>AA70</f>
        <v>1.396493244</v>
      </c>
      <c r="I277" s="14">
        <f t="shared" si="37"/>
        <v>4218.8060901239996</v>
      </c>
      <c r="J277" s="5"/>
      <c r="K277" s="14">
        <f>AD70</f>
        <v>31.584411360000001</v>
      </c>
      <c r="L277">
        <f t="shared" si="39"/>
        <v>95416.506718560006</v>
      </c>
      <c r="M277" s="5"/>
      <c r="P277" s="14">
        <f>AI70</f>
        <v>0.17302907820000002</v>
      </c>
      <c r="Q277">
        <f t="shared" si="32"/>
        <v>522.72084524220008</v>
      </c>
      <c r="R277" s="5"/>
      <c r="S277" s="14">
        <f>AL70</f>
        <v>0.11096542650000001</v>
      </c>
      <c r="T277">
        <f t="shared" si="38"/>
        <v>335.22655345650003</v>
      </c>
      <c r="U277" s="5"/>
      <c r="AN277" s="5"/>
      <c r="AO277" s="5"/>
      <c r="AV277" s="5"/>
      <c r="AX277" s="5"/>
      <c r="BB277" s="6"/>
      <c r="BC277" s="5"/>
    </row>
    <row r="278" spans="1:55" x14ac:dyDescent="0.3">
      <c r="E278" t="s">
        <v>301</v>
      </c>
      <c r="F278" s="1"/>
      <c r="G278">
        <f>V124</f>
        <v>159</v>
      </c>
      <c r="H278" s="14">
        <f>AA5</f>
        <v>1.57</v>
      </c>
      <c r="I278">
        <f t="shared" si="37"/>
        <v>249.63000000000002</v>
      </c>
      <c r="J278" s="5"/>
      <c r="K278" s="14">
        <f>AD5</f>
        <v>20.9</v>
      </c>
      <c r="L278">
        <f>K278*G278</f>
        <v>3323.1</v>
      </c>
      <c r="M278" s="5"/>
      <c r="P278" s="14">
        <f>AI5</f>
        <v>3.368E-4</v>
      </c>
      <c r="Q278">
        <f t="shared" si="32"/>
        <v>5.35512E-2</v>
      </c>
      <c r="R278" s="5"/>
      <c r="S278" s="14">
        <f>AL5</f>
        <v>1.192E-2</v>
      </c>
      <c r="T278">
        <f t="shared" si="38"/>
        <v>1.8952800000000001</v>
      </c>
      <c r="U278" s="5"/>
      <c r="AN278" s="5"/>
      <c r="AO278" s="5"/>
      <c r="AV278" s="5"/>
      <c r="AX278" s="5"/>
      <c r="BB278" s="6"/>
      <c r="BC278" s="5"/>
    </row>
    <row r="279" spans="1:55" x14ac:dyDescent="0.3">
      <c r="E279" s="250" t="s">
        <v>7</v>
      </c>
      <c r="F279" s="1"/>
      <c r="G279">
        <f>V125</f>
        <v>159</v>
      </c>
      <c r="H279" s="14">
        <f>AA24</f>
        <v>1.6</v>
      </c>
      <c r="I279">
        <f t="shared" si="37"/>
        <v>254.4</v>
      </c>
      <c r="J279" s="5"/>
      <c r="K279" s="14">
        <f>AD24</f>
        <v>27.8</v>
      </c>
      <c r="L279">
        <f t="shared" ref="L279" si="40">K279*G279</f>
        <v>4420.2</v>
      </c>
      <c r="M279" s="5"/>
      <c r="P279" s="14">
        <f>AI24</f>
        <v>0</v>
      </c>
      <c r="Q279">
        <f t="shared" si="32"/>
        <v>0</v>
      </c>
      <c r="R279" s="5"/>
      <c r="S279" s="14">
        <f>AL24</f>
        <v>0</v>
      </c>
      <c r="T279">
        <f t="shared" si="38"/>
        <v>0</v>
      </c>
      <c r="U279" s="5"/>
      <c r="AN279" s="5"/>
      <c r="AO279" s="5"/>
      <c r="AV279" s="5"/>
      <c r="AX279" s="5"/>
      <c r="BB279" s="6"/>
      <c r="BC279" s="5"/>
    </row>
    <row r="280" spans="1:55" x14ac:dyDescent="0.3">
      <c r="F280" s="1"/>
      <c r="H280" s="14"/>
      <c r="J280" s="5"/>
      <c r="K280" s="14"/>
      <c r="M280" s="5"/>
      <c r="P280" s="14"/>
      <c r="R280" s="5"/>
      <c r="S280" s="14"/>
      <c r="U280" s="5"/>
      <c r="AN280" s="5"/>
      <c r="AO280" s="5"/>
      <c r="AV280" s="5"/>
      <c r="AX280" s="5"/>
      <c r="BB280" s="6"/>
      <c r="BC280" s="5"/>
    </row>
    <row r="281" spans="1:55" s="9" customFormat="1" x14ac:dyDescent="0.3">
      <c r="A281"/>
      <c r="D281" s="43" t="s">
        <v>1052</v>
      </c>
      <c r="F281" s="67"/>
      <c r="G281" s="9">
        <f>V131</f>
        <v>6174</v>
      </c>
      <c r="J281" s="11">
        <f>SUM(I282:I290)</f>
        <v>40528</v>
      </c>
      <c r="M281" s="11">
        <f>SUM(L282:L290)</f>
        <v>611451.6</v>
      </c>
      <c r="R281" s="11">
        <f>SUM(Q282:Q290)</f>
        <v>67.663451199999983</v>
      </c>
      <c r="U281" s="11">
        <f>SUM(T282:T290)</f>
        <v>93.946879999999993</v>
      </c>
      <c r="X281" s="9">
        <f>G281</f>
        <v>6174</v>
      </c>
      <c r="Y281" s="9" t="str">
        <f>$X$80</f>
        <v>ship ferry</v>
      </c>
      <c r="Z281" s="9">
        <f>$F$19</f>
        <v>2000</v>
      </c>
      <c r="AA281" s="9">
        <f>$AA$80</f>
        <v>0.109</v>
      </c>
      <c r="AB281" s="9">
        <f>AA281*Z281*X281/1000</f>
        <v>1345.932</v>
      </c>
      <c r="AC281" s="9">
        <f>$AD$80</f>
        <v>1.5</v>
      </c>
      <c r="AD281" s="9">
        <f>AC281*Z281*X281/1000</f>
        <v>18522</v>
      </c>
      <c r="AF281" s="9" t="s">
        <v>61</v>
      </c>
      <c r="AG281" s="9">
        <f>$G$19</f>
        <v>500</v>
      </c>
      <c r="AH281" s="9">
        <f>$AA$78</f>
        <v>8.9976823999999997E-2</v>
      </c>
      <c r="AI281" s="9">
        <f>AH281*AG281*X281/1000</f>
        <v>277.75845568799997</v>
      </c>
      <c r="AJ281" s="9">
        <f>$AD$78</f>
        <v>1.52</v>
      </c>
      <c r="AK281" s="9">
        <f>AJ281*AG281*X281/1000</f>
        <v>4692.24</v>
      </c>
      <c r="AN281" s="11">
        <f>AI281+AB281</f>
        <v>1623.6904556879999</v>
      </c>
      <c r="AO281" s="11">
        <f>AD281+AK281</f>
        <v>23214.239999999998</v>
      </c>
      <c r="AS281" s="9" t="s">
        <v>161</v>
      </c>
      <c r="AT281" s="9">
        <f>$G$21</f>
        <v>200</v>
      </c>
      <c r="AU281" s="9">
        <f>$AA$78</f>
        <v>8.9976823999999997E-2</v>
      </c>
      <c r="AV281" s="11">
        <f>(AU281*AT281*X281)/1000</f>
        <v>111.10338227520002</v>
      </c>
      <c r="AW281" s="9">
        <f>$AD$78</f>
        <v>1.52</v>
      </c>
      <c r="AX281" s="11">
        <f>(AW281*AT281*X281)/1000</f>
        <v>1876.896</v>
      </c>
      <c r="BB281" s="74">
        <f>AV281+AN281+R281+J281</f>
        <v>42330.457289163198</v>
      </c>
      <c r="BC281" s="11">
        <f>AX281+AO281+U281+M281</f>
        <v>636636.68287999998</v>
      </c>
    </row>
    <row r="282" spans="1:55" x14ac:dyDescent="0.3">
      <c r="D282" s="38" t="s">
        <v>1529</v>
      </c>
      <c r="F282" s="1"/>
      <c r="J282" s="5"/>
      <c r="M282" s="5"/>
      <c r="R282" s="5"/>
      <c r="U282" s="5"/>
      <c r="AN282" s="5"/>
      <c r="AO282" s="5"/>
      <c r="AV282" s="5"/>
      <c r="AX282" s="5"/>
      <c r="BB282" s="6"/>
      <c r="BC282" s="5"/>
    </row>
    <row r="283" spans="1:55" x14ac:dyDescent="0.3">
      <c r="D283" s="23"/>
      <c r="E283" t="s">
        <v>19</v>
      </c>
      <c r="F283" s="1"/>
      <c r="G283">
        <f>V133</f>
        <v>760</v>
      </c>
      <c r="H283" s="14">
        <f>AA41</f>
        <v>7.96</v>
      </c>
      <c r="I283" s="14">
        <f t="shared" ref="I283:I284" si="41">G283*H283</f>
        <v>6049.6</v>
      </c>
      <c r="J283" s="5"/>
      <c r="K283" s="14">
        <f>AD41</f>
        <v>108</v>
      </c>
      <c r="L283">
        <f>K283*G283</f>
        <v>82080</v>
      </c>
      <c r="M283" s="5"/>
      <c r="P283" s="14">
        <f>AI41</f>
        <v>6.2E-2</v>
      </c>
      <c r="Q283">
        <f t="shared" ref="Q283:Q290" si="42">P283*G283</f>
        <v>47.12</v>
      </c>
      <c r="R283" s="5"/>
      <c r="S283" s="14">
        <f>AL41</f>
        <v>3.1900000000000005E-2</v>
      </c>
      <c r="T283">
        <f t="shared" ref="T283:T290" si="43">S283*G283</f>
        <v>24.244000000000003</v>
      </c>
      <c r="U283" s="5"/>
      <c r="AN283" s="5"/>
      <c r="AO283" s="5"/>
      <c r="AV283" s="5"/>
      <c r="AX283" s="5"/>
      <c r="BB283" s="6"/>
      <c r="BC283" s="5"/>
    </row>
    <row r="284" spans="1:55" x14ac:dyDescent="0.3">
      <c r="E284" t="s">
        <v>23</v>
      </c>
      <c r="F284" s="1"/>
      <c r="G284" s="14">
        <f>V134</f>
        <v>380</v>
      </c>
      <c r="H284" s="14">
        <f>AA6</f>
        <v>1.7</v>
      </c>
      <c r="I284">
        <f t="shared" si="41"/>
        <v>646</v>
      </c>
      <c r="J284" s="5"/>
      <c r="K284" s="14">
        <f>AD6</f>
        <v>22</v>
      </c>
      <c r="L284">
        <f>K284*G284</f>
        <v>8360</v>
      </c>
      <c r="M284" s="5"/>
      <c r="P284" s="14">
        <f>AI6</f>
        <v>4.9599999999999998E-2</v>
      </c>
      <c r="Q284">
        <f t="shared" si="42"/>
        <v>18.847999999999999</v>
      </c>
      <c r="R284" s="5"/>
      <c r="S284" s="14">
        <f>AL6</f>
        <v>2.5520000000000001E-2</v>
      </c>
      <c r="T284">
        <f t="shared" si="43"/>
        <v>9.6975999999999996</v>
      </c>
      <c r="U284" s="5"/>
      <c r="AN284" s="5"/>
      <c r="AO284" s="5"/>
      <c r="AV284" s="5"/>
      <c r="AX284" s="5"/>
      <c r="BB284" s="6"/>
      <c r="BC284" s="5"/>
    </row>
    <row r="285" spans="1:55" x14ac:dyDescent="0.3">
      <c r="E285" t="s">
        <v>24</v>
      </c>
      <c r="F285" s="1"/>
      <c r="G285" s="14">
        <f t="shared" ref="G285:G289" si="44">V135</f>
        <v>380</v>
      </c>
      <c r="H285" s="14">
        <f>AA7</f>
        <v>4.37</v>
      </c>
      <c r="I285">
        <f>G285*H285</f>
        <v>1660.6000000000001</v>
      </c>
      <c r="J285" s="5"/>
      <c r="K285" s="14">
        <f>AD7</f>
        <v>63.8</v>
      </c>
      <c r="L285">
        <f t="shared" ref="L285:L290" si="45">K285*G285</f>
        <v>24244</v>
      </c>
      <c r="M285" s="5"/>
      <c r="P285" s="14">
        <f>AI7</f>
        <v>3.368E-4</v>
      </c>
      <c r="Q285">
        <f t="shared" si="42"/>
        <v>0.12798399999999999</v>
      </c>
      <c r="R285" s="5"/>
      <c r="S285" s="14">
        <f>AL7</f>
        <v>1.192E-2</v>
      </c>
      <c r="T285">
        <f t="shared" si="43"/>
        <v>4.5296000000000003</v>
      </c>
      <c r="U285" s="5"/>
      <c r="AN285" s="5"/>
      <c r="AO285" s="5"/>
      <c r="AV285" s="5"/>
      <c r="AX285" s="5"/>
      <c r="BB285" s="6"/>
      <c r="BC285" s="5"/>
    </row>
    <row r="286" spans="1:55" x14ac:dyDescent="0.3">
      <c r="E286" t="s">
        <v>25</v>
      </c>
      <c r="F286" s="1"/>
      <c r="G286" s="14">
        <f t="shared" si="44"/>
        <v>380</v>
      </c>
      <c r="H286" s="14">
        <f>AA25</f>
        <v>2.23</v>
      </c>
      <c r="I286">
        <f t="shared" ref="I286:I290" si="46">G286*H286</f>
        <v>847.4</v>
      </c>
      <c r="J286" s="5"/>
      <c r="K286" s="14">
        <f>AD25</f>
        <v>37.6</v>
      </c>
      <c r="L286">
        <f t="shared" si="45"/>
        <v>14288</v>
      </c>
      <c r="M286" s="5"/>
      <c r="P286" s="14">
        <f>AI25</f>
        <v>0</v>
      </c>
      <c r="Q286">
        <f t="shared" si="42"/>
        <v>0</v>
      </c>
      <c r="R286" s="5"/>
      <c r="S286" s="14">
        <f>AL25</f>
        <v>0</v>
      </c>
      <c r="T286">
        <f t="shared" si="43"/>
        <v>0</v>
      </c>
      <c r="U286" s="5"/>
      <c r="AN286" s="5"/>
      <c r="AO286" s="5"/>
      <c r="AV286" s="5"/>
      <c r="AX286" s="5"/>
      <c r="BB286" s="6"/>
      <c r="BC286" s="5"/>
    </row>
    <row r="287" spans="1:55" x14ac:dyDescent="0.3">
      <c r="E287" t="s">
        <v>1511</v>
      </c>
      <c r="F287" s="1"/>
      <c r="G287" s="14">
        <f t="shared" si="44"/>
        <v>380</v>
      </c>
      <c r="H287" s="14">
        <f>AA31</f>
        <v>1.6</v>
      </c>
      <c r="I287">
        <f t="shared" si="46"/>
        <v>608</v>
      </c>
      <c r="J287" s="5"/>
      <c r="K287" s="14">
        <f>AD31</f>
        <v>27.8</v>
      </c>
      <c r="L287">
        <f t="shared" si="45"/>
        <v>10564</v>
      </c>
      <c r="M287" s="5"/>
      <c r="P287" s="14">
        <f>AI31</f>
        <v>0</v>
      </c>
      <c r="Q287">
        <f t="shared" si="42"/>
        <v>0</v>
      </c>
      <c r="R287" s="5"/>
      <c r="S287" s="14">
        <f>AL31</f>
        <v>0</v>
      </c>
      <c r="T287">
        <f t="shared" si="43"/>
        <v>0</v>
      </c>
      <c r="U287" s="5"/>
      <c r="AN287" s="5"/>
      <c r="AO287" s="5"/>
      <c r="AV287" s="5"/>
      <c r="AX287" s="5"/>
      <c r="BB287" s="6"/>
      <c r="BC287" s="5"/>
    </row>
    <row r="288" spans="1:55" x14ac:dyDescent="0.3">
      <c r="D288" t="s">
        <v>1530</v>
      </c>
      <c r="F288" s="1"/>
      <c r="G288" s="14">
        <f t="shared" si="44"/>
        <v>0</v>
      </c>
      <c r="H288" s="14"/>
      <c r="I288">
        <f t="shared" si="46"/>
        <v>0</v>
      </c>
      <c r="J288" s="5"/>
      <c r="K288" s="14"/>
      <c r="L288">
        <f t="shared" si="45"/>
        <v>0</v>
      </c>
      <c r="M288" s="5"/>
      <c r="P288" s="14"/>
      <c r="Q288">
        <f t="shared" si="42"/>
        <v>0</v>
      </c>
      <c r="R288" s="5"/>
      <c r="S288" s="14"/>
      <c r="T288">
        <f t="shared" si="43"/>
        <v>0</v>
      </c>
      <c r="U288" s="5"/>
      <c r="AN288" s="5"/>
      <c r="AO288" s="5"/>
      <c r="AV288" s="5"/>
      <c r="AX288" s="5"/>
      <c r="BB288" s="6"/>
      <c r="BC288" s="5"/>
    </row>
    <row r="289" spans="4:55" x14ac:dyDescent="0.3">
      <c r="E289" t="s">
        <v>24</v>
      </c>
      <c r="F289" s="1"/>
      <c r="G289" s="14">
        <f t="shared" si="44"/>
        <v>4654</v>
      </c>
      <c r="H289" s="14">
        <f>AA7</f>
        <v>4.37</v>
      </c>
      <c r="I289">
        <f t="shared" si="46"/>
        <v>20337.98</v>
      </c>
      <c r="J289" s="5"/>
      <c r="K289" s="14">
        <f>AD7</f>
        <v>63.8</v>
      </c>
      <c r="L289">
        <f t="shared" si="45"/>
        <v>296925.2</v>
      </c>
      <c r="M289" s="5"/>
      <c r="P289" s="14">
        <f>AI7</f>
        <v>3.368E-4</v>
      </c>
      <c r="Q289">
        <f t="shared" si="42"/>
        <v>1.5674672000000001</v>
      </c>
      <c r="R289" s="5"/>
      <c r="S289" s="14">
        <f>AL7</f>
        <v>1.192E-2</v>
      </c>
      <c r="T289">
        <f t="shared" si="43"/>
        <v>55.475679999999997</v>
      </c>
      <c r="U289" s="5"/>
      <c r="AN289" s="5"/>
      <c r="AO289" s="5"/>
      <c r="AV289" s="5"/>
      <c r="AX289" s="5"/>
      <c r="BB289" s="6"/>
      <c r="BC289" s="5"/>
    </row>
    <row r="290" spans="4:55" x14ac:dyDescent="0.3">
      <c r="E290" t="s">
        <v>25</v>
      </c>
      <c r="F290" s="1"/>
      <c r="G290" s="14">
        <f>V140</f>
        <v>4654</v>
      </c>
      <c r="H290" s="14">
        <f>AA25</f>
        <v>2.23</v>
      </c>
      <c r="I290">
        <f t="shared" si="46"/>
        <v>10378.42</v>
      </c>
      <c r="J290" s="5"/>
      <c r="K290" s="14">
        <f>AD25</f>
        <v>37.6</v>
      </c>
      <c r="L290">
        <f t="shared" si="45"/>
        <v>174990.4</v>
      </c>
      <c r="M290" s="5"/>
      <c r="P290" s="14">
        <f>AI25</f>
        <v>0</v>
      </c>
      <c r="Q290">
        <f t="shared" si="42"/>
        <v>0</v>
      </c>
      <c r="R290" s="5"/>
      <c r="S290" s="14">
        <f>AL25</f>
        <v>0</v>
      </c>
      <c r="T290">
        <f t="shared" si="43"/>
        <v>0</v>
      </c>
      <c r="U290" s="5"/>
      <c r="AN290" s="5"/>
      <c r="AO290" s="5"/>
      <c r="AV290" s="5"/>
      <c r="AX290" s="5"/>
      <c r="BB290" s="6"/>
      <c r="BC290" s="5"/>
    </row>
    <row r="291" spans="4:55" s="9" customFormat="1" x14ac:dyDescent="0.3">
      <c r="D291" s="9" t="s">
        <v>1057</v>
      </c>
      <c r="F291" s="67"/>
      <c r="G291" s="9">
        <f>V113</f>
        <v>16900</v>
      </c>
      <c r="J291" s="45">
        <f>SUM(I292:I293)</f>
        <v>111540</v>
      </c>
      <c r="M291" s="45">
        <f>SUM(L292:L293)</f>
        <v>1713660</v>
      </c>
      <c r="R291" s="45">
        <f>SUM(Q292:Q293)</f>
        <v>5.6919199999999996</v>
      </c>
      <c r="U291" s="45">
        <f>SUM(T292:T293)</f>
        <v>201.44800000000001</v>
      </c>
      <c r="X291" s="9">
        <f>G291</f>
        <v>16900</v>
      </c>
      <c r="Y291" s="9" t="str">
        <f>$X$80</f>
        <v>ship ferry</v>
      </c>
      <c r="Z291" s="9">
        <f>$F$19</f>
        <v>2000</v>
      </c>
      <c r="AA291" s="9">
        <f>$AA$80</f>
        <v>0.109</v>
      </c>
      <c r="AB291" s="9">
        <f>AA291*Z291*X291/1000</f>
        <v>3684.2</v>
      </c>
      <c r="AC291" s="9">
        <f>$AD$80</f>
        <v>1.5</v>
      </c>
      <c r="AD291" s="9">
        <f>AC291*Z291*X291/1000</f>
        <v>50700</v>
      </c>
      <c r="AF291" s="9" t="s">
        <v>61</v>
      </c>
      <c r="AG291" s="9">
        <f>$G$19</f>
        <v>500</v>
      </c>
      <c r="AH291" s="9">
        <f>$AA$78</f>
        <v>8.9976823999999997E-2</v>
      </c>
      <c r="AI291" s="9">
        <f>AH291*AG291*X291/1000</f>
        <v>760.30416279999997</v>
      </c>
      <c r="AJ291" s="9">
        <f>$AD$78</f>
        <v>1.52</v>
      </c>
      <c r="AK291" s="9">
        <f>AJ291*AG291*X291/1000</f>
        <v>12844</v>
      </c>
      <c r="AN291" s="11">
        <f>AI291+AB291</f>
        <v>4444.5041627999999</v>
      </c>
      <c r="AO291" s="11">
        <f>AD291+AK291</f>
        <v>63544</v>
      </c>
      <c r="AS291" s="9" t="s">
        <v>161</v>
      </c>
      <c r="AT291" s="9">
        <f>$G$21</f>
        <v>200</v>
      </c>
      <c r="AU291" s="9">
        <f>$AA$78</f>
        <v>8.9976823999999997E-2</v>
      </c>
      <c r="AV291" s="11">
        <f>(AU291*AT291*X291)/1000</f>
        <v>304.12166512000005</v>
      </c>
      <c r="AW291" s="9">
        <f>$AD$78</f>
        <v>1.52</v>
      </c>
      <c r="AX291" s="11">
        <f>(AW291*AT291*X291)/1000</f>
        <v>5137.6000000000004</v>
      </c>
      <c r="BB291" s="74">
        <f>AV291+AN291+R291+J291</f>
        <v>116294.31774791999</v>
      </c>
      <c r="BC291" s="11">
        <f>AX291+AO291+U291+M291</f>
        <v>1782543.048</v>
      </c>
    </row>
    <row r="292" spans="4:55" x14ac:dyDescent="0.3">
      <c r="E292" t="s">
        <v>111</v>
      </c>
      <c r="F292" s="1"/>
      <c r="G292">
        <f>V114</f>
        <v>16900</v>
      </c>
      <c r="H292" s="14">
        <f>AA14</f>
        <v>4.37</v>
      </c>
      <c r="I292" s="14">
        <f t="shared" ref="I292:I293" si="47">G292*H292</f>
        <v>73853</v>
      </c>
      <c r="J292" s="5"/>
      <c r="K292" s="14">
        <f>AD14</f>
        <v>63.8</v>
      </c>
      <c r="L292">
        <f>K292*G292</f>
        <v>1078220</v>
      </c>
      <c r="M292" s="5"/>
      <c r="P292" s="14">
        <f>AI14</f>
        <v>3.368E-4</v>
      </c>
      <c r="Q292">
        <f t="shared" ref="Q292:Q293" si="48">P292*G292</f>
        <v>5.6919199999999996</v>
      </c>
      <c r="R292" s="5"/>
      <c r="S292" s="14">
        <f>AL14</f>
        <v>1.192E-2</v>
      </c>
      <c r="T292">
        <f t="shared" ref="T292:T293" si="49">S292*G292</f>
        <v>201.44800000000001</v>
      </c>
      <c r="U292" s="5"/>
      <c r="AN292" s="5"/>
      <c r="AO292" s="5"/>
      <c r="AV292" s="5"/>
      <c r="AX292" s="5"/>
      <c r="BB292" s="6"/>
      <c r="BC292" s="5"/>
    </row>
    <row r="293" spans="4:55" x14ac:dyDescent="0.3">
      <c r="E293" t="s">
        <v>1531</v>
      </c>
      <c r="F293" s="1"/>
      <c r="G293">
        <f>V115</f>
        <v>16900</v>
      </c>
      <c r="H293" s="14">
        <f>AA32</f>
        <v>2.23</v>
      </c>
      <c r="I293" s="14">
        <f t="shared" si="47"/>
        <v>37687</v>
      </c>
      <c r="J293" s="5"/>
      <c r="K293" s="14">
        <f>AD32</f>
        <v>37.6</v>
      </c>
      <c r="L293">
        <f>K293*G293</f>
        <v>635440</v>
      </c>
      <c r="M293" s="5"/>
      <c r="P293" s="14">
        <f>AI32</f>
        <v>0</v>
      </c>
      <c r="Q293">
        <f t="shared" si="48"/>
        <v>0</v>
      </c>
      <c r="R293" s="5"/>
      <c r="S293" s="14">
        <f>AL32</f>
        <v>0</v>
      </c>
      <c r="T293">
        <f t="shared" si="49"/>
        <v>0</v>
      </c>
      <c r="U293" s="5"/>
      <c r="AN293" s="5"/>
      <c r="AO293" s="5"/>
      <c r="AV293" s="5"/>
      <c r="AX293" s="5"/>
      <c r="BB293" s="6"/>
      <c r="BC293" s="5"/>
    </row>
    <row r="294" spans="4:55" s="9" customFormat="1" x14ac:dyDescent="0.3">
      <c r="D294" s="9" t="s">
        <v>1058</v>
      </c>
      <c r="F294" s="67"/>
      <c r="G294" s="9">
        <f>V105</f>
        <v>71500</v>
      </c>
      <c r="J294" s="45">
        <f>SUM(I295:I299)</f>
        <v>253492.52499999999</v>
      </c>
      <c r="M294" s="45">
        <f>SUM(L295:L299)</f>
        <v>3743775.75</v>
      </c>
      <c r="R294" s="45">
        <f>SUM(Q295:Q299)</f>
        <v>1792.0331000000001</v>
      </c>
      <c r="U294" s="45">
        <f>SUM(T295:T299)</f>
        <v>1356.2835</v>
      </c>
      <c r="X294" s="9">
        <f>G294</f>
        <v>71500</v>
      </c>
      <c r="Y294" s="9" t="str">
        <f>$X$80</f>
        <v>ship ferry</v>
      </c>
      <c r="Z294" s="9">
        <f>$F$19</f>
        <v>2000</v>
      </c>
      <c r="AA294" s="9">
        <f>$AA$80</f>
        <v>0.109</v>
      </c>
      <c r="AB294" s="9">
        <f>AA294*Z294*X294/1000</f>
        <v>15587</v>
      </c>
      <c r="AC294" s="9">
        <f>$AD$80</f>
        <v>1.5</v>
      </c>
      <c r="AD294" s="9">
        <f>AC294*Z294*X294/1000</f>
        <v>214500</v>
      </c>
      <c r="AF294" s="9" t="s">
        <v>61</v>
      </c>
      <c r="AG294" s="9">
        <f>$G$19</f>
        <v>500</v>
      </c>
      <c r="AH294" s="9">
        <f>$AA$78</f>
        <v>8.9976823999999997E-2</v>
      </c>
      <c r="AI294" s="9">
        <f>AH294*AG294*X294/1000</f>
        <v>3216.6714579999998</v>
      </c>
      <c r="AJ294" s="9">
        <f>$AD$78</f>
        <v>1.52</v>
      </c>
      <c r="AK294" s="9">
        <f>AJ294*AG294*X294/1000</f>
        <v>54340</v>
      </c>
      <c r="AN294" s="11">
        <f>AI294+AB294</f>
        <v>18803.671458000001</v>
      </c>
      <c r="AO294" s="11">
        <f>AD294+AK294</f>
        <v>268840</v>
      </c>
      <c r="AS294" s="9" t="s">
        <v>161</v>
      </c>
      <c r="AT294" s="9">
        <f>$G$21</f>
        <v>200</v>
      </c>
      <c r="AU294" s="9">
        <f>$AA$78</f>
        <v>8.9976823999999997E-2</v>
      </c>
      <c r="AV294" s="11">
        <f>(AU294*AT294*X294)/1000</f>
        <v>1286.6685832000001</v>
      </c>
      <c r="AW294" s="9">
        <f>$AD$78</f>
        <v>1.52</v>
      </c>
      <c r="AX294" s="11">
        <f>(AW294*AT294*X294)/1000</f>
        <v>21736</v>
      </c>
      <c r="BB294" s="74">
        <f>AV294+AN294+R294+J294</f>
        <v>275374.89814120001</v>
      </c>
      <c r="BC294" s="11">
        <f>AX294+AO294+U294+M294</f>
        <v>4035708.0334999999</v>
      </c>
    </row>
    <row r="295" spans="4:55" x14ac:dyDescent="0.3">
      <c r="E295" t="s">
        <v>23</v>
      </c>
      <c r="F295" s="1"/>
      <c r="G295">
        <f>V106</f>
        <v>35750</v>
      </c>
      <c r="H295" s="14">
        <f>AA6</f>
        <v>1.7</v>
      </c>
      <c r="I295" s="14">
        <f t="shared" ref="I295:I299" si="50">G295*H295</f>
        <v>60775</v>
      </c>
      <c r="J295" s="5"/>
      <c r="K295" s="14">
        <f>AD6</f>
        <v>22</v>
      </c>
      <c r="L295">
        <f>K295*G295</f>
        <v>786500</v>
      </c>
      <c r="M295" s="5"/>
      <c r="P295" s="14">
        <f>AI6</f>
        <v>4.9599999999999998E-2</v>
      </c>
      <c r="Q295">
        <f t="shared" ref="Q295:Q299" si="51">P295*G295</f>
        <v>1773.2</v>
      </c>
      <c r="R295" s="5"/>
      <c r="S295" s="14">
        <f>AL6</f>
        <v>2.5520000000000001E-2</v>
      </c>
      <c r="T295">
        <f t="shared" ref="T295:T299" si="52">S295*G295</f>
        <v>912.34</v>
      </c>
      <c r="U295" s="5"/>
      <c r="AN295" s="5"/>
      <c r="AO295" s="5"/>
      <c r="AV295" s="5"/>
      <c r="AX295" s="5"/>
      <c r="BB295" s="6"/>
      <c r="BC295" s="5"/>
    </row>
    <row r="296" spans="4:55" x14ac:dyDescent="0.3">
      <c r="E296" t="s">
        <v>450</v>
      </c>
      <c r="F296" s="1"/>
      <c r="G296">
        <f>V107</f>
        <v>35750</v>
      </c>
      <c r="H296" s="14">
        <f>AA12</f>
        <v>2.1795</v>
      </c>
      <c r="I296" s="14">
        <f t="shared" si="50"/>
        <v>77917.125</v>
      </c>
      <c r="J296" s="5"/>
      <c r="K296" s="14">
        <f>AD12</f>
        <v>26.945</v>
      </c>
      <c r="L296">
        <f t="shared" ref="L296:L299" si="53">K296*G296</f>
        <v>963283.75</v>
      </c>
      <c r="M296" s="5"/>
      <c r="P296" s="14">
        <f>AI12</f>
        <v>3.368E-4</v>
      </c>
      <c r="Q296">
        <f t="shared" si="51"/>
        <v>12.0406</v>
      </c>
      <c r="R296" s="5"/>
      <c r="S296" s="14">
        <f>AL12</f>
        <v>1.192E-2</v>
      </c>
      <c r="T296">
        <f t="shared" si="52"/>
        <v>426.14</v>
      </c>
      <c r="U296" s="5"/>
      <c r="AN296" s="5"/>
      <c r="AO296" s="5"/>
      <c r="AV296" s="5"/>
      <c r="AX296" s="5"/>
      <c r="BB296" s="6"/>
      <c r="BC296" s="5"/>
    </row>
    <row r="297" spans="4:55" x14ac:dyDescent="0.3">
      <c r="E297" t="s">
        <v>1511</v>
      </c>
      <c r="F297" s="1"/>
      <c r="G297">
        <f>V109</f>
        <v>35750</v>
      </c>
      <c r="H297" s="14">
        <f>AA31</f>
        <v>1.6</v>
      </c>
      <c r="I297" s="14">
        <f t="shared" si="50"/>
        <v>57200</v>
      </c>
      <c r="J297" s="5"/>
      <c r="K297" s="14">
        <f>AD31</f>
        <v>27.8</v>
      </c>
      <c r="L297">
        <f t="shared" si="53"/>
        <v>993850</v>
      </c>
      <c r="M297" s="5"/>
      <c r="P297" s="14">
        <f>AI31</f>
        <v>0</v>
      </c>
      <c r="Q297">
        <f t="shared" si="51"/>
        <v>0</v>
      </c>
      <c r="R297" s="5"/>
      <c r="S297" s="14">
        <f>AL31</f>
        <v>0</v>
      </c>
      <c r="T297">
        <f t="shared" si="52"/>
        <v>0</v>
      </c>
      <c r="U297" s="5"/>
      <c r="AN297" s="5"/>
      <c r="AO297" s="5"/>
      <c r="AV297" s="5"/>
      <c r="AX297" s="5"/>
      <c r="BB297" s="6"/>
      <c r="BC297" s="5"/>
    </row>
    <row r="298" spans="4:55" x14ac:dyDescent="0.3">
      <c r="E298" t="s">
        <v>1532</v>
      </c>
      <c r="F298" s="1"/>
      <c r="G298">
        <f>V110</f>
        <v>35750</v>
      </c>
      <c r="H298" s="14">
        <f>AA33</f>
        <v>1.6</v>
      </c>
      <c r="I298" s="14">
        <f t="shared" si="50"/>
        <v>57200</v>
      </c>
      <c r="J298" s="5"/>
      <c r="K298" s="14">
        <f>AD33</f>
        <v>27.8</v>
      </c>
      <c r="L298">
        <f t="shared" si="53"/>
        <v>993850</v>
      </c>
      <c r="M298" s="5"/>
      <c r="P298" s="14">
        <f>AI33</f>
        <v>0</v>
      </c>
      <c r="Q298">
        <f t="shared" si="51"/>
        <v>0</v>
      </c>
      <c r="R298" s="5"/>
      <c r="S298" s="14">
        <f>AL33</f>
        <v>0</v>
      </c>
      <c r="T298">
        <f t="shared" si="52"/>
        <v>0</v>
      </c>
      <c r="U298" s="5"/>
      <c r="AN298" s="5"/>
      <c r="AO298" s="5"/>
      <c r="AV298" s="5"/>
      <c r="AX298" s="5"/>
      <c r="BB298" s="6"/>
      <c r="BC298" s="5"/>
    </row>
    <row r="299" spans="4:55" x14ac:dyDescent="0.3">
      <c r="E299" t="s">
        <v>138</v>
      </c>
      <c r="F299" s="1"/>
      <c r="G299">
        <f>0.1%*G294</f>
        <v>71.5</v>
      </c>
      <c r="H299" s="14">
        <f>AA35</f>
        <v>5.6</v>
      </c>
      <c r="I299" s="14">
        <f t="shared" si="50"/>
        <v>400.4</v>
      </c>
      <c r="J299" s="5"/>
      <c r="K299" s="14">
        <f>AD35</f>
        <v>88</v>
      </c>
      <c r="L299">
        <f t="shared" si="53"/>
        <v>6292</v>
      </c>
      <c r="M299" s="5"/>
      <c r="P299" s="14">
        <f>AI35</f>
        <v>9.5000000000000001E-2</v>
      </c>
      <c r="Q299">
        <f t="shared" si="51"/>
        <v>6.7925000000000004</v>
      </c>
      <c r="R299" s="5"/>
      <c r="S299" s="14">
        <f>AL35</f>
        <v>0.249</v>
      </c>
      <c r="T299">
        <f t="shared" si="52"/>
        <v>17.8035</v>
      </c>
      <c r="U299" s="5"/>
      <c r="AN299" s="5"/>
      <c r="AO299" s="5"/>
      <c r="AV299" s="5"/>
      <c r="AX299" s="5"/>
      <c r="BB299" s="6"/>
      <c r="BC299" s="5"/>
    </row>
    <row r="300" spans="4:55" s="9" customFormat="1" x14ac:dyDescent="0.3">
      <c r="D300" s="9" t="s">
        <v>1059</v>
      </c>
      <c r="F300" s="67"/>
      <c r="G300" s="9">
        <f>V142</f>
        <v>5257</v>
      </c>
      <c r="J300" s="45">
        <f>SUM(I301:I303)</f>
        <v>16664.690000000002</v>
      </c>
      <c r="M300" s="45">
        <f>SUM(L301:L303)</f>
        <v>256015.9</v>
      </c>
      <c r="R300" s="45">
        <f>SUM(Q301:Q303)</f>
        <v>1.7705576000000001</v>
      </c>
      <c r="U300" s="45">
        <f>SUM(T301:T303)</f>
        <v>62.663440000000001</v>
      </c>
      <c r="X300" s="9">
        <f>G300</f>
        <v>5257</v>
      </c>
      <c r="Y300" s="9" t="str">
        <f>$X$80</f>
        <v>ship ferry</v>
      </c>
      <c r="Z300" s="9">
        <f>$F$19</f>
        <v>2000</v>
      </c>
      <c r="AA300" s="9">
        <f>$AA$80</f>
        <v>0.109</v>
      </c>
      <c r="AB300" s="9">
        <f>AA300*Z300*X300/1000</f>
        <v>1146.0260000000001</v>
      </c>
      <c r="AC300" s="9">
        <f>$AD$80</f>
        <v>1.5</v>
      </c>
      <c r="AD300" s="9">
        <f>AC300*Z300*X300/1000</f>
        <v>15771</v>
      </c>
      <c r="AF300" s="9" t="s">
        <v>61</v>
      </c>
      <c r="AG300" s="9">
        <f>$G$19</f>
        <v>500</v>
      </c>
      <c r="AH300" s="9">
        <f>$AA$78</f>
        <v>8.9976823999999997E-2</v>
      </c>
      <c r="AI300" s="9">
        <f>AH300*AG300*X300/1000</f>
        <v>236.50408188399999</v>
      </c>
      <c r="AJ300" s="9">
        <f>$AD$78</f>
        <v>1.52</v>
      </c>
      <c r="AK300" s="9">
        <f>AJ300*AG300*X300/1000</f>
        <v>3995.32</v>
      </c>
      <c r="AN300" s="11">
        <f>AI300+AB300</f>
        <v>1382.5300818840001</v>
      </c>
      <c r="AO300" s="11">
        <f>AD300+AK300</f>
        <v>19766.32</v>
      </c>
      <c r="AS300" s="9" t="s">
        <v>161</v>
      </c>
      <c r="AT300" s="9">
        <f>$G$21</f>
        <v>200</v>
      </c>
      <c r="AU300" s="9">
        <f>$AA$78</f>
        <v>8.9976823999999997E-2</v>
      </c>
      <c r="AV300" s="11">
        <f>(AU300*AT300*X300)/1000</f>
        <v>94.601632753600001</v>
      </c>
      <c r="AW300" s="9">
        <f>$AD$78</f>
        <v>1.52</v>
      </c>
      <c r="AX300" s="11">
        <f>(AW300*AT300*X300)/1000</f>
        <v>1598.1279999999999</v>
      </c>
      <c r="BB300" s="74">
        <f>AV300+AN300+R300+J300</f>
        <v>18143.592272237602</v>
      </c>
      <c r="BC300" s="11">
        <f>AX300+AO300+U300+M300</f>
        <v>277443.01143999997</v>
      </c>
    </row>
    <row r="301" spans="4:55" x14ac:dyDescent="0.3">
      <c r="E301" t="s">
        <v>31</v>
      </c>
      <c r="F301" s="1"/>
      <c r="G301">
        <f>V144</f>
        <v>5257</v>
      </c>
      <c r="H301" s="14">
        <f>AA5</f>
        <v>1.57</v>
      </c>
      <c r="I301" s="14">
        <f t="shared" ref="I301:I302" si="54">G301*H301</f>
        <v>8253.49</v>
      </c>
      <c r="J301" s="5"/>
      <c r="K301" s="14">
        <f>AD5</f>
        <v>20.9</v>
      </c>
      <c r="L301">
        <f>K301*G301</f>
        <v>109871.29999999999</v>
      </c>
      <c r="M301" s="5"/>
      <c r="P301" s="14">
        <f>AI5</f>
        <v>3.368E-4</v>
      </c>
      <c r="Q301">
        <f t="shared" ref="Q301:Q302" si="55">P301*G301</f>
        <v>1.7705576000000001</v>
      </c>
      <c r="R301" s="5"/>
      <c r="S301" s="14">
        <f>AL5</f>
        <v>1.192E-2</v>
      </c>
      <c r="T301">
        <f t="shared" ref="T301:T302" si="56">S301*G301</f>
        <v>62.663440000000001</v>
      </c>
      <c r="U301" s="5"/>
      <c r="AN301" s="5"/>
      <c r="AO301" s="5"/>
      <c r="AV301" s="5"/>
      <c r="AX301" s="5"/>
      <c r="BB301" s="6"/>
      <c r="BC301" s="5"/>
    </row>
    <row r="302" spans="4:55" x14ac:dyDescent="0.3">
      <c r="E302" t="s">
        <v>120</v>
      </c>
      <c r="F302" s="1"/>
      <c r="G302">
        <f>V145</f>
        <v>5257</v>
      </c>
      <c r="H302" s="14">
        <f>AA24</f>
        <v>1.6</v>
      </c>
      <c r="I302">
        <f t="shared" si="54"/>
        <v>8411.2000000000007</v>
      </c>
      <c r="J302" s="5"/>
      <c r="K302" s="14">
        <f>AD24</f>
        <v>27.8</v>
      </c>
      <c r="L302">
        <f>K302*G302</f>
        <v>146144.6</v>
      </c>
      <c r="M302" s="5"/>
      <c r="P302" s="14">
        <f>AI24</f>
        <v>0</v>
      </c>
      <c r="Q302">
        <f t="shared" si="55"/>
        <v>0</v>
      </c>
      <c r="R302" s="5"/>
      <c r="S302" s="14">
        <f>AL24</f>
        <v>0</v>
      </c>
      <c r="T302">
        <f t="shared" si="56"/>
        <v>0</v>
      </c>
      <c r="U302" s="5"/>
      <c r="AN302" s="5"/>
      <c r="AO302" s="5"/>
      <c r="AV302" s="5"/>
      <c r="AX302" s="5"/>
      <c r="BB302" s="6"/>
      <c r="BC302" s="5"/>
    </row>
    <row r="303" spans="4:55" x14ac:dyDescent="0.3">
      <c r="F303" s="1"/>
      <c r="H303" s="14"/>
      <c r="J303" s="5"/>
      <c r="K303" s="14"/>
      <c r="M303" s="5"/>
      <c r="P303" s="14"/>
      <c r="R303" s="5"/>
      <c r="S303" s="14"/>
      <c r="U303" s="5"/>
      <c r="AN303" s="5"/>
      <c r="AO303" s="5"/>
      <c r="AV303" s="5"/>
      <c r="AX303" s="5"/>
      <c r="BB303" s="6"/>
      <c r="BC303" s="5"/>
    </row>
    <row r="304" spans="4:55" s="9" customFormat="1" x14ac:dyDescent="0.3">
      <c r="D304" s="9" t="s">
        <v>1060</v>
      </c>
      <c r="F304" s="67"/>
      <c r="G304" s="9">
        <v>0</v>
      </c>
      <c r="J304" s="45">
        <f>SUM(I305:I307)</f>
        <v>0</v>
      </c>
      <c r="M304" s="45">
        <f>SUM(L305:L307)</f>
        <v>0</v>
      </c>
      <c r="R304" s="45">
        <f>SUM(Q305:Q307)</f>
        <v>0</v>
      </c>
      <c r="U304" s="45">
        <f>SUM(T305:T307)</f>
        <v>0</v>
      </c>
      <c r="X304" s="9">
        <f>G304</f>
        <v>0</v>
      </c>
      <c r="Y304" s="9" t="str">
        <f>$X$80</f>
        <v>ship ferry</v>
      </c>
      <c r="Z304" s="9">
        <f>$F$19</f>
        <v>2000</v>
      </c>
      <c r="AA304" s="9">
        <f>$AA$80</f>
        <v>0.109</v>
      </c>
      <c r="AB304" s="9">
        <f>AA304*Z304*X304/1000</f>
        <v>0</v>
      </c>
      <c r="AC304" s="9">
        <f>$AD$80</f>
        <v>1.5</v>
      </c>
      <c r="AD304" s="9">
        <f>AC304*Z304*X304/1000</f>
        <v>0</v>
      </c>
      <c r="AF304" s="9" t="s">
        <v>61</v>
      </c>
      <c r="AG304" s="9">
        <f>$G$19</f>
        <v>500</v>
      </c>
      <c r="AH304" s="9">
        <f>$AA$78</f>
        <v>8.9976823999999997E-2</v>
      </c>
      <c r="AI304" s="9">
        <f>AH304*AG304*X304/1000</f>
        <v>0</v>
      </c>
      <c r="AJ304" s="9">
        <f>$AD$78</f>
        <v>1.52</v>
      </c>
      <c r="AK304" s="9">
        <f>AJ304*AG304*X304/1000</f>
        <v>0</v>
      </c>
      <c r="AN304" s="11">
        <f>AI304+AB304</f>
        <v>0</v>
      </c>
      <c r="AO304" s="11">
        <f>AD304+AK304</f>
        <v>0</v>
      </c>
      <c r="AS304" s="9" t="s">
        <v>161</v>
      </c>
      <c r="AT304" s="9">
        <f>$G$21</f>
        <v>200</v>
      </c>
      <c r="AU304" s="9">
        <f>$AA$78</f>
        <v>8.9976823999999997E-2</v>
      </c>
      <c r="AV304" s="11">
        <f>(AU304*AT304*X304)/1000</f>
        <v>0</v>
      </c>
      <c r="AW304" s="9">
        <f>$AD$78</f>
        <v>1.52</v>
      </c>
      <c r="AX304" s="11">
        <f>(AW304*AT304*X304)/1000</f>
        <v>0</v>
      </c>
      <c r="BB304" s="74">
        <f>AV304+AN304+R304+J304</f>
        <v>0</v>
      </c>
      <c r="BC304" s="11">
        <f>AX304+AO304+U304+M304</f>
        <v>0</v>
      </c>
    </row>
    <row r="305" spans="1:55" x14ac:dyDescent="0.3">
      <c r="E305" s="368" t="s">
        <v>1060</v>
      </c>
      <c r="F305" s="1"/>
      <c r="G305">
        <f>V157</f>
        <v>0</v>
      </c>
      <c r="H305" s="14"/>
      <c r="I305" s="14">
        <f t="shared" ref="I305:I306" si="57">G305*H305</f>
        <v>0</v>
      </c>
      <c r="J305" s="5"/>
      <c r="K305" s="14"/>
      <c r="L305">
        <f>K305*G305</f>
        <v>0</v>
      </c>
      <c r="M305" s="5"/>
      <c r="P305" s="14"/>
      <c r="Q305">
        <f t="shared" ref="Q305:Q306" si="58">P305*G305</f>
        <v>0</v>
      </c>
      <c r="R305" s="5"/>
      <c r="S305" s="14"/>
      <c r="T305">
        <f t="shared" ref="T305:T306" si="59">S305*G305</f>
        <v>0</v>
      </c>
      <c r="U305" s="5"/>
      <c r="AN305" s="5"/>
      <c r="AO305" s="5"/>
      <c r="AV305" s="5"/>
      <c r="AX305" s="5"/>
      <c r="BB305" s="6"/>
      <c r="BC305" s="5"/>
    </row>
    <row r="306" spans="1:55" x14ac:dyDescent="0.3">
      <c r="F306" s="1"/>
      <c r="H306" s="14"/>
      <c r="I306">
        <f t="shared" si="57"/>
        <v>0</v>
      </c>
      <c r="J306" s="5"/>
      <c r="K306" s="14"/>
      <c r="L306">
        <f>K306*G306</f>
        <v>0</v>
      </c>
      <c r="M306" s="5"/>
      <c r="P306" s="14"/>
      <c r="Q306">
        <f t="shared" si="58"/>
        <v>0</v>
      </c>
      <c r="R306" s="5"/>
      <c r="S306" s="14"/>
      <c r="T306">
        <f t="shared" si="59"/>
        <v>0</v>
      </c>
      <c r="U306" s="5"/>
      <c r="AN306" s="5"/>
      <c r="AO306" s="5"/>
      <c r="AV306" s="5"/>
      <c r="AX306" s="5"/>
      <c r="BB306" s="6"/>
      <c r="BC306" s="5"/>
    </row>
    <row r="307" spans="1:55" x14ac:dyDescent="0.3">
      <c r="F307" s="1"/>
      <c r="H307" s="14"/>
      <c r="J307" s="5"/>
      <c r="K307" s="14"/>
      <c r="M307" s="5"/>
      <c r="P307" s="14"/>
      <c r="R307" s="5"/>
      <c r="S307" s="14"/>
      <c r="U307" s="5"/>
      <c r="AN307" s="5"/>
      <c r="AO307" s="5"/>
      <c r="AV307" s="5"/>
      <c r="AX307" s="5"/>
      <c r="BB307" s="6"/>
      <c r="BC307" s="5"/>
    </row>
    <row r="308" spans="1:55" s="9" customFormat="1" x14ac:dyDescent="0.3">
      <c r="D308" s="9" t="s">
        <v>133</v>
      </c>
      <c r="F308" s="67"/>
      <c r="G308" s="9">
        <f>V148</f>
        <v>500</v>
      </c>
      <c r="J308" s="45">
        <f>SUM(I309:I311)</f>
        <v>18300</v>
      </c>
      <c r="M308" s="45">
        <f>SUM(L309:L311)</f>
        <v>285000</v>
      </c>
      <c r="R308" s="45">
        <f>SUM(Q309:Q311)</f>
        <v>155</v>
      </c>
      <c r="U308" s="45">
        <f>SUM(T309:T311)</f>
        <v>79.75</v>
      </c>
      <c r="X308" s="9">
        <f>G308</f>
        <v>500</v>
      </c>
      <c r="Y308" s="9" t="str">
        <f>$X$80</f>
        <v>ship ferry</v>
      </c>
      <c r="Z308" s="9">
        <f>$F$19</f>
        <v>2000</v>
      </c>
      <c r="AA308" s="9">
        <f>$AA$80</f>
        <v>0.109</v>
      </c>
      <c r="AB308" s="9">
        <f>AA308*Z308*X308/1000</f>
        <v>109</v>
      </c>
      <c r="AC308" s="9">
        <f>$AD$80</f>
        <v>1.5</v>
      </c>
      <c r="AD308" s="9">
        <f>AC308*Z308*X308/1000</f>
        <v>1500</v>
      </c>
      <c r="AF308" s="9" t="s">
        <v>61</v>
      </c>
      <c r="AG308" s="9">
        <f>$G$19</f>
        <v>500</v>
      </c>
      <c r="AH308" s="9">
        <f>$AA$78</f>
        <v>8.9976823999999997E-2</v>
      </c>
      <c r="AI308" s="9">
        <f>AH308*AG308*X308/1000</f>
        <v>22.494205999999998</v>
      </c>
      <c r="AJ308" s="9">
        <f>$AD$78</f>
        <v>1.52</v>
      </c>
      <c r="AK308" s="9">
        <f>AJ308*AG308*X308/1000</f>
        <v>380</v>
      </c>
      <c r="AN308" s="11">
        <f>AI308+AB308</f>
        <v>131.49420599999999</v>
      </c>
      <c r="AO308" s="11">
        <f>AD308+AK308</f>
        <v>1880</v>
      </c>
      <c r="AS308" s="9" t="s">
        <v>161</v>
      </c>
      <c r="AT308" s="9">
        <f>$G$21</f>
        <v>200</v>
      </c>
      <c r="AU308" s="9">
        <f>$AA$78</f>
        <v>8.9976823999999997E-2</v>
      </c>
      <c r="AV308" s="11">
        <f>(AU308*AT308*X308)/1000</f>
        <v>8.9976824000000004</v>
      </c>
      <c r="AW308" s="9">
        <f>$AD$78</f>
        <v>1.52</v>
      </c>
      <c r="AX308" s="11">
        <f>(AW308*AT308*X308)/1000</f>
        <v>152</v>
      </c>
      <c r="BB308" s="74">
        <f>AV308+AN308+R308+J308</f>
        <v>18595.4918884</v>
      </c>
      <c r="BC308" s="11">
        <f>AX308+AO308+U308+M308</f>
        <v>287111.75</v>
      </c>
    </row>
    <row r="309" spans="1:55" x14ac:dyDescent="0.3">
      <c r="E309" t="s">
        <v>328</v>
      </c>
      <c r="F309" s="1"/>
      <c r="G309">
        <f>V149</f>
        <v>500</v>
      </c>
      <c r="H309" s="14">
        <f>AA43</f>
        <v>36.6</v>
      </c>
      <c r="I309" s="14">
        <f t="shared" ref="I309" si="60">G309*H309</f>
        <v>18300</v>
      </c>
      <c r="J309" s="5"/>
      <c r="K309" s="14">
        <f>AD43</f>
        <v>570</v>
      </c>
      <c r="L309">
        <f>K309*G309</f>
        <v>285000</v>
      </c>
      <c r="M309" s="5"/>
      <c r="P309" s="14">
        <f>AI43</f>
        <v>0.31</v>
      </c>
      <c r="Q309">
        <f t="shared" ref="Q309" si="61">P309*G309</f>
        <v>155</v>
      </c>
      <c r="R309" s="5"/>
      <c r="S309" s="14">
        <f>AL43</f>
        <v>0.1595</v>
      </c>
      <c r="T309">
        <f t="shared" ref="T309" si="62">S309*G309</f>
        <v>79.75</v>
      </c>
      <c r="U309" s="5"/>
      <c r="AN309" s="5"/>
      <c r="AO309" s="5"/>
      <c r="AV309" s="5"/>
      <c r="AX309" s="5"/>
      <c r="BB309" s="6"/>
      <c r="BC309" s="5"/>
    </row>
    <row r="310" spans="1:55" x14ac:dyDescent="0.3">
      <c r="F310" s="1"/>
      <c r="H310" s="14"/>
      <c r="J310" s="5"/>
      <c r="K310" s="14"/>
      <c r="M310" s="5"/>
      <c r="P310" s="14"/>
      <c r="R310" s="5"/>
      <c r="S310" s="14"/>
      <c r="U310" s="5"/>
      <c r="AN310" s="5"/>
      <c r="AO310" s="5"/>
      <c r="AV310" s="5"/>
      <c r="AX310" s="5"/>
      <c r="BB310" s="6"/>
      <c r="BC310" s="5"/>
    </row>
    <row r="311" spans="1:55" s="9" customFormat="1" x14ac:dyDescent="0.3">
      <c r="D311" s="9" t="s">
        <v>1485</v>
      </c>
      <c r="F311" s="67"/>
      <c r="G311" s="9">
        <f>V164</f>
        <v>10400</v>
      </c>
      <c r="J311" s="45">
        <f>SUM(I312:I313)</f>
        <v>68640</v>
      </c>
      <c r="M311" s="45">
        <f>SUM(L312:L313)</f>
        <v>1054560</v>
      </c>
      <c r="R311" s="45">
        <f>SUM(Q312:Q313)</f>
        <v>3.5027200000000001</v>
      </c>
      <c r="U311" s="45">
        <f>SUM(T312:T313)</f>
        <v>123.968</v>
      </c>
      <c r="X311" s="9">
        <f>G311</f>
        <v>10400</v>
      </c>
      <c r="Y311" s="9" t="str">
        <f>$X$80</f>
        <v>ship ferry</v>
      </c>
      <c r="Z311" s="9">
        <f>$F$19</f>
        <v>2000</v>
      </c>
      <c r="AA311" s="9">
        <f>$AA$80</f>
        <v>0.109</v>
      </c>
      <c r="AB311" s="9">
        <f>AA311*Z311*X311/1000</f>
        <v>2267.1999999999998</v>
      </c>
      <c r="AC311" s="9">
        <f>$AD$80</f>
        <v>1.5</v>
      </c>
      <c r="AD311" s="9">
        <f>AC311*Z311*X311/1000</f>
        <v>31200</v>
      </c>
      <c r="AF311" s="9" t="s">
        <v>61</v>
      </c>
      <c r="AG311" s="9">
        <f>$G$19</f>
        <v>500</v>
      </c>
      <c r="AH311" s="9">
        <f>$AA$78</f>
        <v>8.9976823999999997E-2</v>
      </c>
      <c r="AI311" s="9">
        <f>AH311*AG311*X311/1000</f>
        <v>467.8794848</v>
      </c>
      <c r="AJ311" s="9">
        <f>$AD$78</f>
        <v>1.52</v>
      </c>
      <c r="AK311" s="9">
        <f>AJ311*AG311*X311/1000</f>
        <v>7904</v>
      </c>
      <c r="AN311" s="11">
        <f>AI311+AB311</f>
        <v>2735.0794847999996</v>
      </c>
      <c r="AO311" s="11">
        <f>AD311+AK311</f>
        <v>39104</v>
      </c>
      <c r="AS311" s="9" t="s">
        <v>161</v>
      </c>
      <c r="AT311" s="9">
        <f>$G$21</f>
        <v>200</v>
      </c>
      <c r="AU311" s="9">
        <f>$AA$78</f>
        <v>8.9976823999999997E-2</v>
      </c>
      <c r="AV311" s="11">
        <f>(AU311*AT311*X311)/1000</f>
        <v>187.15179391999999</v>
      </c>
      <c r="AW311" s="9">
        <f>$AD$78</f>
        <v>1.52</v>
      </c>
      <c r="AX311" s="11">
        <f>(AW311*AT311*X311)/1000</f>
        <v>3161.6</v>
      </c>
      <c r="BB311" s="74">
        <f>AV311+AN311+R311+J311</f>
        <v>71565.733998719996</v>
      </c>
      <c r="BC311" s="11">
        <f>AX311+AO311+U311+M311</f>
        <v>1096949.568</v>
      </c>
    </row>
    <row r="312" spans="1:55" x14ac:dyDescent="0.3">
      <c r="E312" t="s">
        <v>111</v>
      </c>
      <c r="F312" s="1"/>
      <c r="G312">
        <f>V164</f>
        <v>10400</v>
      </c>
      <c r="H312" s="14">
        <f>AA14</f>
        <v>4.37</v>
      </c>
      <c r="I312" s="14">
        <f t="shared" ref="I312:I313" si="63">G312*H312</f>
        <v>45448</v>
      </c>
      <c r="J312" s="5"/>
      <c r="K312" s="14">
        <f>AD14</f>
        <v>63.8</v>
      </c>
      <c r="L312">
        <f>K312*G312</f>
        <v>663520</v>
      </c>
      <c r="M312" s="5"/>
      <c r="P312" s="14">
        <f>AI14</f>
        <v>3.368E-4</v>
      </c>
      <c r="Q312">
        <f t="shared" ref="Q312:Q313" si="64">P312*G312</f>
        <v>3.5027200000000001</v>
      </c>
      <c r="R312" s="5"/>
      <c r="S312" s="14">
        <f>AL14</f>
        <v>1.192E-2</v>
      </c>
      <c r="T312">
        <f t="shared" ref="T312:T313" si="65">S312*G312</f>
        <v>123.968</v>
      </c>
      <c r="U312" s="5"/>
      <c r="AN312" s="5"/>
      <c r="AO312" s="5"/>
      <c r="AV312" s="5"/>
      <c r="AX312" s="5"/>
      <c r="BB312" s="6"/>
      <c r="BC312" s="5"/>
    </row>
    <row r="313" spans="1:55" x14ac:dyDescent="0.3">
      <c r="E313" t="s">
        <v>1531</v>
      </c>
      <c r="F313" s="1"/>
      <c r="G313">
        <f>V165</f>
        <v>10400</v>
      </c>
      <c r="H313" s="14">
        <f>AA32</f>
        <v>2.23</v>
      </c>
      <c r="I313" s="14">
        <f t="shared" si="63"/>
        <v>23192</v>
      </c>
      <c r="J313" s="5"/>
      <c r="K313" s="14">
        <f>AD32</f>
        <v>37.6</v>
      </c>
      <c r="L313">
        <f>K313*G313</f>
        <v>391040</v>
      </c>
      <c r="M313" s="5"/>
      <c r="P313" s="14">
        <f>AI32</f>
        <v>0</v>
      </c>
      <c r="Q313">
        <f t="shared" si="64"/>
        <v>0</v>
      </c>
      <c r="R313" s="5"/>
      <c r="S313" s="14">
        <f>AL32</f>
        <v>0</v>
      </c>
      <c r="T313">
        <f t="shared" si="65"/>
        <v>0</v>
      </c>
      <c r="U313" s="5"/>
      <c r="AN313" s="5"/>
      <c r="AO313" s="5"/>
      <c r="AV313" s="5"/>
      <c r="AX313" s="5"/>
      <c r="BB313" s="6"/>
      <c r="BC313" s="5"/>
    </row>
    <row r="314" spans="1:55" x14ac:dyDescent="0.3">
      <c r="F314" s="1"/>
      <c r="H314" s="14"/>
      <c r="J314" s="5"/>
      <c r="K314" s="14"/>
      <c r="M314" s="5"/>
      <c r="P314" s="14"/>
      <c r="R314" s="5"/>
      <c r="S314" s="14"/>
      <c r="U314" s="5"/>
      <c r="AN314" s="5"/>
      <c r="AO314" s="5"/>
      <c r="AV314" s="5"/>
      <c r="AX314" s="5"/>
      <c r="BB314" s="6"/>
      <c r="BC314" s="5"/>
    </row>
    <row r="315" spans="1:55" x14ac:dyDescent="0.3">
      <c r="F315" s="1"/>
      <c r="H315" s="14"/>
      <c r="J315" s="5"/>
      <c r="K315" s="14"/>
      <c r="M315" s="5"/>
      <c r="P315" s="14"/>
      <c r="R315" s="5"/>
      <c r="S315" s="14"/>
      <c r="U315" s="5"/>
      <c r="AN315" s="5"/>
      <c r="AO315" s="5"/>
      <c r="AV315" s="5"/>
      <c r="AX315" s="5"/>
      <c r="BB315" s="6"/>
      <c r="BC315" s="5"/>
    </row>
    <row r="316" spans="1:55" s="9" customFormat="1" x14ac:dyDescent="0.3">
      <c r="A316"/>
      <c r="D316" s="43" t="s">
        <v>212</v>
      </c>
      <c r="F316" s="67"/>
      <c r="G316" s="9">
        <f>AF171</f>
        <v>5000</v>
      </c>
      <c r="J316" s="11">
        <f>SUM(I317:I326)</f>
        <v>17568.827758007115</v>
      </c>
      <c r="M316" s="11">
        <f>SUM(L317:L326)</f>
        <v>249661.61328588374</v>
      </c>
      <c r="R316" s="11">
        <f>SUM(Q317:Q326)</f>
        <v>199.06509727164888</v>
      </c>
      <c r="U316" s="11">
        <f>SUM(T317:T326)</f>
        <v>564.2528291814948</v>
      </c>
      <c r="X316" s="9">
        <f>G316</f>
        <v>5000</v>
      </c>
      <c r="Y316" s="9" t="str">
        <f>$X$80</f>
        <v>ship ferry</v>
      </c>
      <c r="Z316" s="9">
        <f>$F$19</f>
        <v>2000</v>
      </c>
      <c r="AA316" s="9">
        <f>$AA$80</f>
        <v>0.109</v>
      </c>
      <c r="AB316" s="9">
        <f>AA316*Z316*X316/1000</f>
        <v>1090</v>
      </c>
      <c r="AC316" s="9">
        <f>$AD$80</f>
        <v>1.5</v>
      </c>
      <c r="AD316" s="9">
        <f>AC316*Z316*X316/1000</f>
        <v>15000</v>
      </c>
      <c r="AF316" s="9" t="s">
        <v>61</v>
      </c>
      <c r="AG316" s="9">
        <f>$G$19</f>
        <v>500</v>
      </c>
      <c r="AH316" s="9">
        <f>$AA$78</f>
        <v>8.9976823999999997E-2</v>
      </c>
      <c r="AI316" s="9">
        <f>AH316*AG316*X316/1000</f>
        <v>224.94206</v>
      </c>
      <c r="AJ316" s="9">
        <f>$AD$78</f>
        <v>1.52</v>
      </c>
      <c r="AK316" s="9">
        <f>AJ316*AG316*X316/1000</f>
        <v>3800</v>
      </c>
      <c r="AN316" s="11">
        <f>AI316+AB316</f>
        <v>1314.9420600000001</v>
      </c>
      <c r="AO316" s="11">
        <f>AD316+AK316</f>
        <v>18800</v>
      </c>
      <c r="AS316" s="9" t="s">
        <v>161</v>
      </c>
      <c r="AT316" s="9">
        <f>$G$21</f>
        <v>200</v>
      </c>
      <c r="AU316" s="9">
        <f>$AA$78</f>
        <v>8.9976823999999997E-2</v>
      </c>
      <c r="AV316" s="11">
        <f>(AU316*AT316*X316)/1000</f>
        <v>89.976824000000008</v>
      </c>
      <c r="AW316" s="9">
        <f>$AD$78</f>
        <v>1.52</v>
      </c>
      <c r="AX316" s="11">
        <f>(AW316*AT316*X316)/1000</f>
        <v>1520</v>
      </c>
      <c r="BB316" s="74">
        <f>AV316+AN316+R316+J316</f>
        <v>19172.811739278764</v>
      </c>
      <c r="BC316" s="11">
        <f>AX316+AO316+U316+M316</f>
        <v>270545.86611506523</v>
      </c>
    </row>
    <row r="317" spans="1:55" x14ac:dyDescent="0.3">
      <c r="F317" s="1"/>
      <c r="H317" s="14"/>
      <c r="J317" s="5"/>
      <c r="M317" s="5"/>
      <c r="R317" s="5"/>
      <c r="U317" s="5"/>
      <c r="AN317" s="5"/>
      <c r="AO317" s="5"/>
      <c r="AV317" s="5"/>
      <c r="AX317" s="5"/>
      <c r="BB317" s="6"/>
      <c r="BC317" s="5"/>
    </row>
    <row r="318" spans="1:55" x14ac:dyDescent="0.3">
      <c r="E318" t="s">
        <v>12</v>
      </c>
      <c r="F318" s="1"/>
      <c r="G318">
        <f>AG174</f>
        <v>2568.2087781731911</v>
      </c>
      <c r="H318" s="14">
        <f>AA5</f>
        <v>1.57</v>
      </c>
      <c r="I318" s="14">
        <f t="shared" ref="I318:I326" si="66">G318*H318</f>
        <v>4032.0877817319101</v>
      </c>
      <c r="J318" s="5"/>
      <c r="K318" s="14">
        <f>AD5</f>
        <v>20.9</v>
      </c>
      <c r="L318">
        <f>K318*G318</f>
        <v>53675.563463819693</v>
      </c>
      <c r="M318" s="5"/>
      <c r="P318" s="14">
        <f>AI5</f>
        <v>3.368E-4</v>
      </c>
      <c r="Q318">
        <f t="shared" ref="Q318:Q326" si="67">P318*G318</f>
        <v>0.86497271648873075</v>
      </c>
      <c r="R318" s="5"/>
      <c r="S318" s="14">
        <f>AL5</f>
        <v>1.192E-2</v>
      </c>
      <c r="T318">
        <f t="shared" ref="T318:T326" si="68">S318*G318</f>
        <v>30.613048635824438</v>
      </c>
      <c r="U318" s="5"/>
      <c r="AN318" s="5"/>
      <c r="AO318" s="5"/>
      <c r="AV318" s="5"/>
      <c r="AX318" s="5"/>
      <c r="BB318" s="6"/>
      <c r="BC318" s="5"/>
    </row>
    <row r="319" spans="1:55" x14ac:dyDescent="0.3">
      <c r="E319" t="s">
        <v>420</v>
      </c>
      <c r="F319" s="1"/>
      <c r="G319">
        <f t="shared" ref="G319:G325" si="69">AG175</f>
        <v>794.78054567022537</v>
      </c>
      <c r="H319" s="14">
        <f>AA6</f>
        <v>1.7</v>
      </c>
      <c r="I319" s="14">
        <f t="shared" si="66"/>
        <v>1351.126927639383</v>
      </c>
      <c r="J319" s="5"/>
      <c r="K319" s="14">
        <f>AD6</f>
        <v>22</v>
      </c>
      <c r="L319">
        <f t="shared" ref="L319:L326" si="70">K319*G319</f>
        <v>17485.172004744956</v>
      </c>
      <c r="M319" s="5"/>
      <c r="P319" s="14">
        <f>AI6</f>
        <v>4.9599999999999998E-2</v>
      </c>
      <c r="Q319">
        <f t="shared" si="67"/>
        <v>39.421115065243178</v>
      </c>
      <c r="R319" s="5"/>
      <c r="S319" s="14">
        <f>AL6</f>
        <v>2.5520000000000001E-2</v>
      </c>
      <c r="T319">
        <f t="shared" si="68"/>
        <v>20.282799525504153</v>
      </c>
      <c r="U319" s="5"/>
      <c r="AN319" s="5"/>
      <c r="AO319" s="5"/>
      <c r="AV319" s="5"/>
      <c r="AX319" s="5"/>
      <c r="BB319" s="6"/>
      <c r="BC319" s="5"/>
    </row>
    <row r="320" spans="1:55" x14ac:dyDescent="0.3">
      <c r="E320" t="s">
        <v>113</v>
      </c>
      <c r="F320" s="1"/>
      <c r="G320">
        <f t="shared" si="69"/>
        <v>907.47330960854094</v>
      </c>
      <c r="H320" s="14">
        <f>AA8</f>
        <v>4.63</v>
      </c>
      <c r="I320" s="14">
        <f t="shared" si="66"/>
        <v>4201.6014234875447</v>
      </c>
      <c r="J320" s="5"/>
      <c r="K320" s="14">
        <f>AD8</f>
        <v>69.3</v>
      </c>
      <c r="L320">
        <f t="shared" si="70"/>
        <v>62887.900355871883</v>
      </c>
      <c r="M320" s="5"/>
      <c r="P320" s="14">
        <f>AI8</f>
        <v>4.9599999999999998E-2</v>
      </c>
      <c r="Q320">
        <f t="shared" si="67"/>
        <v>45.010676156583628</v>
      </c>
      <c r="R320" s="5"/>
      <c r="S320" s="14">
        <f>AL8</f>
        <v>2.5520000000000001E-2</v>
      </c>
      <c r="T320">
        <f t="shared" si="68"/>
        <v>23.158718861209966</v>
      </c>
      <c r="U320" s="5"/>
      <c r="AN320" s="5"/>
      <c r="AO320" s="5"/>
      <c r="AV320" s="5"/>
      <c r="AX320" s="5"/>
      <c r="BB320" s="6"/>
      <c r="BC320" s="5"/>
    </row>
    <row r="321" spans="1:55" x14ac:dyDescent="0.3">
      <c r="E321" t="s">
        <v>141</v>
      </c>
      <c r="F321" s="1"/>
      <c r="G321">
        <f t="shared" si="69"/>
        <v>456.70225385527874</v>
      </c>
      <c r="H321" s="14">
        <f>AA9</f>
        <v>12.7</v>
      </c>
      <c r="I321" s="14">
        <f t="shared" si="66"/>
        <v>5800.1186239620392</v>
      </c>
      <c r="J321" s="5"/>
      <c r="K321" s="14">
        <f>AD9</f>
        <v>149</v>
      </c>
      <c r="L321">
        <f t="shared" si="70"/>
        <v>68048.635824436526</v>
      </c>
      <c r="M321" s="5"/>
      <c r="P321" s="14">
        <f>AI9</f>
        <v>1.1280000000000001E-3</v>
      </c>
      <c r="Q321">
        <f t="shared" si="67"/>
        <v>0.51516014234875451</v>
      </c>
      <c r="R321" s="5"/>
      <c r="S321" s="14">
        <f>AL9</f>
        <v>3.1760000000000004E-2</v>
      </c>
      <c r="T321">
        <f t="shared" si="68"/>
        <v>14.504863582443654</v>
      </c>
      <c r="U321" s="5"/>
      <c r="AN321" s="5"/>
      <c r="AO321" s="5"/>
      <c r="AV321" s="5"/>
      <c r="AX321" s="5"/>
      <c r="BB321" s="6"/>
      <c r="BC321" s="5"/>
    </row>
    <row r="322" spans="1:55" x14ac:dyDescent="0.3">
      <c r="E322" t="s">
        <v>851</v>
      </c>
      <c r="F322" s="1"/>
      <c r="G322">
        <f t="shared" si="69"/>
        <v>94.899169632265725</v>
      </c>
      <c r="H322" s="14">
        <f>AA48</f>
        <v>2.42</v>
      </c>
      <c r="I322" s="14">
        <f t="shared" si="66"/>
        <v>229.65599051008306</v>
      </c>
      <c r="J322" s="5"/>
      <c r="K322" s="14">
        <f>AD48</f>
        <v>59.4</v>
      </c>
      <c r="L322">
        <f t="shared" si="70"/>
        <v>5637.0106761565839</v>
      </c>
      <c r="M322" s="5"/>
      <c r="P322" s="14">
        <f>AI48</f>
        <v>1.1884000000000001</v>
      </c>
      <c r="Q322">
        <f t="shared" si="67"/>
        <v>112.7781731909846</v>
      </c>
      <c r="R322" s="5"/>
      <c r="S322" s="14">
        <f>AL48</f>
        <v>4.9995000000000003</v>
      </c>
      <c r="T322">
        <f t="shared" si="68"/>
        <v>474.44839857651255</v>
      </c>
      <c r="U322" s="5"/>
      <c r="AN322" s="5"/>
      <c r="AO322" s="5"/>
      <c r="AV322" s="5"/>
      <c r="AX322" s="5"/>
      <c r="BB322" s="6"/>
      <c r="BC322" s="5"/>
    </row>
    <row r="323" spans="1:55" x14ac:dyDescent="0.3">
      <c r="E323" t="s">
        <v>852</v>
      </c>
      <c r="F323" s="1"/>
      <c r="G323">
        <f t="shared" si="69"/>
        <v>177.93594306049823</v>
      </c>
      <c r="I323" s="14"/>
      <c r="J323" s="5"/>
      <c r="M323" s="5"/>
      <c r="R323" s="5"/>
      <c r="U323" s="5"/>
      <c r="AN323" s="5"/>
      <c r="AO323" s="5"/>
      <c r="AV323" s="5"/>
      <c r="AX323" s="5"/>
      <c r="BB323" s="6"/>
      <c r="BC323" s="5"/>
    </row>
    <row r="324" spans="1:55" x14ac:dyDescent="0.3">
      <c r="E324" t="s">
        <v>592</v>
      </c>
      <c r="F324" s="1"/>
      <c r="G324">
        <f t="shared" si="69"/>
        <v>15309.608540925268</v>
      </c>
      <c r="H324" s="14">
        <f>AA85</f>
        <v>8.9499999999999996E-2</v>
      </c>
      <c r="I324" s="14">
        <f t="shared" si="66"/>
        <v>1370.2099644128114</v>
      </c>
      <c r="J324" s="5"/>
      <c r="K324" s="14">
        <f>AD85</f>
        <v>2.23</v>
      </c>
      <c r="L324">
        <f t="shared" si="70"/>
        <v>34140.42704626335</v>
      </c>
      <c r="M324" s="5"/>
      <c r="P324" s="14">
        <f>AI85</f>
        <v>0</v>
      </c>
      <c r="Q324">
        <f t="shared" si="67"/>
        <v>0</v>
      </c>
      <c r="R324" s="5"/>
      <c r="S324" s="14">
        <f>AL85</f>
        <v>0</v>
      </c>
      <c r="T324">
        <f t="shared" si="68"/>
        <v>0</v>
      </c>
      <c r="U324" s="5"/>
      <c r="AN324" s="5"/>
      <c r="AO324" s="5"/>
      <c r="AV324" s="5"/>
      <c r="AX324" s="5"/>
      <c r="BB324" s="6"/>
      <c r="BC324" s="5"/>
    </row>
    <row r="325" spans="1:55" x14ac:dyDescent="0.3">
      <c r="E325" t="s">
        <v>106</v>
      </c>
      <c r="F325" s="1"/>
      <c r="G325">
        <f t="shared" si="69"/>
        <v>8348.7544483985766</v>
      </c>
      <c r="H325" s="14">
        <f>AA84</f>
        <v>6.6600000000000006E-2</v>
      </c>
      <c r="I325" s="14">
        <f t="shared" si="66"/>
        <v>556.02704626334526</v>
      </c>
      <c r="J325" s="5"/>
      <c r="K325" s="14">
        <f>AD84</f>
        <v>0.88</v>
      </c>
      <c r="L325">
        <f t="shared" si="70"/>
        <v>7346.9039145907473</v>
      </c>
      <c r="M325" s="5"/>
      <c r="P325" s="14">
        <f>AI84</f>
        <v>0</v>
      </c>
      <c r="Q325">
        <f t="shared" si="67"/>
        <v>0</v>
      </c>
      <c r="R325" s="5"/>
      <c r="S325" s="14">
        <f>AL84</f>
        <v>0</v>
      </c>
      <c r="T325">
        <f t="shared" si="68"/>
        <v>0</v>
      </c>
      <c r="U325" s="5"/>
      <c r="AN325" s="5"/>
      <c r="AO325" s="5"/>
      <c r="AV325" s="5"/>
      <c r="AX325" s="5"/>
      <c r="BB325" s="6"/>
      <c r="BC325" s="5"/>
    </row>
    <row r="326" spans="1:55" x14ac:dyDescent="0.3">
      <c r="E326" t="s">
        <v>138</v>
      </c>
      <c r="F326" s="1"/>
      <c r="G326">
        <f>AG185</f>
        <v>5</v>
      </c>
      <c r="H326" s="14">
        <f>AA35</f>
        <v>5.6</v>
      </c>
      <c r="I326" s="14">
        <f t="shared" si="66"/>
        <v>28</v>
      </c>
      <c r="J326" s="5"/>
      <c r="K326" s="14">
        <f>AD35</f>
        <v>88</v>
      </c>
      <c r="L326">
        <f t="shared" si="70"/>
        <v>440</v>
      </c>
      <c r="M326" s="5"/>
      <c r="P326" s="14">
        <f>AI35</f>
        <v>9.5000000000000001E-2</v>
      </c>
      <c r="Q326">
        <f t="shared" si="67"/>
        <v>0.47499999999999998</v>
      </c>
      <c r="R326" s="5"/>
      <c r="S326" s="14">
        <f>AL35</f>
        <v>0.249</v>
      </c>
      <c r="T326">
        <f t="shared" si="68"/>
        <v>1.2450000000000001</v>
      </c>
      <c r="U326" s="5"/>
      <c r="AN326" s="5"/>
      <c r="AO326" s="5"/>
      <c r="AV326" s="5"/>
      <c r="AX326" s="5"/>
      <c r="BB326" s="6"/>
      <c r="BC326" s="5"/>
    </row>
    <row r="327" spans="1:55" s="12" customFormat="1" x14ac:dyDescent="0.3">
      <c r="A327"/>
      <c r="C327" s="12" t="s">
        <v>71</v>
      </c>
      <c r="F327" s="68"/>
      <c r="I327" s="12">
        <f t="shared" si="14"/>
        <v>0</v>
      </c>
      <c r="J327" s="13"/>
      <c r="M327" s="13"/>
      <c r="Q327" s="12">
        <f>P327*G327</f>
        <v>0</v>
      </c>
      <c r="R327" s="13"/>
      <c r="U327" s="13"/>
      <c r="AN327" s="13"/>
      <c r="AO327" s="13"/>
      <c r="AV327" s="13"/>
      <c r="AX327" s="13"/>
      <c r="BB327" s="73"/>
      <c r="BC327" s="13"/>
    </row>
    <row r="328" spans="1:55" s="9" customFormat="1" x14ac:dyDescent="0.3">
      <c r="A328"/>
      <c r="D328" s="9" t="s">
        <v>50</v>
      </c>
      <c r="F328" s="67"/>
      <c r="G328" s="9">
        <f>SUM(G329:G332)</f>
        <v>1715825</v>
      </c>
      <c r="I328" s="9">
        <f t="shared" si="14"/>
        <v>0</v>
      </c>
      <c r="J328" s="11">
        <f>SUM(I329:I331)</f>
        <v>430227.06353035715</v>
      </c>
      <c r="M328" s="11">
        <f>SUM(L329:L331)</f>
        <v>4099445.413232143</v>
      </c>
      <c r="Q328" s="9">
        <f>P328*G328</f>
        <v>0</v>
      </c>
      <c r="R328" s="11">
        <f>SUM(Q329:Q331)</f>
        <v>8314.5546681519991</v>
      </c>
      <c r="U328" s="11">
        <f>SUM(T329:T331)</f>
        <v>335628.65734879993</v>
      </c>
      <c r="AN328" s="11"/>
      <c r="AO328" s="11"/>
      <c r="AV328" s="11"/>
      <c r="AX328" s="11"/>
      <c r="BB328" s="74"/>
      <c r="BC328" s="11"/>
    </row>
    <row r="329" spans="1:55" x14ac:dyDescent="0.3">
      <c r="E329" t="s">
        <v>28</v>
      </c>
      <c r="F329" s="69"/>
      <c r="G329">
        <f>O16</f>
        <v>1607384.8599999999</v>
      </c>
      <c r="H329">
        <f>AA42</f>
        <v>0.11383928571428571</v>
      </c>
      <c r="I329">
        <f>G329*H329</f>
        <v>182983.54433035714</v>
      </c>
      <c r="J329" s="5"/>
      <c r="K329">
        <f>AD42</f>
        <v>0.8705357142857143</v>
      </c>
      <c r="L329">
        <f>K329*G329</f>
        <v>1399285.9272321428</v>
      </c>
      <c r="M329" s="5"/>
      <c r="P329">
        <f>AI42</f>
        <v>5.1500000000000001E-3</v>
      </c>
      <c r="Q329">
        <f>P329*G329</f>
        <v>8278.032029</v>
      </c>
      <c r="R329" s="5"/>
      <c r="S329">
        <f>AL42</f>
        <v>0.20799999999999999</v>
      </c>
      <c r="T329">
        <f t="shared" si="16"/>
        <v>334336.05087999994</v>
      </c>
      <c r="U329" s="5"/>
      <c r="X329">
        <f>G329</f>
        <v>1607384.8599999999</v>
      </c>
      <c r="Y329" s="9" t="str">
        <f>$X$80</f>
        <v>ship ferry</v>
      </c>
      <c r="Z329">
        <v>0</v>
      </c>
      <c r="AA329" s="9">
        <f>$AA$80</f>
        <v>0.109</v>
      </c>
      <c r="AB329">
        <f>AA329*Z329*X329/1000</f>
        <v>0</v>
      </c>
      <c r="AC329" s="9">
        <f>$AD$80</f>
        <v>1.5</v>
      </c>
      <c r="AD329" s="9">
        <f>AC329*Z329*X329/1000</f>
        <v>0</v>
      </c>
      <c r="AF329" t="s">
        <v>61</v>
      </c>
      <c r="AG329">
        <f>G22</f>
        <v>50</v>
      </c>
      <c r="AH329" s="9">
        <f>$AA$78</f>
        <v>8.9976823999999997E-2</v>
      </c>
      <c r="AI329">
        <f>AH329*AG329*X329/1000</f>
        <v>7231.369232424232</v>
      </c>
      <c r="AJ329" s="9">
        <f>$AD$78</f>
        <v>1.52</v>
      </c>
      <c r="AK329" s="9">
        <f>AJ329*AG329*X329/1000</f>
        <v>122161.24935999999</v>
      </c>
      <c r="AN329" s="5">
        <f>AI329+AB329</f>
        <v>7231.369232424232</v>
      </c>
      <c r="AO329" s="11">
        <f>AD329+AK329</f>
        <v>122161.24935999999</v>
      </c>
      <c r="AS329" s="9" t="s">
        <v>161</v>
      </c>
      <c r="AT329" s="9">
        <f>$G$21</f>
        <v>200</v>
      </c>
      <c r="AU329" s="9">
        <f>$AA$78</f>
        <v>8.9976823999999997E-2</v>
      </c>
      <c r="AV329" s="11">
        <f>(AU329*AT329*X329)/1000</f>
        <v>28925.476929696928</v>
      </c>
      <c r="AW329" s="9">
        <f>$AD$78</f>
        <v>1.52</v>
      </c>
      <c r="AX329" s="11">
        <f>(AW329*AT329*X329)/1000</f>
        <v>488644.99743999995</v>
      </c>
      <c r="BB329" s="74">
        <f>AV329+AN329+Q329+I329</f>
        <v>227418.42252147829</v>
      </c>
      <c r="BC329" s="11">
        <f>AX329+AO329+T329+L329</f>
        <v>2344428.2249121424</v>
      </c>
    </row>
    <row r="330" spans="1:55" x14ac:dyDescent="0.3">
      <c r="E330" t="s">
        <v>29</v>
      </c>
      <c r="F330" s="69"/>
      <c r="G330">
        <f>O17</f>
        <v>108440.14000000001</v>
      </c>
      <c r="H330">
        <f>AA11</f>
        <v>2.2799999999999998</v>
      </c>
      <c r="I330">
        <f>G330*H330</f>
        <v>247243.51920000001</v>
      </c>
      <c r="J330" s="5"/>
      <c r="K330">
        <f>AD11</f>
        <v>24.9</v>
      </c>
      <c r="L330">
        <f t="shared" ref="L330" si="71">K330*G330</f>
        <v>2700159.486</v>
      </c>
      <c r="M330" s="5"/>
      <c r="P330">
        <f>AI11</f>
        <v>3.368E-4</v>
      </c>
      <c r="Q330">
        <f>P330*G330</f>
        <v>36.522639152000004</v>
      </c>
      <c r="R330" s="5"/>
      <c r="S330">
        <f>AL11</f>
        <v>1.192E-2</v>
      </c>
      <c r="T330">
        <f t="shared" si="16"/>
        <v>1292.6064688000001</v>
      </c>
      <c r="U330" s="5"/>
      <c r="X330">
        <f>G330</f>
        <v>108440.14000000001</v>
      </c>
      <c r="Y330" s="9" t="str">
        <f>$X$80</f>
        <v>ship ferry</v>
      </c>
      <c r="Z330">
        <f>$F$19</f>
        <v>2000</v>
      </c>
      <c r="AA330" s="9">
        <f>$AA$80</f>
        <v>0.109</v>
      </c>
      <c r="AB330">
        <f>AA330*Z330*X330/1000</f>
        <v>23639.950520000002</v>
      </c>
      <c r="AC330" s="9">
        <f>$AD$80</f>
        <v>1.5</v>
      </c>
      <c r="AD330" s="9">
        <f>AC330*Z330*X330/1000</f>
        <v>325320.42000000004</v>
      </c>
      <c r="AF330" t="s">
        <v>61</v>
      </c>
      <c r="AG330">
        <f>$G$19</f>
        <v>500</v>
      </c>
      <c r="AH330" s="9">
        <f>$AA$78</f>
        <v>8.9976823999999997E-2</v>
      </c>
      <c r="AI330">
        <f>AH330*AG330*X330/1000</f>
        <v>4878.5496956576799</v>
      </c>
      <c r="AJ330" s="9">
        <f>$AD$78</f>
        <v>1.52</v>
      </c>
      <c r="AK330" s="9">
        <f>AJ330*AG330*X330/1000</f>
        <v>82414.506400000013</v>
      </c>
      <c r="AN330" s="5">
        <f>AI330+AB330</f>
        <v>28518.500215657681</v>
      </c>
      <c r="AO330" s="11">
        <f>AD330+AK330</f>
        <v>407734.92640000005</v>
      </c>
      <c r="AS330" s="9" t="s">
        <v>161</v>
      </c>
      <c r="AT330" s="9">
        <f>$G$21</f>
        <v>200</v>
      </c>
      <c r="AU330" s="9">
        <f>$AA$78</f>
        <v>8.9976823999999997E-2</v>
      </c>
      <c r="AV330" s="11">
        <f>(AU330*AT330*X330)/1000</f>
        <v>1951.4198782630724</v>
      </c>
      <c r="AW330" s="9">
        <f>$AD$78</f>
        <v>1.52</v>
      </c>
      <c r="AX330" s="11">
        <f>(AW330*AT330*X330)/1000</f>
        <v>32965.802560000004</v>
      </c>
      <c r="BB330" s="74">
        <f>AV330+AN330+Q330+I330</f>
        <v>277749.96193307277</v>
      </c>
      <c r="BC330" s="11">
        <f>AX330+AO330+T330+L330</f>
        <v>3142152.8214288</v>
      </c>
    </row>
    <row r="331" spans="1:55" x14ac:dyDescent="0.3">
      <c r="F331" s="69"/>
      <c r="J331" s="5"/>
      <c r="M331" s="5"/>
      <c r="R331" s="5"/>
      <c r="U331" s="5"/>
      <c r="Y331" s="9"/>
      <c r="AA331" s="245"/>
      <c r="AC331" s="9"/>
      <c r="AD331" s="9"/>
      <c r="AH331" s="9"/>
      <c r="AJ331" s="9"/>
      <c r="AK331" s="9"/>
      <c r="AN331" s="5"/>
      <c r="AO331" s="11"/>
      <c r="AS331" s="9"/>
      <c r="AT331" s="9"/>
      <c r="AU331" s="9"/>
      <c r="AV331" s="11"/>
      <c r="AW331" s="9"/>
      <c r="AX331" s="11"/>
      <c r="BB331" s="74"/>
      <c r="BC331" s="11"/>
    </row>
    <row r="332" spans="1:55" x14ac:dyDescent="0.3">
      <c r="F332" s="1"/>
      <c r="J332" s="5"/>
      <c r="M332" s="5"/>
      <c r="R332" s="5"/>
      <c r="U332" s="5"/>
      <c r="AN332" s="5"/>
      <c r="AO332" s="5"/>
      <c r="AV332" s="5"/>
      <c r="AX332" s="5"/>
      <c r="BB332" s="6"/>
      <c r="BC332" s="5"/>
    </row>
    <row r="333" spans="1:55" s="12" customFormat="1" x14ac:dyDescent="0.3">
      <c r="A333"/>
      <c r="C333" s="12" t="s">
        <v>139</v>
      </c>
      <c r="F333" s="68"/>
      <c r="J333" s="13"/>
      <c r="M333" s="13"/>
      <c r="Q333" s="12">
        <f t="shared" ref="Q333:Q347" si="72">P333*G333</f>
        <v>0</v>
      </c>
      <c r="R333" s="13"/>
      <c r="U333" s="13"/>
      <c r="AN333" s="13"/>
      <c r="AO333" s="13"/>
      <c r="AV333" s="13"/>
      <c r="AX333" s="13"/>
      <c r="BB333" s="73"/>
      <c r="BC333" s="13"/>
    </row>
    <row r="334" spans="1:55" s="9" customFormat="1" x14ac:dyDescent="0.3">
      <c r="A334"/>
      <c r="D334" s="9" t="s">
        <v>142</v>
      </c>
      <c r="F334" s="67"/>
      <c r="G334" s="7">
        <f>R58</f>
        <v>5253.7653</v>
      </c>
      <c r="J334" s="11">
        <f>SUM(I335:I340)</f>
        <v>31166.124364025545</v>
      </c>
      <c r="M334" s="11">
        <f>SUM(L335:L340)</f>
        <v>531826.82222773915</v>
      </c>
      <c r="Q334" s="9">
        <f t="shared" si="72"/>
        <v>0</v>
      </c>
      <c r="R334" s="11">
        <f>SUM(Q335:Q340)</f>
        <v>4662.2410766767862</v>
      </c>
      <c r="U334" s="11">
        <f>SUM(T335:T340)</f>
        <v>9758.9217014419428</v>
      </c>
      <c r="X334" s="9">
        <f>G334</f>
        <v>5253.7653</v>
      </c>
      <c r="Y334" s="9" t="str">
        <f>$X$80</f>
        <v>ship ferry</v>
      </c>
      <c r="Z334" s="9">
        <f>$F$19</f>
        <v>2000</v>
      </c>
      <c r="AA334" s="9">
        <f>$AA$80</f>
        <v>0.109</v>
      </c>
      <c r="AB334" s="9">
        <f>AA334*Z334*X334/1000</f>
        <v>1145.3208354000001</v>
      </c>
      <c r="AC334" s="9">
        <f>$AD$80</f>
        <v>1.5</v>
      </c>
      <c r="AD334" s="9">
        <f>AC334*Z334*X334/1000</f>
        <v>15761.295900000001</v>
      </c>
      <c r="AF334" s="9" t="s">
        <v>61</v>
      </c>
      <c r="AG334" s="9">
        <f>$G$19</f>
        <v>500</v>
      </c>
      <c r="AH334" s="9">
        <f>$AA$78</f>
        <v>8.9976823999999997E-2</v>
      </c>
      <c r="AI334" s="9">
        <f>AH334*AG334*X334/1000</f>
        <v>236.35855786770358</v>
      </c>
      <c r="AJ334" s="9">
        <f>$AD$78</f>
        <v>1.52</v>
      </c>
      <c r="AK334" s="9">
        <f>AJ334*AG334*X334/1000</f>
        <v>3992.8616280000001</v>
      </c>
      <c r="AN334" s="11">
        <f>AI334+AB334</f>
        <v>1381.6793932677037</v>
      </c>
      <c r="AO334" s="11">
        <f>AD334+AK334</f>
        <v>19754.157528</v>
      </c>
      <c r="AS334" s="9" t="s">
        <v>161</v>
      </c>
      <c r="AT334" s="9">
        <f>$G$21</f>
        <v>200</v>
      </c>
      <c r="AU334" s="9">
        <f>$AA$78</f>
        <v>8.9976823999999997E-2</v>
      </c>
      <c r="AV334" s="11">
        <f>(AU334*AT334*X334)/1000</f>
        <v>94.543423147081441</v>
      </c>
      <c r="AW334" s="9">
        <f>$AD$78</f>
        <v>1.52</v>
      </c>
      <c r="AX334" s="11">
        <f>(AW334*AT334*X334)/1000</f>
        <v>1597.1446512</v>
      </c>
      <c r="BB334" s="74">
        <f>AV334+AN334+R334+J334</f>
        <v>37304.588257117117</v>
      </c>
      <c r="BC334" s="11">
        <f>AX334+AO334+U334+M334</f>
        <v>562937.04610838112</v>
      </c>
    </row>
    <row r="335" spans="1:55" x14ac:dyDescent="0.3">
      <c r="E335" t="s">
        <v>141</v>
      </c>
      <c r="F335" s="69"/>
      <c r="G335">
        <f>R50</f>
        <v>1543.1471999999999</v>
      </c>
      <c r="H335">
        <f>AA9</f>
        <v>12.7</v>
      </c>
      <c r="I335">
        <f t="shared" ref="I335:I340" si="73">G335*H335</f>
        <v>19597.969439999997</v>
      </c>
      <c r="J335" s="5"/>
      <c r="K335">
        <f>AD9</f>
        <v>149</v>
      </c>
      <c r="L335">
        <f>K335*G335</f>
        <v>229928.93279999998</v>
      </c>
      <c r="M335" s="5"/>
      <c r="P335">
        <f>AI9</f>
        <v>1.1280000000000001E-3</v>
      </c>
      <c r="Q335">
        <f t="shared" si="72"/>
        <v>1.7406700416000001</v>
      </c>
      <c r="R335" s="5"/>
      <c r="S335">
        <f>AL9</f>
        <v>3.1760000000000004E-2</v>
      </c>
      <c r="T335">
        <f t="shared" si="16"/>
        <v>49.010355072000003</v>
      </c>
      <c r="U335" s="5"/>
      <c r="AN335" s="5"/>
      <c r="AO335" s="5"/>
      <c r="AV335" s="5"/>
      <c r="AX335" s="5"/>
      <c r="BB335" s="6"/>
      <c r="BC335" s="5"/>
    </row>
    <row r="336" spans="1:55" x14ac:dyDescent="0.3">
      <c r="E336" t="s">
        <v>127</v>
      </c>
      <c r="F336" s="69"/>
      <c r="G336">
        <f>R51</f>
        <v>1550.8390189386921</v>
      </c>
      <c r="H336">
        <f>AA49</f>
        <v>2.46</v>
      </c>
      <c r="I336">
        <f t="shared" si="73"/>
        <v>3815.0639865891826</v>
      </c>
      <c r="J336" s="5"/>
      <c r="K336">
        <f>AD49</f>
        <v>82.9</v>
      </c>
      <c r="L336">
        <f t="shared" ref="L336" si="74">K336*G336</f>
        <v>128564.55467001759</v>
      </c>
      <c r="M336" s="5"/>
      <c r="P336">
        <f>AI49</f>
        <v>1.554</v>
      </c>
      <c r="Q336">
        <f t="shared" si="72"/>
        <v>2410.0038354307276</v>
      </c>
      <c r="R336" s="5"/>
      <c r="S336">
        <f>AL49</f>
        <v>0.189</v>
      </c>
      <c r="T336">
        <f t="shared" si="16"/>
        <v>293.10857457941279</v>
      </c>
      <c r="U336" s="5"/>
      <c r="AN336" s="5"/>
      <c r="AO336" s="5"/>
      <c r="AV336" s="5"/>
      <c r="AX336" s="5"/>
      <c r="BB336" s="6"/>
      <c r="BC336" s="5"/>
    </row>
    <row r="337" spans="1:55" x14ac:dyDescent="0.3">
      <c r="E337" t="s">
        <v>129</v>
      </c>
      <c r="F337" s="69"/>
      <c r="G337">
        <f>R53</f>
        <v>1882.1316550613078</v>
      </c>
      <c r="H337">
        <f>AA48</f>
        <v>2.42</v>
      </c>
      <c r="I337">
        <f t="shared" si="73"/>
        <v>4554.7586052483648</v>
      </c>
      <c r="J337" s="5"/>
      <c r="K337">
        <f>AD48</f>
        <v>59.4</v>
      </c>
      <c r="L337">
        <f>K337*G337</f>
        <v>111798.62031064168</v>
      </c>
      <c r="M337" s="5"/>
      <c r="P337">
        <f>AI48</f>
        <v>1.1884000000000001</v>
      </c>
      <c r="Q337">
        <f t="shared" si="72"/>
        <v>2236.7252588748584</v>
      </c>
      <c r="R337" s="5"/>
      <c r="S337">
        <f>AL48</f>
        <v>4.9995000000000003</v>
      </c>
      <c r="T337">
        <f t="shared" si="16"/>
        <v>9409.7172094790094</v>
      </c>
      <c r="U337" s="5"/>
      <c r="AN337" s="5"/>
      <c r="AO337" s="5"/>
      <c r="AV337" s="5"/>
      <c r="AX337" s="5"/>
      <c r="BB337" s="6"/>
      <c r="BC337" s="5"/>
    </row>
    <row r="338" spans="1:55" x14ac:dyDescent="0.3">
      <c r="E338" t="s">
        <v>113</v>
      </c>
      <c r="F338" s="69"/>
      <c r="G338">
        <f>R52</f>
        <v>277.647426</v>
      </c>
      <c r="H338" s="14">
        <f>H345</f>
        <v>4.63</v>
      </c>
      <c r="I338">
        <f t="shared" si="73"/>
        <v>1285.50758238</v>
      </c>
      <c r="J338" s="5"/>
      <c r="K338" s="14">
        <f>K345</f>
        <v>69.3</v>
      </c>
      <c r="L338">
        <f>K338*G338</f>
        <v>19240.966621799998</v>
      </c>
      <c r="M338" s="5"/>
      <c r="P338">
        <f>P345</f>
        <v>4.9599999999999998E-2</v>
      </c>
      <c r="Q338">
        <f t="shared" si="72"/>
        <v>13.771312329599999</v>
      </c>
      <c r="R338" s="5"/>
      <c r="S338">
        <f>S345</f>
        <v>2.5520000000000001E-2</v>
      </c>
      <c r="T338">
        <f t="shared" si="16"/>
        <v>7.0855623115200004</v>
      </c>
      <c r="U338" s="5"/>
      <c r="AN338" s="5"/>
      <c r="AO338" s="5"/>
      <c r="AV338" s="5"/>
      <c r="AX338" s="5"/>
      <c r="BB338" s="6"/>
      <c r="BC338" s="5"/>
    </row>
    <row r="339" spans="1:55" x14ac:dyDescent="0.3">
      <c r="E339" s="20" t="s">
        <v>124</v>
      </c>
      <c r="F339" s="69"/>
      <c r="G339">
        <f>R55</f>
        <v>1820.7946259999999</v>
      </c>
      <c r="H339">
        <f>AA21</f>
        <v>0.5</v>
      </c>
      <c r="I339">
        <f t="shared" si="73"/>
        <v>910.39731299999994</v>
      </c>
      <c r="J339" s="5"/>
      <c r="K339">
        <f>AD21</f>
        <v>9.5399999999999991</v>
      </c>
      <c r="L339">
        <f t="shared" ref="L339:L340" si="75">K339*G339</f>
        <v>17370.380732039997</v>
      </c>
      <c r="M339" s="5"/>
      <c r="Q339">
        <f t="shared" si="72"/>
        <v>0</v>
      </c>
      <c r="R339" s="5"/>
      <c r="T339">
        <f t="shared" si="16"/>
        <v>0</v>
      </c>
      <c r="U339" s="5"/>
      <c r="AN339" s="5"/>
      <c r="AO339" s="5"/>
      <c r="AV339" s="5"/>
      <c r="AX339" s="5"/>
      <c r="BB339" s="6"/>
      <c r="BC339" s="5"/>
    </row>
    <row r="340" spans="1:55" x14ac:dyDescent="0.3">
      <c r="E340" s="20" t="s">
        <v>144</v>
      </c>
      <c r="F340" s="1"/>
      <c r="G340">
        <f>R56</f>
        <v>3432.9706740000001</v>
      </c>
      <c r="H340" s="14">
        <f>AA56</f>
        <v>0.29199999999999998</v>
      </c>
      <c r="I340" s="14">
        <f t="shared" si="73"/>
        <v>1002.4274368079999</v>
      </c>
      <c r="J340" s="5"/>
      <c r="K340" s="14">
        <f>AD56</f>
        <v>7.26</v>
      </c>
      <c r="L340">
        <f t="shared" si="75"/>
        <v>24923.367093240002</v>
      </c>
      <c r="M340" s="5"/>
      <c r="Q340">
        <f t="shared" si="72"/>
        <v>0</v>
      </c>
      <c r="R340" s="5"/>
      <c r="T340">
        <f t="shared" ref="T340:T347" si="76">S340*G340</f>
        <v>0</v>
      </c>
      <c r="U340" s="5"/>
      <c r="AN340" s="5"/>
      <c r="AO340" s="5"/>
      <c r="AV340" s="5"/>
      <c r="AX340" s="5"/>
      <c r="BB340" s="6"/>
      <c r="BC340" s="5"/>
    </row>
    <row r="341" spans="1:55" s="9" customFormat="1" x14ac:dyDescent="0.3">
      <c r="A341"/>
      <c r="D341" s="9" t="s">
        <v>143</v>
      </c>
      <c r="F341" s="67"/>
      <c r="G341" s="7">
        <f>S58</f>
        <v>38431.5</v>
      </c>
      <c r="J341" s="11">
        <f>SUM(I342:I347)</f>
        <v>261361.74285888235</v>
      </c>
      <c r="M341" s="11">
        <f>SUM(L342:L347)</f>
        <v>4124734.379593391</v>
      </c>
      <c r="Q341" s="9">
        <f t="shared" si="72"/>
        <v>0</v>
      </c>
      <c r="R341" s="11">
        <f>SUM(Q342:Q347)</f>
        <v>29707.318410184849</v>
      </c>
      <c r="U341" s="11">
        <f>SUM(T342:T347)</f>
        <v>70028.610823659314</v>
      </c>
      <c r="X341" s="9">
        <f>G341</f>
        <v>38431.5</v>
      </c>
      <c r="Y341" s="9" t="str">
        <f>$X$80</f>
        <v>ship ferry</v>
      </c>
      <c r="Z341" s="9">
        <f>$F$19</f>
        <v>2000</v>
      </c>
      <c r="AA341" s="9">
        <f>$AA$80</f>
        <v>0.109</v>
      </c>
      <c r="AB341" s="9">
        <f>AA341*Z341*X341/1000</f>
        <v>8378.0669999999991</v>
      </c>
      <c r="AC341" s="9">
        <f>$AD$80</f>
        <v>1.5</v>
      </c>
      <c r="AD341" s="9">
        <f>AC341*Z341*X341/1000</f>
        <v>115294.5</v>
      </c>
      <c r="AF341" s="9" t="s">
        <v>61</v>
      </c>
      <c r="AG341" s="9">
        <f>$G$19</f>
        <v>500</v>
      </c>
      <c r="AH341" s="9">
        <f>$AA$78</f>
        <v>8.9976823999999997E-2</v>
      </c>
      <c r="AI341" s="9">
        <f>AH341*AG341*X341/1000</f>
        <v>1728.9721557779999</v>
      </c>
      <c r="AJ341" s="9">
        <f>$AD$78</f>
        <v>1.52</v>
      </c>
      <c r="AK341" s="9">
        <f>AJ341*AG341*X341/1000</f>
        <v>29207.94</v>
      </c>
      <c r="AN341" s="11">
        <f>AI341+AB341</f>
        <v>10107.039155777999</v>
      </c>
      <c r="AO341" s="11">
        <f>AD341+AK341</f>
        <v>144502.44</v>
      </c>
      <c r="AS341" s="9" t="s">
        <v>161</v>
      </c>
      <c r="AT341" s="9">
        <f>$G$21</f>
        <v>200</v>
      </c>
      <c r="AU341" s="9">
        <f>$AA$78</f>
        <v>8.9976823999999997E-2</v>
      </c>
      <c r="AV341" s="11">
        <f>(AU341*AT341*X341)/1000</f>
        <v>691.58886231120005</v>
      </c>
      <c r="AW341" s="9">
        <f>$AD$78</f>
        <v>1.52</v>
      </c>
      <c r="AX341" s="11">
        <f>(AW341*AT341*X341)/1000</f>
        <v>11683.175999999999</v>
      </c>
      <c r="BB341" s="74">
        <f>AV341+AN341+R341+J341</f>
        <v>301867.68928715639</v>
      </c>
      <c r="BC341" s="11">
        <f>AX341+AO341+U341+M341</f>
        <v>4350948.6064170506</v>
      </c>
    </row>
    <row r="342" spans="1:55" x14ac:dyDescent="0.3">
      <c r="E342" t="s">
        <v>141</v>
      </c>
      <c r="F342" s="69"/>
      <c r="G342">
        <f>S50</f>
        <v>14579.999999999998</v>
      </c>
      <c r="H342">
        <f>AA9</f>
        <v>12.7</v>
      </c>
      <c r="I342">
        <f t="shared" ref="I342:I347" si="77">G342*H342</f>
        <v>185165.99999999997</v>
      </c>
      <c r="J342" s="5"/>
      <c r="K342">
        <f>AD9</f>
        <v>149</v>
      </c>
      <c r="L342">
        <f>K342*G342</f>
        <v>2172419.9999999995</v>
      </c>
      <c r="M342" s="5"/>
      <c r="P342">
        <f>AI9</f>
        <v>1.1280000000000001E-3</v>
      </c>
      <c r="Q342">
        <f t="shared" si="72"/>
        <v>16.44624</v>
      </c>
      <c r="R342" s="5"/>
      <c r="S342">
        <f>AL9</f>
        <v>3.1760000000000004E-2</v>
      </c>
      <c r="T342">
        <f t="shared" si="76"/>
        <v>463.06079999999997</v>
      </c>
      <c r="U342" s="5"/>
      <c r="AN342" s="5"/>
      <c r="AO342" s="5"/>
      <c r="AV342" s="5"/>
      <c r="AX342" s="5"/>
      <c r="BB342" s="6"/>
      <c r="BC342" s="5"/>
    </row>
    <row r="343" spans="1:55" x14ac:dyDescent="0.3">
      <c r="E343" t="s">
        <v>127</v>
      </c>
      <c r="F343" s="69"/>
      <c r="G343">
        <f>S51</f>
        <v>8670.9714720591874</v>
      </c>
      <c r="H343">
        <f>AA49</f>
        <v>2.46</v>
      </c>
      <c r="I343">
        <f t="shared" si="77"/>
        <v>21330.589821265599</v>
      </c>
      <c r="J343" s="5"/>
      <c r="K343">
        <f>AD49</f>
        <v>82.9</v>
      </c>
      <c r="L343">
        <f t="shared" ref="L343" si="78">K343*G343</f>
        <v>718823.53503370669</v>
      </c>
      <c r="M343" s="5"/>
      <c r="P343">
        <f>AI49</f>
        <v>1.554</v>
      </c>
      <c r="Q343">
        <f t="shared" si="72"/>
        <v>13474.689667579978</v>
      </c>
      <c r="R343" s="5"/>
      <c r="S343">
        <f>AL49</f>
        <v>0.189</v>
      </c>
      <c r="T343">
        <f t="shared" si="76"/>
        <v>1638.8136082191863</v>
      </c>
      <c r="U343" s="5"/>
      <c r="AN343" s="5"/>
      <c r="AO343" s="5"/>
      <c r="AV343" s="5"/>
      <c r="AX343" s="5"/>
      <c r="BB343" s="6"/>
      <c r="BC343" s="5"/>
    </row>
    <row r="344" spans="1:55" x14ac:dyDescent="0.3">
      <c r="E344" t="s">
        <v>129</v>
      </c>
      <c r="F344" s="69"/>
      <c r="G344">
        <f>S53</f>
        <v>13578.52852794082</v>
      </c>
      <c r="H344">
        <f>AA48</f>
        <v>2.42</v>
      </c>
      <c r="I344">
        <f t="shared" si="77"/>
        <v>32860.039037616785</v>
      </c>
      <c r="J344" s="5"/>
      <c r="K344">
        <f>AD48</f>
        <v>59.4</v>
      </c>
      <c r="L344">
        <f>K344*G344</f>
        <v>806564.59455968463</v>
      </c>
      <c r="M344" s="5"/>
      <c r="P344">
        <f>AI48</f>
        <v>1.1884000000000001</v>
      </c>
      <c r="Q344">
        <f t="shared" si="72"/>
        <v>16136.723302604873</v>
      </c>
      <c r="R344" s="5"/>
      <c r="S344">
        <f>AL48</f>
        <v>4.9995000000000003</v>
      </c>
      <c r="T344">
        <f t="shared" si="76"/>
        <v>67885.853375440129</v>
      </c>
      <c r="U344" s="5"/>
      <c r="AN344" s="5"/>
      <c r="AO344" s="5"/>
      <c r="AV344" s="5"/>
      <c r="AX344" s="5"/>
      <c r="BB344" s="6"/>
      <c r="BC344" s="5"/>
    </row>
    <row r="345" spans="1:55" x14ac:dyDescent="0.3">
      <c r="E345" t="s">
        <v>113</v>
      </c>
      <c r="F345" s="69"/>
      <c r="G345">
        <f>S52</f>
        <v>1602</v>
      </c>
      <c r="H345" s="14">
        <f>AA8</f>
        <v>4.63</v>
      </c>
      <c r="I345">
        <f t="shared" si="77"/>
        <v>7417.26</v>
      </c>
      <c r="J345" s="5"/>
      <c r="K345" s="14">
        <f>AD8</f>
        <v>69.3</v>
      </c>
      <c r="L345">
        <f>K345*G345</f>
        <v>111018.59999999999</v>
      </c>
      <c r="M345" s="5"/>
      <c r="P345">
        <f>AI8</f>
        <v>4.9599999999999998E-2</v>
      </c>
      <c r="Q345">
        <f t="shared" si="72"/>
        <v>79.459199999999996</v>
      </c>
      <c r="R345" s="5"/>
      <c r="S345">
        <f>AL8</f>
        <v>2.5520000000000001E-2</v>
      </c>
      <c r="T345">
        <f t="shared" si="76"/>
        <v>40.883040000000001</v>
      </c>
      <c r="U345" s="5"/>
      <c r="AN345" s="5"/>
      <c r="AO345" s="5"/>
      <c r="AV345" s="5"/>
      <c r="AX345" s="5"/>
      <c r="BB345" s="6"/>
      <c r="BC345" s="5"/>
    </row>
    <row r="346" spans="1:55" x14ac:dyDescent="0.3">
      <c r="E346" s="20" t="s">
        <v>124</v>
      </c>
      <c r="F346" s="1"/>
      <c r="G346">
        <f>S55</f>
        <v>16181.999999999998</v>
      </c>
      <c r="H346">
        <f>AA21</f>
        <v>0.5</v>
      </c>
      <c r="I346">
        <f t="shared" si="77"/>
        <v>8090.9999999999991</v>
      </c>
      <c r="J346" s="5"/>
      <c r="K346">
        <f>AD21</f>
        <v>9.5399999999999991</v>
      </c>
      <c r="L346">
        <f t="shared" ref="L346:L347" si="79">K346*G346</f>
        <v>154376.27999999997</v>
      </c>
      <c r="M346" s="5"/>
      <c r="Q346">
        <f t="shared" si="72"/>
        <v>0</v>
      </c>
      <c r="R346" s="5"/>
      <c r="T346">
        <f t="shared" si="76"/>
        <v>0</v>
      </c>
      <c r="U346" s="5"/>
      <c r="AN346" s="5"/>
      <c r="AO346" s="5"/>
      <c r="AV346" s="5"/>
      <c r="AX346" s="5"/>
      <c r="BB346" s="6"/>
      <c r="BC346" s="5"/>
    </row>
    <row r="347" spans="1:55" x14ac:dyDescent="0.3">
      <c r="E347" s="20" t="s">
        <v>144</v>
      </c>
      <c r="F347" s="1"/>
      <c r="G347">
        <f>S56</f>
        <v>22249.500000000007</v>
      </c>
      <c r="H347" s="14">
        <f>AA56</f>
        <v>0.29199999999999998</v>
      </c>
      <c r="I347" s="14">
        <f t="shared" si="77"/>
        <v>6496.8540000000021</v>
      </c>
      <c r="J347" s="5"/>
      <c r="K347" s="14">
        <f>AD56</f>
        <v>7.26</v>
      </c>
      <c r="L347">
        <f t="shared" si="79"/>
        <v>161531.37000000005</v>
      </c>
      <c r="M347" s="5"/>
      <c r="Q347">
        <f t="shared" si="72"/>
        <v>0</v>
      </c>
      <c r="R347" s="5"/>
      <c r="T347">
        <f t="shared" si="76"/>
        <v>0</v>
      </c>
      <c r="U347" s="5"/>
      <c r="AN347" s="5"/>
      <c r="AO347" s="5"/>
      <c r="AV347" s="5"/>
      <c r="AX347" s="5"/>
      <c r="BB347" s="6"/>
      <c r="BC347" s="5"/>
    </row>
    <row r="348" spans="1:55" x14ac:dyDescent="0.3">
      <c r="F348" s="1"/>
      <c r="J348" s="5"/>
      <c r="M348" s="5"/>
      <c r="R348" s="5"/>
      <c r="U348" s="5"/>
      <c r="AN348" s="5"/>
      <c r="AO348" s="5"/>
      <c r="AV348" s="5"/>
      <c r="AX348" s="5"/>
      <c r="BB348" s="6"/>
      <c r="BC348" s="5"/>
    </row>
    <row r="349" spans="1:55" x14ac:dyDescent="0.3">
      <c r="F349" s="1"/>
      <c r="J349" s="5"/>
      <c r="M349" s="5"/>
      <c r="R349" s="5"/>
      <c r="U349" s="5"/>
      <c r="AN349" s="5"/>
      <c r="AO349" s="5"/>
      <c r="AV349" s="5"/>
      <c r="AX349" s="5"/>
      <c r="BB349" s="6"/>
      <c r="BC349" s="5"/>
    </row>
    <row r="350" spans="1:55" x14ac:dyDescent="0.3">
      <c r="F350" s="1"/>
      <c r="J350" s="5"/>
      <c r="M350" s="5"/>
      <c r="P350" s="3"/>
      <c r="Q350" s="3"/>
      <c r="R350" s="5"/>
      <c r="S350" s="3"/>
      <c r="U350" s="5"/>
      <c r="AN350" s="5"/>
      <c r="AO350" s="5"/>
      <c r="AV350" s="5"/>
      <c r="AX350" s="5"/>
      <c r="BB350" s="6"/>
      <c r="BC350" s="5"/>
    </row>
    <row r="351" spans="1:55" s="19" customFormat="1" x14ac:dyDescent="0.3">
      <c r="A351"/>
      <c r="I351" s="19" t="s">
        <v>32</v>
      </c>
      <c r="J351" s="21">
        <f>SUM(J200:J350)</f>
        <v>4579436.7456972189</v>
      </c>
      <c r="M351" s="21">
        <f>SUM(M200:M350)</f>
        <v>70374651.985281482</v>
      </c>
      <c r="R351" s="22">
        <f>SUM(R200:R349)</f>
        <v>96991.006146853426</v>
      </c>
      <c r="U351" s="22">
        <f>SUM(U200:U349)</f>
        <v>453567.36390973232</v>
      </c>
      <c r="AN351" s="22">
        <f>SUM(AN200:AN350)</f>
        <v>283925.03580973513</v>
      </c>
      <c r="AO351" s="22">
        <f>SUM(AO200:AO350)</f>
        <v>4078108.123288</v>
      </c>
      <c r="AV351" s="22">
        <f>SUM(AV200:AV350)</f>
        <v>47858.643718461273</v>
      </c>
      <c r="AX351" s="22">
        <f>SUM(AX200:AX350)</f>
        <v>808487.51065119996</v>
      </c>
      <c r="BA351" s="19">
        <f>SUM(BB200:BB350)</f>
        <v>5008211.4313722681</v>
      </c>
      <c r="BB351" s="75"/>
      <c r="BC351" s="21"/>
    </row>
    <row r="352" spans="1:55" x14ac:dyDescent="0.3">
      <c r="J352" s="5"/>
      <c r="M352" s="5"/>
      <c r="BA352">
        <f>AV351+AN351+R351+J351</f>
        <v>5008211.4313722691</v>
      </c>
      <c r="BB352" s="6"/>
      <c r="BC352" s="5"/>
    </row>
    <row r="353" spans="1:55" x14ac:dyDescent="0.3">
      <c r="BB353" s="6"/>
      <c r="BC353" s="5"/>
    </row>
    <row r="354" spans="1:55" s="18" customFormat="1" x14ac:dyDescent="0.3">
      <c r="A354"/>
      <c r="B354" s="25" t="s">
        <v>49</v>
      </c>
      <c r="H354" s="377" t="s">
        <v>32</v>
      </c>
      <c r="I354" s="377"/>
      <c r="J354" s="377"/>
      <c r="K354" s="378" t="s">
        <v>162</v>
      </c>
      <c r="L354" s="378"/>
      <c r="M354" s="378"/>
      <c r="BB354" s="76"/>
      <c r="BC354" s="24"/>
    </row>
    <row r="355" spans="1:55" x14ac:dyDescent="0.3">
      <c r="J355" s="5"/>
      <c r="M355" s="5"/>
      <c r="BB355" s="6"/>
      <c r="BC355" s="5"/>
    </row>
    <row r="356" spans="1:55" x14ac:dyDescent="0.3">
      <c r="J356" s="5"/>
      <c r="M356" s="5"/>
      <c r="BB356" s="6"/>
      <c r="BC356" s="5"/>
    </row>
    <row r="357" spans="1:55" x14ac:dyDescent="0.3">
      <c r="J357" s="5"/>
      <c r="M357" s="5"/>
      <c r="BB357" s="6"/>
      <c r="BC357" s="5"/>
    </row>
    <row r="358" spans="1:55" s="9" customFormat="1" x14ac:dyDescent="0.3">
      <c r="C358" s="9" t="s">
        <v>67</v>
      </c>
      <c r="G358" s="9" t="s">
        <v>92</v>
      </c>
      <c r="H358" s="9" t="s">
        <v>507</v>
      </c>
      <c r="I358" s="9" t="s">
        <v>32</v>
      </c>
      <c r="J358" s="11">
        <f>SUM(I359:I361)</f>
        <v>1947.2821416785719</v>
      </c>
      <c r="K358" s="9" t="s">
        <v>507</v>
      </c>
      <c r="M358" s="11">
        <f>SUM(L359:L361)</f>
        <v>28913.067540892862</v>
      </c>
      <c r="BB358" s="74">
        <f>AV358+AN358+R358+J358</f>
        <v>1947.2821416785719</v>
      </c>
      <c r="BC358" s="11">
        <f>AY358+AO358+U358+M358</f>
        <v>28913.067540892862</v>
      </c>
    </row>
    <row r="359" spans="1:55" x14ac:dyDescent="0.3">
      <c r="D359" t="s">
        <v>68</v>
      </c>
      <c r="G359">
        <f>Q61</f>
        <v>2936.0640000000008</v>
      </c>
      <c r="H359">
        <f>AA75</f>
        <v>0.52600000000000002</v>
      </c>
      <c r="I359">
        <f>H359*G359</f>
        <v>1544.3696640000005</v>
      </c>
      <c r="J359" s="5"/>
      <c r="K359">
        <f>AD75</f>
        <v>7.81</v>
      </c>
      <c r="L359">
        <f>K359*G359</f>
        <v>22930.659840000004</v>
      </c>
      <c r="M359" s="5"/>
      <c r="BB359" s="6"/>
      <c r="BC359" s="5"/>
    </row>
    <row r="360" spans="1:55" x14ac:dyDescent="0.3">
      <c r="D360" t="s">
        <v>27</v>
      </c>
      <c r="G360" s="14">
        <f>O13</f>
        <v>765.99330357142856</v>
      </c>
      <c r="H360">
        <f>AA75</f>
        <v>0.52600000000000002</v>
      </c>
      <c r="I360">
        <f>H360*G360</f>
        <v>402.91247767857146</v>
      </c>
      <c r="J360" s="5"/>
      <c r="K360">
        <f>AD75</f>
        <v>7.81</v>
      </c>
      <c r="L360">
        <f t="shared" ref="L360:L361" si="80">K360*G360</f>
        <v>5982.4077008928571</v>
      </c>
      <c r="M360" s="5"/>
      <c r="BB360" s="6"/>
      <c r="BC360" s="5"/>
    </row>
    <row r="361" spans="1:55" x14ac:dyDescent="0.3">
      <c r="J361" s="5"/>
      <c r="L361">
        <f t="shared" si="80"/>
        <v>0</v>
      </c>
      <c r="M361" s="5"/>
      <c r="BB361" s="6"/>
      <c r="BC361" s="5"/>
    </row>
    <row r="362" spans="1:55" s="9" customFormat="1" x14ac:dyDescent="0.3">
      <c r="C362" s="9" t="s">
        <v>169</v>
      </c>
      <c r="G362" s="9" t="s">
        <v>93</v>
      </c>
      <c r="H362" s="9" t="s">
        <v>455</v>
      </c>
      <c r="I362" s="9" t="s">
        <v>32</v>
      </c>
      <c r="J362" s="11">
        <f>SUM(I363:I364)</f>
        <v>3600.768</v>
      </c>
      <c r="K362" s="9" t="s">
        <v>455</v>
      </c>
      <c r="M362" s="11">
        <f>SUM(L363:L365)</f>
        <v>53712.937458563552</v>
      </c>
      <c r="BB362" s="74">
        <f>AV362+AN362+R362+J362</f>
        <v>3600.768</v>
      </c>
      <c r="BC362" s="11">
        <f>AY362+AO362+U362+M362</f>
        <v>53712.937458563552</v>
      </c>
    </row>
    <row r="363" spans="1:55" x14ac:dyDescent="0.3">
      <c r="D363" t="s">
        <v>69</v>
      </c>
      <c r="E363" t="s">
        <v>70</v>
      </c>
      <c r="G363" s="38">
        <f>F28</f>
        <v>40</v>
      </c>
      <c r="H363" s="38">
        <f>AA76</f>
        <v>90</v>
      </c>
      <c r="I363" s="38">
        <f>H363*G363</f>
        <v>3600</v>
      </c>
      <c r="J363" s="338"/>
      <c r="K363" s="38">
        <f>AD76</f>
        <v>1342.5414364640887</v>
      </c>
      <c r="L363">
        <f>K363*G363</f>
        <v>53701.657458563554</v>
      </c>
      <c r="M363" s="5"/>
      <c r="BB363" s="6"/>
      <c r="BC363" s="5"/>
    </row>
    <row r="364" spans="1:55" x14ac:dyDescent="0.3">
      <c r="D364" t="s">
        <v>21</v>
      </c>
      <c r="E364" t="s">
        <v>70</v>
      </c>
      <c r="G364" s="38">
        <f>F29</f>
        <v>40</v>
      </c>
      <c r="H364" s="38">
        <f>AA77</f>
        <v>1.9199999999999998E-2</v>
      </c>
      <c r="I364" s="38">
        <f>H364*G364</f>
        <v>0.7679999999999999</v>
      </c>
      <c r="J364" s="338"/>
      <c r="K364" s="38">
        <f>AD77</f>
        <v>0.28199999999999997</v>
      </c>
      <c r="L364">
        <f t="shared" ref="L364:L365" si="81">K364*G364</f>
        <v>11.28</v>
      </c>
      <c r="M364" s="5"/>
      <c r="BB364" s="6"/>
      <c r="BC364" s="5"/>
    </row>
    <row r="365" spans="1:55" x14ac:dyDescent="0.3">
      <c r="J365" s="5"/>
      <c r="L365">
        <f t="shared" si="81"/>
        <v>0</v>
      </c>
      <c r="M365" s="5"/>
      <c r="BB365" s="6"/>
      <c r="BC365" s="5"/>
    </row>
    <row r="366" spans="1:55" s="9" customFormat="1" x14ac:dyDescent="0.3">
      <c r="C366" s="9" t="s">
        <v>167</v>
      </c>
      <c r="I366" s="9" t="s">
        <v>32</v>
      </c>
      <c r="J366" s="11">
        <f>I367</f>
        <v>283925.03580973513</v>
      </c>
      <c r="M366" s="11">
        <f>L367</f>
        <v>4078108.123288</v>
      </c>
      <c r="BB366" s="74">
        <f>AV366+AN366+R366+J366</f>
        <v>283925.03580973513</v>
      </c>
      <c r="BC366" s="11">
        <f>AY366+AO366+U366+M366</f>
        <v>4078108.123288</v>
      </c>
    </row>
    <row r="367" spans="1:55" x14ac:dyDescent="0.3">
      <c r="D367" t="s">
        <v>168</v>
      </c>
      <c r="I367">
        <f>AN351</f>
        <v>283925.03580973513</v>
      </c>
      <c r="J367" s="5"/>
      <c r="L367">
        <f>AO351</f>
        <v>4078108.123288</v>
      </c>
      <c r="M367" s="5"/>
      <c r="BB367" s="6"/>
      <c r="BC367" s="5"/>
    </row>
    <row r="368" spans="1:55" x14ac:dyDescent="0.3">
      <c r="D368" t="s">
        <v>997</v>
      </c>
      <c r="J368" s="5"/>
      <c r="M368" s="5"/>
      <c r="BB368" s="6"/>
      <c r="BC368" s="5"/>
    </row>
    <row r="369" spans="1:55" x14ac:dyDescent="0.3">
      <c r="A369" s="23"/>
      <c r="J369" s="5"/>
      <c r="M369" s="5"/>
      <c r="BB369" s="6"/>
      <c r="BC369" s="5"/>
    </row>
    <row r="370" spans="1:55" s="19" customFormat="1" x14ac:dyDescent="0.3">
      <c r="A370" s="23"/>
      <c r="J370" s="21">
        <f>SUM(J355:J369)</f>
        <v>289473.08595141373</v>
      </c>
      <c r="M370" s="21">
        <f>SUM(M355:M369)</f>
        <v>4160734.1282874565</v>
      </c>
      <c r="BB370" s="75"/>
      <c r="BC370" s="21"/>
    </row>
    <row r="371" spans="1:55" x14ac:dyDescent="0.3">
      <c r="A371" s="23"/>
      <c r="P371" s="376" t="s">
        <v>47</v>
      </c>
      <c r="Q371" s="376"/>
      <c r="R371" s="376"/>
      <c r="S371" s="376"/>
      <c r="T371" s="376"/>
      <c r="U371" s="376"/>
      <c r="X371" s="376" t="s">
        <v>43</v>
      </c>
      <c r="Y371" s="376"/>
      <c r="Z371" s="376"/>
      <c r="AA371" s="376"/>
      <c r="AB371" s="376"/>
      <c r="AC371" s="376"/>
      <c r="AD371" s="376"/>
      <c r="AE371" s="376"/>
      <c r="AF371" s="376"/>
      <c r="AG371" s="376"/>
      <c r="AH371" s="376"/>
      <c r="AI371" s="376"/>
      <c r="AJ371" s="376"/>
      <c r="AK371" s="376"/>
      <c r="AL371" s="376"/>
      <c r="AM371" s="376"/>
      <c r="AN371" s="376"/>
      <c r="AO371" s="376"/>
      <c r="AR371" s="376" t="s">
        <v>77</v>
      </c>
      <c r="AS371" s="376"/>
      <c r="AT371" s="376"/>
      <c r="AU371" s="376"/>
      <c r="AV371" s="376"/>
      <c r="AW371" s="376"/>
      <c r="AX371" s="376"/>
      <c r="AY371" s="376"/>
      <c r="BB371" s="6"/>
      <c r="BC371" s="5"/>
    </row>
    <row r="372" spans="1:55" s="18" customFormat="1" x14ac:dyDescent="0.3">
      <c r="A372" s="23"/>
      <c r="B372" s="25" t="s">
        <v>170</v>
      </c>
      <c r="J372" s="24"/>
      <c r="M372" s="24"/>
      <c r="P372" s="47"/>
      <c r="Q372" s="47"/>
      <c r="R372" s="47"/>
      <c r="S372" s="34"/>
      <c r="T372" s="34"/>
      <c r="U372" s="34"/>
      <c r="BB372" s="76"/>
      <c r="BC372" s="24"/>
    </row>
    <row r="373" spans="1:55" s="27" customFormat="1" x14ac:dyDescent="0.3">
      <c r="A373"/>
      <c r="B373" s="28" t="s">
        <v>51</v>
      </c>
      <c r="E373" s="27" t="s">
        <v>66</v>
      </c>
      <c r="G373" s="27" t="s">
        <v>65</v>
      </c>
      <c r="H373" s="377" t="s">
        <v>32</v>
      </c>
      <c r="I373" s="377"/>
      <c r="J373" s="377"/>
      <c r="K373" s="378" t="s">
        <v>162</v>
      </c>
      <c r="L373" s="378"/>
      <c r="M373" s="378"/>
      <c r="P373" s="27" t="s">
        <v>160</v>
      </c>
      <c r="Q373" s="27" t="s">
        <v>32</v>
      </c>
      <c r="R373" s="30" t="s">
        <v>32</v>
      </c>
      <c r="S373" s="27" t="s">
        <v>160</v>
      </c>
      <c r="U373" s="30" t="s">
        <v>162</v>
      </c>
      <c r="X373" s="27" t="s">
        <v>65</v>
      </c>
      <c r="AA373" s="47"/>
      <c r="AB373" s="47"/>
      <c r="AC373" s="34"/>
      <c r="AD373" s="34"/>
      <c r="AH373" s="47"/>
      <c r="AI373" s="47"/>
      <c r="AJ373" s="34"/>
      <c r="AK373" s="34"/>
      <c r="AL373" s="47"/>
      <c r="AM373" s="34"/>
      <c r="AN373" s="48" t="s">
        <v>32</v>
      </c>
      <c r="AO373" s="49" t="s">
        <v>162</v>
      </c>
      <c r="AR373" s="27" t="s">
        <v>214</v>
      </c>
      <c r="AS373" s="27" t="s">
        <v>213</v>
      </c>
      <c r="AT373" s="47" t="s">
        <v>54</v>
      </c>
      <c r="AU373" s="47" t="s">
        <v>32</v>
      </c>
      <c r="AV373" s="48" t="s">
        <v>32</v>
      </c>
      <c r="AW373" s="34" t="s">
        <v>54</v>
      </c>
      <c r="AX373" s="34" t="s">
        <v>162</v>
      </c>
      <c r="AY373" s="49" t="s">
        <v>162</v>
      </c>
      <c r="BB373" s="77"/>
      <c r="BC373" s="29"/>
    </row>
    <row r="374" spans="1:55" x14ac:dyDescent="0.3">
      <c r="B374" s="9"/>
      <c r="C374" s="9"/>
      <c r="D374" s="9" t="s">
        <v>51</v>
      </c>
      <c r="E374" s="9"/>
      <c r="F374" s="9"/>
      <c r="G374" s="9"/>
      <c r="H374" s="9" t="s">
        <v>160</v>
      </c>
      <c r="I374" s="9" t="s">
        <v>32</v>
      </c>
      <c r="J374" s="11">
        <f>SUM(I375:I378)</f>
        <v>240842.16</v>
      </c>
      <c r="K374" s="9" t="s">
        <v>160</v>
      </c>
      <c r="L374" s="9" t="s">
        <v>162</v>
      </c>
      <c r="M374" s="11">
        <f>SUM(L375:L378)</f>
        <v>3678436.8</v>
      </c>
      <c r="P374" s="9"/>
      <c r="Q374" s="9"/>
      <c r="R374" s="11">
        <f>SUM(Q375:Q378)</f>
        <v>1218.08124</v>
      </c>
      <c r="S374" s="9"/>
      <c r="T374" s="9"/>
      <c r="U374" s="11">
        <f>SUM(T375:T378)</f>
        <v>921.89340000000016</v>
      </c>
      <c r="X374" s="9"/>
      <c r="Y374" s="9"/>
      <c r="Z374" s="9"/>
      <c r="AA374" s="9"/>
      <c r="AB374" s="9"/>
      <c r="AF374" s="9"/>
      <c r="AG374" s="9"/>
      <c r="AH374" s="9"/>
      <c r="AI374" s="9"/>
      <c r="AJ374" s="9"/>
      <c r="AN374" s="11">
        <f>SUM(AL375:AL378)</f>
        <v>12781.236823199999</v>
      </c>
      <c r="AO374" s="11">
        <f>SUM(AM375:AM378)</f>
        <v>182736</v>
      </c>
      <c r="AR374" s="9"/>
      <c r="AS374" s="9"/>
      <c r="AT374" s="9"/>
      <c r="AU374" s="9"/>
      <c r="AV374" s="11">
        <f>SUM(AU375:AU378)</f>
        <v>874.57472928000004</v>
      </c>
      <c r="AY374" s="11">
        <f>SUM(AX375:AX378)</f>
        <v>6.6467679425279993</v>
      </c>
      <c r="BB374" s="6"/>
      <c r="BC374" s="5"/>
    </row>
    <row r="375" spans="1:55" x14ac:dyDescent="0.3">
      <c r="J375" s="5"/>
      <c r="M375" s="5"/>
      <c r="R375" s="5"/>
      <c r="U375" s="5"/>
      <c r="AF375" s="23"/>
      <c r="AN375" s="5"/>
      <c r="AO375" s="5"/>
      <c r="AV375" s="5"/>
      <c r="AY375" s="5"/>
      <c r="BB375" s="6"/>
      <c r="BC375" s="5"/>
    </row>
    <row r="376" spans="1:55" x14ac:dyDescent="0.3">
      <c r="J376" s="5"/>
      <c r="M376" s="5"/>
      <c r="R376" s="5"/>
      <c r="U376" s="5"/>
      <c r="AF376" s="23"/>
      <c r="AN376" s="5"/>
      <c r="AO376" s="5"/>
      <c r="AV376" s="5"/>
      <c r="AY376" s="5"/>
      <c r="BB376" s="6"/>
      <c r="BC376" s="5"/>
    </row>
    <row r="377" spans="1:55" x14ac:dyDescent="0.3">
      <c r="J377" s="5"/>
      <c r="M377" s="5"/>
      <c r="R377" s="5"/>
      <c r="U377" s="5"/>
      <c r="AN377" s="5"/>
      <c r="AO377" s="5"/>
      <c r="AV377" s="5"/>
      <c r="AY377" s="5"/>
      <c r="BB377" s="6"/>
      <c r="BC377" s="5"/>
    </row>
    <row r="378" spans="1:55" x14ac:dyDescent="0.3">
      <c r="D378" t="s">
        <v>22</v>
      </c>
      <c r="E378">
        <f>F41</f>
        <v>1</v>
      </c>
      <c r="F378" t="s">
        <v>64</v>
      </c>
      <c r="G378">
        <f>E378*G264</f>
        <v>48600</v>
      </c>
      <c r="I378">
        <f>E378*J264</f>
        <v>240842.16</v>
      </c>
      <c r="J378" s="5"/>
      <c r="L378">
        <f>E378*M264</f>
        <v>3678436.8</v>
      </c>
      <c r="M378" s="5"/>
      <c r="Q378">
        <f>R264</f>
        <v>1218.08124</v>
      </c>
      <c r="R378" s="5"/>
      <c r="T378">
        <f>U264</f>
        <v>921.89340000000016</v>
      </c>
      <c r="U378" s="5"/>
      <c r="X378">
        <f>G378</f>
        <v>48600</v>
      </c>
      <c r="Y378" s="9" t="str">
        <f>$X$80</f>
        <v>ship ferry</v>
      </c>
      <c r="Z378">
        <f>F20</f>
        <v>2000</v>
      </c>
      <c r="AA378" s="9">
        <f>$AA$80</f>
        <v>0.109</v>
      </c>
      <c r="AB378">
        <f>AA378*Z378*X378/1000</f>
        <v>10594.8</v>
      </c>
      <c r="AC378" s="9">
        <f>$AD$80</f>
        <v>1.5</v>
      </c>
      <c r="AD378" s="9">
        <f>AC378*Z378*X378/1000</f>
        <v>145800</v>
      </c>
      <c r="AF378" t="s">
        <v>61</v>
      </c>
      <c r="AG378">
        <f>G20</f>
        <v>500</v>
      </c>
      <c r="AH378" s="9">
        <f>$AA$78</f>
        <v>8.9976823999999997E-2</v>
      </c>
      <c r="AI378">
        <f>AH378*AG378*X378/1000</f>
        <v>2186.4368232000002</v>
      </c>
      <c r="AJ378" s="9">
        <f>$AD$78</f>
        <v>1.52</v>
      </c>
      <c r="AK378" s="9">
        <f>AJ378*AG378*X378/1000</f>
        <v>36936</v>
      </c>
      <c r="AL378">
        <f>AI378+AB378</f>
        <v>12781.236823199999</v>
      </c>
      <c r="AM378">
        <f t="shared" ref="AM378" si="82">AK378+AD378</f>
        <v>182736</v>
      </c>
      <c r="AN378" s="5"/>
      <c r="AO378" s="5"/>
      <c r="AR378" t="s">
        <v>61</v>
      </c>
      <c r="AS378">
        <f>G24</f>
        <v>200</v>
      </c>
      <c r="AT378">
        <f>$AA$78</f>
        <v>8.9976823999999997E-2</v>
      </c>
      <c r="AU378">
        <f>(AT378*AS378*X378)/1000</f>
        <v>874.57472928000004</v>
      </c>
      <c r="AV378" s="5"/>
      <c r="AW378" s="9">
        <f>$AD$78</f>
        <v>1.52</v>
      </c>
      <c r="AX378" s="9">
        <f>(AW378*AT378*X378)/1000</f>
        <v>6.6467679425279993</v>
      </c>
      <c r="AY378" s="5"/>
      <c r="BB378" s="6">
        <f>AU378+AL378+Q378+I378</f>
        <v>255716.05279248001</v>
      </c>
      <c r="BC378" s="5">
        <f>AX378+AM378+T378+L378</f>
        <v>3862101.3401679425</v>
      </c>
    </row>
    <row r="379" spans="1:55" x14ac:dyDescent="0.3">
      <c r="E379" s="20"/>
      <c r="J379" s="5"/>
      <c r="M379" s="5"/>
      <c r="R379" s="5"/>
      <c r="U379" s="5"/>
      <c r="AN379" s="5"/>
      <c r="AO379" s="5"/>
      <c r="AV379" s="5"/>
      <c r="AY379" s="5"/>
      <c r="BB379" s="6"/>
      <c r="BC379" s="5"/>
    </row>
    <row r="380" spans="1:55" x14ac:dyDescent="0.3">
      <c r="E380" s="20"/>
      <c r="J380" s="5"/>
      <c r="M380" s="5"/>
      <c r="R380" s="5"/>
      <c r="U380" s="5"/>
      <c r="AN380" s="5"/>
      <c r="AO380" s="5"/>
      <c r="AV380" s="5"/>
      <c r="AY380" s="5"/>
      <c r="BB380" s="6"/>
      <c r="BC380" s="5"/>
    </row>
    <row r="381" spans="1:55" x14ac:dyDescent="0.3">
      <c r="J381" s="5"/>
      <c r="M381" s="5"/>
      <c r="R381" s="5"/>
      <c r="U381" s="5"/>
      <c r="AN381" s="5"/>
      <c r="AO381" s="5"/>
      <c r="AV381" s="5"/>
      <c r="AY381" s="5"/>
      <c r="BB381" s="6"/>
      <c r="BC381" s="5"/>
    </row>
    <row r="382" spans="1:55" s="27" customFormat="1" x14ac:dyDescent="0.3">
      <c r="A382"/>
      <c r="B382" s="28" t="s">
        <v>172</v>
      </c>
      <c r="J382" s="29">
        <f>SUM(I383:I386)</f>
        <v>58499.335752800005</v>
      </c>
      <c r="M382" s="29">
        <f>SUM(L383:L386)</f>
        <v>320144</v>
      </c>
      <c r="R382" s="29"/>
      <c r="U382" s="29"/>
      <c r="AA382" s="47"/>
      <c r="AB382" s="47"/>
      <c r="AC382" s="34"/>
      <c r="AD382" s="34"/>
      <c r="AH382" s="47"/>
      <c r="AI382" s="47"/>
      <c r="AJ382" s="34"/>
      <c r="AK382" s="34"/>
      <c r="AL382" s="47"/>
      <c r="AM382" s="34"/>
      <c r="AN382" s="50">
        <f>SUM(AL383:AL386)</f>
        <v>45682.108200000002</v>
      </c>
      <c r="AO382" s="35">
        <f>SUM(AM383:AM386)</f>
        <v>136800</v>
      </c>
      <c r="AT382" s="47"/>
      <c r="AU382" s="47"/>
      <c r="AV382" s="50"/>
      <c r="AW382" s="34"/>
      <c r="AX382" s="34"/>
      <c r="AY382" s="35"/>
      <c r="BB382" s="74">
        <f>AV382+AN382+R382+J382</f>
        <v>104181.44395280001</v>
      </c>
      <c r="BC382" s="11">
        <f>AY382+AO382+U382+M382</f>
        <v>456944</v>
      </c>
    </row>
    <row r="383" spans="1:55" x14ac:dyDescent="0.3">
      <c r="D383" t="s">
        <v>173</v>
      </c>
      <c r="I383">
        <f>AN374</f>
        <v>12781.236823199999</v>
      </c>
      <c r="J383" s="5"/>
      <c r="L383">
        <f>AO374</f>
        <v>182736</v>
      </c>
      <c r="M383" s="5"/>
      <c r="R383" s="5"/>
      <c r="U383" s="5"/>
      <c r="AN383" s="5"/>
      <c r="AO383" s="5"/>
      <c r="AV383" s="5"/>
      <c r="AY383" s="5"/>
      <c r="BB383" s="6"/>
      <c r="BC383" s="5"/>
    </row>
    <row r="384" spans="1:55" x14ac:dyDescent="0.3">
      <c r="D384" t="s">
        <v>174</v>
      </c>
      <c r="I384">
        <f>AN387</f>
        <v>35.990729600000002</v>
      </c>
      <c r="J384" s="5"/>
      <c r="L384">
        <f>AO387</f>
        <v>608</v>
      </c>
      <c r="M384" s="5"/>
      <c r="R384" s="5"/>
      <c r="U384" s="5"/>
      <c r="AN384" s="5"/>
      <c r="AO384" s="5"/>
      <c r="AV384" s="5"/>
      <c r="AY384" s="5"/>
      <c r="BB384" s="6"/>
      <c r="BC384" s="5"/>
    </row>
    <row r="385" spans="1:55" x14ac:dyDescent="0.3">
      <c r="D385" t="s">
        <v>180</v>
      </c>
      <c r="E385">
        <f>F50</f>
        <v>120</v>
      </c>
      <c r="F385" t="s">
        <v>64</v>
      </c>
      <c r="G385">
        <f>F46*E385</f>
        <v>900000</v>
      </c>
      <c r="H385" t="s">
        <v>181</v>
      </c>
      <c r="I385">
        <f>AN382</f>
        <v>45682.108200000002</v>
      </c>
      <c r="J385" s="5"/>
      <c r="L385">
        <f>AO382</f>
        <v>136800</v>
      </c>
      <c r="M385" s="5"/>
      <c r="R385" s="5"/>
      <c r="U385" s="5"/>
      <c r="X385">
        <f>G385</f>
        <v>900000</v>
      </c>
      <c r="AF385" t="s">
        <v>62</v>
      </c>
      <c r="AG385">
        <f>F51</f>
        <v>100</v>
      </c>
      <c r="AH385">
        <f>AA79</f>
        <v>0.50757898000000001</v>
      </c>
      <c r="AI385">
        <f>AH385*AG385*X385/1000</f>
        <v>45682.108200000002</v>
      </c>
      <c r="AJ385" s="9">
        <f>$AD$78</f>
        <v>1.52</v>
      </c>
      <c r="AK385" s="9">
        <f>AJ385*AG385*X385/1000</f>
        <v>136800</v>
      </c>
      <c r="AL385">
        <f>AI385</f>
        <v>45682.108200000002</v>
      </c>
      <c r="AM385">
        <f>AK385</f>
        <v>136800</v>
      </c>
      <c r="AN385" s="5"/>
      <c r="AO385" s="5"/>
      <c r="AV385" s="5"/>
      <c r="AY385" s="5"/>
      <c r="BB385" s="6">
        <f>I385</f>
        <v>45682.108200000002</v>
      </c>
      <c r="BC385" s="5">
        <f>L385</f>
        <v>136800</v>
      </c>
    </row>
    <row r="386" spans="1:55" x14ac:dyDescent="0.3">
      <c r="J386" s="5"/>
      <c r="M386" s="5"/>
      <c r="R386" s="5"/>
      <c r="U386" s="5"/>
      <c r="AN386" s="5"/>
      <c r="AO386" s="5"/>
      <c r="AV386" s="5"/>
      <c r="AY386" s="5"/>
      <c r="BB386" s="6"/>
      <c r="BC386" s="5"/>
    </row>
    <row r="387" spans="1:55" s="27" customFormat="1" x14ac:dyDescent="0.3">
      <c r="A387"/>
      <c r="B387" s="28" t="s">
        <v>171</v>
      </c>
      <c r="G387" s="27" t="s">
        <v>65</v>
      </c>
      <c r="J387" s="29">
        <f>SUM(I388:I390)</f>
        <v>2748</v>
      </c>
      <c r="M387" s="29">
        <f>SUM(L388:L390)</f>
        <v>129560</v>
      </c>
      <c r="R387" s="29">
        <f>SUM(Q388:Q390)</f>
        <v>1036</v>
      </c>
      <c r="U387" s="29">
        <f>SUM(T388:T390)</f>
        <v>723.99999999999989</v>
      </c>
      <c r="AA387" s="47"/>
      <c r="AB387" s="47"/>
      <c r="AC387" s="34"/>
      <c r="AD387" s="34"/>
      <c r="AH387" s="47"/>
      <c r="AI387" s="47"/>
      <c r="AJ387" s="34"/>
      <c r="AK387" s="34"/>
      <c r="AL387" s="47"/>
      <c r="AM387" s="34"/>
      <c r="AN387" s="50">
        <f>SUM(AL388:AL390)</f>
        <v>35.990729600000002</v>
      </c>
      <c r="AO387" s="35">
        <f>SUM(AM388:AM390)</f>
        <v>608</v>
      </c>
      <c r="AT387" s="47"/>
      <c r="AU387" s="47"/>
      <c r="AV387" s="50">
        <f>SUM(AU388:AU390)</f>
        <v>35.990729600000002</v>
      </c>
      <c r="AW387" s="34"/>
      <c r="AX387" s="34"/>
      <c r="AY387" s="35">
        <f>SUM(AX388:AX390)</f>
        <v>0.27352954495999998</v>
      </c>
      <c r="BB387" s="74">
        <f>AV387+AN387+R387+J387</f>
        <v>3855.9814592000002</v>
      </c>
      <c r="BC387" s="11">
        <f>AY387+AO387+U387+M387</f>
        <v>130892.27352954495</v>
      </c>
    </row>
    <row r="388" spans="1:55" x14ac:dyDescent="0.3">
      <c r="D388" t="s">
        <v>45</v>
      </c>
      <c r="G388" s="38">
        <v>1600</v>
      </c>
      <c r="H388" s="38">
        <f>AA88</f>
        <v>1.21</v>
      </c>
      <c r="I388">
        <f>H388*G388</f>
        <v>1936</v>
      </c>
      <c r="J388" s="5"/>
      <c r="K388" s="38">
        <f>AD88</f>
        <v>67.3</v>
      </c>
      <c r="L388">
        <f>K388*G388</f>
        <v>107680</v>
      </c>
      <c r="M388" s="5"/>
      <c r="P388">
        <f>AI88</f>
        <v>0.51800000000000002</v>
      </c>
      <c r="Q388">
        <f>P388*G388</f>
        <v>828.80000000000007</v>
      </c>
      <c r="R388" s="5"/>
      <c r="S388">
        <f>AL88</f>
        <v>0.36199999999999999</v>
      </c>
      <c r="T388">
        <f>S388*G388</f>
        <v>579.19999999999993</v>
      </c>
      <c r="U388" s="5"/>
      <c r="X388">
        <f>G388</f>
        <v>1600</v>
      </c>
      <c r="Y388" t="s">
        <v>60</v>
      </c>
      <c r="Z388" s="23">
        <f>F25</f>
        <v>0</v>
      </c>
      <c r="AA388" s="9">
        <f>$AA$80</f>
        <v>0.109</v>
      </c>
      <c r="AB388">
        <f>AA388*Z388*X388/1000</f>
        <v>0</v>
      </c>
      <c r="AC388" s="9">
        <f>$AD$80</f>
        <v>1.5</v>
      </c>
      <c r="AD388" s="9">
        <f>AC388*Z388*X388/1000</f>
        <v>0</v>
      </c>
      <c r="AF388" s="23" t="s">
        <v>61</v>
      </c>
      <c r="AG388">
        <f>G25</f>
        <v>200</v>
      </c>
      <c r="AH388" s="9">
        <f>$AA$78</f>
        <v>8.9976823999999997E-2</v>
      </c>
      <c r="AI388">
        <f>AH388*AG388*X388/1000</f>
        <v>28.79258368</v>
      </c>
      <c r="AJ388" s="9">
        <f>$AD$78</f>
        <v>1.52</v>
      </c>
      <c r="AK388" s="9">
        <f>AJ388*AG388*X388/1000</f>
        <v>486.4</v>
      </c>
      <c r="AL388">
        <f>AI388+AB388</f>
        <v>28.79258368</v>
      </c>
      <c r="AM388">
        <f>AK388+AD388</f>
        <v>486.4</v>
      </c>
      <c r="AN388" s="5"/>
      <c r="AO388" s="5"/>
      <c r="AR388" t="s">
        <v>61</v>
      </c>
      <c r="AS388">
        <f>$G$21</f>
        <v>200</v>
      </c>
      <c r="AT388">
        <f>$AA$78</f>
        <v>8.9976823999999997E-2</v>
      </c>
      <c r="AU388">
        <f>(AT388*AS388*X388)/1000</f>
        <v>28.79258368</v>
      </c>
      <c r="AV388" s="5"/>
      <c r="AW388" s="9">
        <f>$AD$78</f>
        <v>1.52</v>
      </c>
      <c r="AX388" s="9">
        <f>(AW388*AT388*X388)/1000</f>
        <v>0.218823635968</v>
      </c>
      <c r="AY388" s="5"/>
      <c r="BB388" s="6">
        <f>AU388+AL388+Q388+I388</f>
        <v>2822.3851673600002</v>
      </c>
      <c r="BC388" s="5">
        <f>AX388+AM388+T388+L388</f>
        <v>108745.81882363597</v>
      </c>
    </row>
    <row r="389" spans="1:55" x14ac:dyDescent="0.3">
      <c r="D389" t="s">
        <v>46</v>
      </c>
      <c r="G389" s="38">
        <v>400</v>
      </c>
      <c r="H389" s="38">
        <f>AA89</f>
        <v>2.0299999999999998</v>
      </c>
      <c r="I389">
        <f>H389*G389</f>
        <v>811.99999999999989</v>
      </c>
      <c r="J389" s="5"/>
      <c r="K389" s="38">
        <f>AD89</f>
        <v>54.7</v>
      </c>
      <c r="L389">
        <f t="shared" ref="L389:L390" si="83">K389*G389</f>
        <v>21880</v>
      </c>
      <c r="M389" s="5"/>
      <c r="P389">
        <f>AI89</f>
        <v>0.51800000000000002</v>
      </c>
      <c r="Q389">
        <f>P389*G389</f>
        <v>207.20000000000002</v>
      </c>
      <c r="R389" s="5"/>
      <c r="S389">
        <f>AL89</f>
        <v>0.36199999999999999</v>
      </c>
      <c r="T389">
        <f t="shared" ref="T389" si="84">S389*G389</f>
        <v>144.79999999999998</v>
      </c>
      <c r="U389" s="5"/>
      <c r="X389">
        <f>G389</f>
        <v>400</v>
      </c>
      <c r="Y389" t="s">
        <v>60</v>
      </c>
      <c r="Z389" s="23">
        <f>F25</f>
        <v>0</v>
      </c>
      <c r="AA389" s="9">
        <f>$AA$80</f>
        <v>0.109</v>
      </c>
      <c r="AB389">
        <f>AA389*Z389*X389/1000</f>
        <v>0</v>
      </c>
      <c r="AC389" s="9">
        <f>$AD$80</f>
        <v>1.5</v>
      </c>
      <c r="AD389" s="9">
        <f>AC389*Z389*X389/1000</f>
        <v>0</v>
      </c>
      <c r="AF389" s="23" t="s">
        <v>61</v>
      </c>
      <c r="AG389">
        <f>G25</f>
        <v>200</v>
      </c>
      <c r="AH389" s="9">
        <f>$AA$78</f>
        <v>8.9976823999999997E-2</v>
      </c>
      <c r="AI389">
        <f>AH389*AG389*X389/1000</f>
        <v>7.19814592</v>
      </c>
      <c r="AJ389" s="9">
        <f>$AD$78</f>
        <v>1.52</v>
      </c>
      <c r="AK389" s="9">
        <f>AJ389*AG389*X389/1000</f>
        <v>121.6</v>
      </c>
      <c r="AL389">
        <f>AI389+AB389</f>
        <v>7.19814592</v>
      </c>
      <c r="AM389">
        <f>AK389+AD389</f>
        <v>121.6</v>
      </c>
      <c r="AN389" s="5"/>
      <c r="AO389" s="5"/>
      <c r="AR389" t="s">
        <v>61</v>
      </c>
      <c r="AS389">
        <f>$G$21</f>
        <v>200</v>
      </c>
      <c r="AT389">
        <f>$AA$78</f>
        <v>8.9976823999999997E-2</v>
      </c>
      <c r="AU389">
        <f>(AT389*AS389*X389)/1000</f>
        <v>7.19814592</v>
      </c>
      <c r="AV389" s="5"/>
      <c r="AW389" s="9">
        <f>$AD$78</f>
        <v>1.52</v>
      </c>
      <c r="AX389" s="9">
        <f>(AW389*AT389*X389)/1000</f>
        <v>5.4705908992000001E-2</v>
      </c>
      <c r="AY389" s="5"/>
      <c r="BB389" s="6">
        <f>AU389+AL389+Q389+I389</f>
        <v>1033.5962918399998</v>
      </c>
      <c r="BC389" s="5">
        <f>AX389+AM389+T389+L389</f>
        <v>22146.454705908993</v>
      </c>
    </row>
    <row r="390" spans="1:55" x14ac:dyDescent="0.3">
      <c r="H390" s="38"/>
      <c r="J390" s="5"/>
      <c r="K390" s="38"/>
      <c r="L390">
        <f t="shared" si="83"/>
        <v>0</v>
      </c>
      <c r="M390" s="5"/>
      <c r="R390" s="5"/>
      <c r="U390" s="5"/>
      <c r="AN390" s="5"/>
      <c r="AO390" s="5"/>
      <c r="AV390" s="5"/>
      <c r="AY390" s="5"/>
      <c r="BB390" s="6"/>
      <c r="BC390" s="5"/>
    </row>
    <row r="391" spans="1:55" x14ac:dyDescent="0.3">
      <c r="J391" s="5"/>
      <c r="M391" s="5"/>
      <c r="R391" s="5"/>
      <c r="U391" s="5"/>
      <c r="AN391" s="5"/>
      <c r="AO391" s="5"/>
      <c r="AV391" s="5"/>
      <c r="AY391" s="5"/>
      <c r="BB391" s="6"/>
      <c r="BC391" s="5"/>
    </row>
    <row r="392" spans="1:55" s="19" customFormat="1" x14ac:dyDescent="0.3">
      <c r="A392"/>
      <c r="J392" s="21">
        <f>SUM(J373:J390)</f>
        <v>302089.49575280002</v>
      </c>
      <c r="M392" s="21">
        <f>SUM(M373:M390)</f>
        <v>4128140.8</v>
      </c>
      <c r="R392" s="22">
        <f>SUM(R374:R390)</f>
        <v>2254.08124</v>
      </c>
      <c r="U392" s="22">
        <f>SUM(U374:U390)</f>
        <v>1645.8933999999999</v>
      </c>
      <c r="AN392" s="22"/>
      <c r="AO392" s="22"/>
      <c r="AV392" s="22"/>
      <c r="AY392" s="22"/>
      <c r="BB392" s="78"/>
      <c r="BC392" s="21"/>
    </row>
    <row r="393" spans="1:55" x14ac:dyDescent="0.3">
      <c r="BB393" s="4"/>
      <c r="BC393" s="5"/>
    </row>
    <row r="394" spans="1:55" s="18" customFormat="1" x14ac:dyDescent="0.3">
      <c r="A394"/>
      <c r="B394" s="25" t="s">
        <v>47</v>
      </c>
      <c r="H394" s="377" t="s">
        <v>32</v>
      </c>
      <c r="I394" s="377"/>
      <c r="J394" s="377"/>
      <c r="K394" s="378" t="s">
        <v>162</v>
      </c>
      <c r="L394" s="378"/>
      <c r="M394" s="378"/>
      <c r="BB394" s="24"/>
      <c r="BC394" s="24"/>
    </row>
    <row r="395" spans="1:55" x14ac:dyDescent="0.3">
      <c r="J395" s="5"/>
      <c r="M395" s="5"/>
      <c r="BB395" s="5"/>
      <c r="BC395" s="5"/>
    </row>
    <row r="396" spans="1:55" s="31" customFormat="1" x14ac:dyDescent="0.3">
      <c r="A396"/>
      <c r="B396" s="33" t="s">
        <v>179</v>
      </c>
      <c r="J396" s="32">
        <f>SUM(I397:I400)</f>
        <v>99245.087386853425</v>
      </c>
      <c r="M396" s="32">
        <f>SUM(L397:L400)</f>
        <v>455213.25730973232</v>
      </c>
      <c r="BB396" s="32"/>
      <c r="BC396" s="32"/>
    </row>
    <row r="397" spans="1:55" x14ac:dyDescent="0.3">
      <c r="C397" t="s">
        <v>175</v>
      </c>
      <c r="I397">
        <f>R351</f>
        <v>96991.006146853426</v>
      </c>
      <c r="J397" s="5"/>
      <c r="L397">
        <f>U351</f>
        <v>453567.36390973232</v>
      </c>
      <c r="M397" s="5"/>
      <c r="BB397" s="5"/>
      <c r="BC397" s="5"/>
    </row>
    <row r="398" spans="1:55" x14ac:dyDescent="0.3">
      <c r="C398" t="s">
        <v>176</v>
      </c>
      <c r="I398">
        <f>R374</f>
        <v>1218.08124</v>
      </c>
      <c r="J398" s="5"/>
      <c r="L398">
        <f>U374</f>
        <v>921.89340000000016</v>
      </c>
      <c r="M398" s="5"/>
      <c r="BB398" s="5"/>
      <c r="BC398" s="5"/>
    </row>
    <row r="399" spans="1:55" x14ac:dyDescent="0.3">
      <c r="C399" t="s">
        <v>177</v>
      </c>
      <c r="I399">
        <f>R387</f>
        <v>1036</v>
      </c>
      <c r="J399" s="5"/>
      <c r="L399">
        <f>U387</f>
        <v>723.99999999999989</v>
      </c>
      <c r="M399" s="5"/>
      <c r="BB399" s="5"/>
      <c r="BC399" s="5"/>
    </row>
    <row r="400" spans="1:55" x14ac:dyDescent="0.3">
      <c r="J400" s="5"/>
      <c r="M400" s="5"/>
      <c r="BB400" s="5"/>
      <c r="BC400" s="5"/>
    </row>
    <row r="401" spans="1:55" s="31" customFormat="1" x14ac:dyDescent="0.3">
      <c r="A401"/>
      <c r="B401" s="33" t="s">
        <v>178</v>
      </c>
      <c r="J401" s="32">
        <f>SUM(I402:I405)</f>
        <v>48769.209177341276</v>
      </c>
      <c r="M401" s="32">
        <f>SUM(L402:L405)</f>
        <v>808494.43094868748</v>
      </c>
      <c r="BB401" s="32"/>
      <c r="BC401" s="32"/>
    </row>
    <row r="402" spans="1:55" x14ac:dyDescent="0.3">
      <c r="C402" t="s">
        <v>188</v>
      </c>
      <c r="I402">
        <f>AV351</f>
        <v>47858.643718461273</v>
      </c>
      <c r="J402" s="5"/>
      <c r="L402">
        <f>AX351</f>
        <v>808487.51065119996</v>
      </c>
      <c r="M402" s="5"/>
      <c r="BB402" s="5"/>
      <c r="BC402" s="5"/>
    </row>
    <row r="403" spans="1:55" x14ac:dyDescent="0.3">
      <c r="C403" t="s">
        <v>189</v>
      </c>
      <c r="I403">
        <f>AV374</f>
        <v>874.57472928000004</v>
      </c>
      <c r="J403" s="5"/>
      <c r="L403">
        <f>AY374</f>
        <v>6.6467679425279993</v>
      </c>
      <c r="M403" s="5"/>
      <c r="BB403" s="5"/>
      <c r="BC403" s="5"/>
    </row>
    <row r="404" spans="1:55" x14ac:dyDescent="0.3">
      <c r="C404" t="s">
        <v>190</v>
      </c>
      <c r="I404">
        <f>AV387</f>
        <v>35.990729600000002</v>
      </c>
      <c r="J404" s="5"/>
      <c r="L404">
        <f>AY387</f>
        <v>0.27352954495999998</v>
      </c>
      <c r="M404" s="5"/>
      <c r="BB404" s="5"/>
      <c r="BC404" s="5"/>
    </row>
    <row r="405" spans="1:55" x14ac:dyDescent="0.3">
      <c r="J405" s="5"/>
      <c r="M405" s="5"/>
      <c r="BB405" s="5"/>
      <c r="BC405" s="5"/>
    </row>
    <row r="406" spans="1:55" s="31" customFormat="1" x14ac:dyDescent="0.3">
      <c r="A406"/>
      <c r="B406" s="33" t="s">
        <v>194</v>
      </c>
      <c r="J406" s="32">
        <f>SUM(I407:I414)</f>
        <v>13508.225934125558</v>
      </c>
      <c r="M406" s="32">
        <f>SUM(L407:L414)</f>
        <v>201396.84773690064</v>
      </c>
      <c r="BB406" s="32">
        <f>J406</f>
        <v>13508.225934125558</v>
      </c>
      <c r="BC406" s="32">
        <f>M406</f>
        <v>201396.84773690064</v>
      </c>
    </row>
    <row r="407" spans="1:55" x14ac:dyDescent="0.3">
      <c r="C407" t="s">
        <v>1553</v>
      </c>
      <c r="F407">
        <f>G359</f>
        <v>2936.0640000000008</v>
      </c>
      <c r="H407" s="14">
        <f>AA75</f>
        <v>0.52600000000000002</v>
      </c>
      <c r="I407">
        <f>H407*F407</f>
        <v>1544.3696640000005</v>
      </c>
      <c r="J407" s="5"/>
      <c r="K407" s="14">
        <f>AD75</f>
        <v>7.81</v>
      </c>
      <c r="L407">
        <f>K407*F407</f>
        <v>22930.659840000004</v>
      </c>
      <c r="M407" s="5"/>
      <c r="BB407" s="5"/>
      <c r="BC407" s="5"/>
    </row>
    <row r="408" spans="1:55" x14ac:dyDescent="0.3">
      <c r="C408" t="s">
        <v>1554</v>
      </c>
      <c r="F408">
        <f>G360</f>
        <v>765.99330357142856</v>
      </c>
      <c r="J408" s="5"/>
      <c r="M408" s="5"/>
      <c r="BB408" s="5"/>
      <c r="BC408" s="5"/>
    </row>
    <row r="409" spans="1:55" x14ac:dyDescent="0.3">
      <c r="D409" t="s">
        <v>1555</v>
      </c>
      <c r="G409">
        <v>2.4319999999999999</v>
      </c>
      <c r="H409" s="14">
        <f>AA82</f>
        <v>3.4616249999999997</v>
      </c>
      <c r="I409">
        <f>H409*G409*F408</f>
        <v>6448.6463769642851</v>
      </c>
      <c r="J409" s="5"/>
      <c r="K409" s="14">
        <f>AD82</f>
        <v>51.637500000000003</v>
      </c>
      <c r="L409">
        <f>K409*G409*F408</f>
        <v>96195.277446428576</v>
      </c>
      <c r="M409" s="5"/>
      <c r="BB409" s="5"/>
      <c r="BC409" s="5"/>
    </row>
    <row r="410" spans="1:55" x14ac:dyDescent="0.3">
      <c r="D410" t="s">
        <v>1346</v>
      </c>
      <c r="G410">
        <v>0.72200000000000009</v>
      </c>
      <c r="H410" s="14">
        <f>AA82</f>
        <v>3.4616249999999997</v>
      </c>
      <c r="I410">
        <f>H410*G410*F408</f>
        <v>1914.4418931612722</v>
      </c>
      <c r="J410" s="5"/>
      <c r="K410" s="14">
        <f>AD82</f>
        <v>51.637500000000003</v>
      </c>
      <c r="L410">
        <f>K410*G410*F408</f>
        <v>28557.972991908486</v>
      </c>
      <c r="M410" s="5"/>
      <c r="BB410" s="5"/>
      <c r="BC410" s="5"/>
    </row>
    <row r="411" spans="1:55" x14ac:dyDescent="0.3">
      <c r="J411" s="5"/>
      <c r="M411" s="5"/>
      <c r="BB411" s="5"/>
      <c r="BC411" s="5"/>
    </row>
    <row r="412" spans="1:55" x14ac:dyDescent="0.3">
      <c r="C412" t="s">
        <v>69</v>
      </c>
      <c r="F412">
        <f>G363</f>
        <v>40</v>
      </c>
      <c r="H412" s="57">
        <f>AA76</f>
        <v>90</v>
      </c>
      <c r="I412" s="38">
        <f>H412*F412</f>
        <v>3600</v>
      </c>
      <c r="J412" s="5"/>
      <c r="K412" s="14">
        <f>AD76</f>
        <v>1342.5414364640887</v>
      </c>
      <c r="L412">
        <f>K412*F412</f>
        <v>53701.657458563554</v>
      </c>
      <c r="M412" s="5"/>
      <c r="BB412" s="5"/>
      <c r="BC412" s="5"/>
    </row>
    <row r="413" spans="1:55" x14ac:dyDescent="0.3">
      <c r="C413" t="s">
        <v>21</v>
      </c>
      <c r="F413">
        <f>G364</f>
        <v>40</v>
      </c>
      <c r="H413" s="57">
        <f>AA77</f>
        <v>1.9199999999999998E-2</v>
      </c>
      <c r="I413" s="38">
        <f>H413*F413</f>
        <v>0.7679999999999999</v>
      </c>
      <c r="J413" s="5"/>
      <c r="K413" s="14">
        <f>AD77</f>
        <v>0.28199999999999997</v>
      </c>
      <c r="L413">
        <f>K413*F413</f>
        <v>11.28</v>
      </c>
      <c r="M413" s="5"/>
      <c r="BB413" s="5"/>
      <c r="BC413" s="5"/>
    </row>
    <row r="414" spans="1:55" x14ac:dyDescent="0.3">
      <c r="J414" s="5"/>
      <c r="M414" s="5"/>
      <c r="BB414" s="5"/>
      <c r="BC414" s="5"/>
    </row>
    <row r="415" spans="1:55" s="19" customFormat="1" x14ac:dyDescent="0.3">
      <c r="A415"/>
      <c r="J415" s="21">
        <f>SUM(J395:J414)</f>
        <v>161522.52249832026</v>
      </c>
      <c r="M415" s="21">
        <f>SUM(M395:M414)</f>
        <v>1465104.5359953204</v>
      </c>
      <c r="BB415" s="21"/>
      <c r="BC415" s="21"/>
    </row>
    <row r="416" spans="1:55" x14ac:dyDescent="0.3">
      <c r="J416" s="5"/>
      <c r="M416" s="5"/>
      <c r="BB416" s="5"/>
      <c r="BC416" s="5"/>
    </row>
    <row r="417" spans="1:55" s="34" customFormat="1" x14ac:dyDescent="0.3">
      <c r="A417"/>
      <c r="B417" s="36" t="s">
        <v>191</v>
      </c>
      <c r="I417" s="34" t="s">
        <v>32</v>
      </c>
      <c r="J417" s="37">
        <f>J415+J392+J370+J351</f>
        <v>5332521.849899753</v>
      </c>
      <c r="L417" s="34" t="s">
        <v>162</v>
      </c>
      <c r="M417" s="37">
        <f>M415+M392+M370+M351</f>
        <v>80128631.449564263</v>
      </c>
      <c r="BB417" s="37"/>
      <c r="BC417" s="37"/>
    </row>
    <row r="418" spans="1:55" x14ac:dyDescent="0.3">
      <c r="J418" t="s">
        <v>267</v>
      </c>
      <c r="M418" t="s">
        <v>268</v>
      </c>
    </row>
    <row r="420" spans="1:55" s="18" customFormat="1" x14ac:dyDescent="0.3"/>
    <row r="423" spans="1:55" s="70" customFormat="1" x14ac:dyDescent="0.3">
      <c r="B423" s="71" t="s">
        <v>234</v>
      </c>
      <c r="C423" s="47"/>
    </row>
    <row r="426" spans="1:55" x14ac:dyDescent="0.3">
      <c r="C426" t="s">
        <v>235</v>
      </c>
    </row>
    <row r="430" spans="1:55" s="70" customFormat="1" x14ac:dyDescent="0.3">
      <c r="B430" s="71" t="s">
        <v>307</v>
      </c>
      <c r="C430" s="47"/>
      <c r="D430" s="47"/>
    </row>
    <row r="431" spans="1:55" x14ac:dyDescent="0.3">
      <c r="F431" s="379" t="s">
        <v>397</v>
      </c>
      <c r="G431" s="379"/>
      <c r="H431" s="379"/>
      <c r="I431" s="379"/>
      <c r="J431" s="379" t="s">
        <v>398</v>
      </c>
      <c r="K431" s="379"/>
      <c r="L431" s="379"/>
      <c r="M431" s="379"/>
      <c r="N431" s="379"/>
      <c r="O431" s="379"/>
    </row>
    <row r="432" spans="1:55" x14ac:dyDescent="0.3">
      <c r="F432" s="377" t="s">
        <v>32</v>
      </c>
      <c r="G432" s="377"/>
      <c r="H432" s="378" t="s">
        <v>162</v>
      </c>
      <c r="I432" s="378"/>
      <c r="J432" s="377" t="s">
        <v>32</v>
      </c>
      <c r="K432" s="377"/>
      <c r="L432" s="377"/>
      <c r="M432" s="378" t="s">
        <v>162</v>
      </c>
      <c r="N432" s="378"/>
      <c r="O432" s="378"/>
    </row>
    <row r="433" spans="3:25" ht="52.8" x14ac:dyDescent="0.35">
      <c r="F433" s="65" t="s">
        <v>288</v>
      </c>
      <c r="G433" s="65" t="s">
        <v>287</v>
      </c>
      <c r="H433" s="65" t="s">
        <v>286</v>
      </c>
      <c r="I433" s="65" t="s">
        <v>287</v>
      </c>
      <c r="J433" s="65" t="s">
        <v>283</v>
      </c>
      <c r="K433" s="65" t="s">
        <v>284</v>
      </c>
      <c r="L433" s="65" t="s">
        <v>285</v>
      </c>
      <c r="M433" s="65" t="s">
        <v>283</v>
      </c>
      <c r="N433" s="65" t="s">
        <v>284</v>
      </c>
      <c r="O433" s="65" t="s">
        <v>285</v>
      </c>
      <c r="P433" s="66"/>
    </row>
    <row r="435" spans="3:25" x14ac:dyDescent="0.3">
      <c r="C435" t="s">
        <v>272</v>
      </c>
      <c r="G435">
        <f>J351</f>
        <v>4579436.7456972189</v>
      </c>
      <c r="I435">
        <f>M351</f>
        <v>70374651.985281482</v>
      </c>
      <c r="L435" s="1">
        <f>G435/$G$478</f>
        <v>0.85877505514268238</v>
      </c>
      <c r="O435" s="1">
        <f>I435/$I$478</f>
        <v>0.87827098394383207</v>
      </c>
      <c r="T435" t="s">
        <v>272</v>
      </c>
    </row>
    <row r="436" spans="3:25" x14ac:dyDescent="0.3">
      <c r="L436" s="1"/>
      <c r="O436" s="1"/>
    </row>
    <row r="437" spans="3:25" x14ac:dyDescent="0.3">
      <c r="D437" t="s">
        <v>1041</v>
      </c>
      <c r="F437">
        <f>J200</f>
        <v>1822961.4032908978</v>
      </c>
      <c r="H437">
        <f>M200</f>
        <v>25961245.890242968</v>
      </c>
      <c r="J437" s="1">
        <f t="shared" ref="J437:J455" si="85">F437/$G$478</f>
        <v>0.3418572777765867</v>
      </c>
      <c r="K437" s="1">
        <f>F437/$G$435</f>
        <v>0.39807546310225367</v>
      </c>
      <c r="L437" s="1"/>
      <c r="M437" s="1">
        <f t="shared" ref="M437:M455" si="86">H437/$I$478</f>
        <v>0.32399462489988839</v>
      </c>
      <c r="N437" s="1">
        <f t="shared" ref="N437:N455" si="87">H437/$I$435</f>
        <v>0.36890052253008138</v>
      </c>
      <c r="O437" s="1"/>
      <c r="U437" t="s">
        <v>1041</v>
      </c>
      <c r="X437">
        <f>BB200</f>
        <v>1991753.7493708979</v>
      </c>
      <c r="Y437">
        <f>BC200</f>
        <v>28406797.890242968</v>
      </c>
    </row>
    <row r="438" spans="3:25" x14ac:dyDescent="0.3">
      <c r="J438" s="1">
        <f t="shared" si="85"/>
        <v>0</v>
      </c>
      <c r="K438" s="1">
        <f t="shared" ref="K438:K453" si="88">F438/$G$435</f>
        <v>0</v>
      </c>
      <c r="L438" s="1"/>
      <c r="M438" s="1">
        <f t="shared" si="86"/>
        <v>0</v>
      </c>
      <c r="N438" s="1">
        <f t="shared" si="87"/>
        <v>0</v>
      </c>
      <c r="O438" s="1"/>
    </row>
    <row r="439" spans="3:25" x14ac:dyDescent="0.3">
      <c r="D439" t="s">
        <v>1048</v>
      </c>
      <c r="F439" s="14">
        <f>J209</f>
        <v>877983.36576747755</v>
      </c>
      <c r="H439" s="14">
        <f>M209</f>
        <v>17809550.442319877</v>
      </c>
      <c r="J439" s="1">
        <f t="shared" si="85"/>
        <v>0.16464693262981808</v>
      </c>
      <c r="K439" s="1">
        <f t="shared" si="88"/>
        <v>0.19172300318208776</v>
      </c>
      <c r="L439" s="1"/>
      <c r="M439" s="1">
        <f t="shared" si="86"/>
        <v>0.22226200697724169</v>
      </c>
      <c r="N439" s="1">
        <f t="shared" si="87"/>
        <v>0.25306768758223713</v>
      </c>
      <c r="O439" s="1"/>
      <c r="U439" t="s">
        <v>1048</v>
      </c>
      <c r="X439">
        <f>BB209</f>
        <v>934593.22782069759</v>
      </c>
      <c r="Y439">
        <f>BC209</f>
        <v>18029045.227466591</v>
      </c>
    </row>
    <row r="440" spans="3:25" x14ac:dyDescent="0.3">
      <c r="D440" t="s">
        <v>1045</v>
      </c>
      <c r="F440" s="14">
        <f>J224</f>
        <v>112530</v>
      </c>
      <c r="H440" s="14">
        <f>M224</f>
        <v>1698180</v>
      </c>
      <c r="J440" s="1">
        <f t="shared" si="85"/>
        <v>2.110258582477547E-2</v>
      </c>
      <c r="K440" s="1">
        <f t="shared" si="88"/>
        <v>2.4572891001438502E-2</v>
      </c>
      <c r="L440" s="1"/>
      <c r="M440" s="1">
        <f t="shared" si="86"/>
        <v>2.1193173641919662E-2</v>
      </c>
      <c r="N440" s="1">
        <f t="shared" si="87"/>
        <v>2.4130563378916121E-2</v>
      </c>
      <c r="O440" s="1"/>
      <c r="P440" t="s">
        <v>1767</v>
      </c>
      <c r="Q440">
        <f>F437</f>
        <v>1822961.4032908978</v>
      </c>
      <c r="R440">
        <f>H437</f>
        <v>25961245.890242968</v>
      </c>
      <c r="U440" t="s">
        <v>1045</v>
      </c>
      <c r="X440">
        <f>BB224</f>
        <v>123802.90678888001</v>
      </c>
      <c r="Y440">
        <f>BC224</f>
        <v>1837632.632</v>
      </c>
    </row>
    <row r="441" spans="3:25" x14ac:dyDescent="0.3">
      <c r="D441" t="s">
        <v>1046</v>
      </c>
      <c r="F441" s="14">
        <f>J227</f>
        <v>10840.74834711722</v>
      </c>
      <c r="H441" s="14">
        <f>M227</f>
        <v>223061.39301606099</v>
      </c>
      <c r="J441" s="1">
        <f t="shared" si="85"/>
        <v>2.0329496347625876E-3</v>
      </c>
      <c r="K441" s="1">
        <f t="shared" si="88"/>
        <v>2.3672667511573449E-3</v>
      </c>
      <c r="L441" s="1"/>
      <c r="M441" s="1">
        <f t="shared" si="86"/>
        <v>2.7837913737047111E-3</v>
      </c>
      <c r="N441" s="1">
        <f t="shared" si="87"/>
        <v>3.1696269427053535E-3</v>
      </c>
      <c r="O441" s="1"/>
      <c r="P441" t="s">
        <v>1183</v>
      </c>
      <c r="Q441" s="14">
        <f>SUM(F439:F442)</f>
        <v>1098291.4641145947</v>
      </c>
      <c r="R441" s="14">
        <f>SUM(H439:H442)</f>
        <v>21215899.83533594</v>
      </c>
      <c r="U441" t="s">
        <v>1046</v>
      </c>
      <c r="X441">
        <f>BB227</f>
        <v>12870.26728414322</v>
      </c>
      <c r="Y441">
        <f>BC227</f>
        <v>231199.1592032428</v>
      </c>
    </row>
    <row r="442" spans="3:25" x14ac:dyDescent="0.3">
      <c r="D442" t="s">
        <v>1047</v>
      </c>
      <c r="F442" s="14">
        <f>J233</f>
        <v>96937.35</v>
      </c>
      <c r="H442" s="14">
        <f>M233</f>
        <v>1485108</v>
      </c>
      <c r="J442" s="1">
        <f t="shared" si="85"/>
        <v>1.8178519043822079E-2</v>
      </c>
      <c r="K442" s="1">
        <f t="shared" si="88"/>
        <v>2.116796352544472E-2</v>
      </c>
      <c r="L442" s="1"/>
      <c r="M442" s="1">
        <f t="shared" si="86"/>
        <v>1.8534049229766002E-2</v>
      </c>
      <c r="N442" s="1">
        <f t="shared" si="87"/>
        <v>2.1102882331987989E-2</v>
      </c>
      <c r="O442" s="1"/>
      <c r="P442" t="s">
        <v>1763</v>
      </c>
      <c r="Q442" s="14">
        <f>SUM(F444:F455)</f>
        <v>935428.94753846072</v>
      </c>
      <c r="R442" s="14">
        <f>SUM(H444:H455)</f>
        <v>14441499.644649308</v>
      </c>
      <c r="U442" t="s">
        <v>1047</v>
      </c>
      <c r="X442">
        <f>BB233</f>
        <v>101097.35649696001</v>
      </c>
      <c r="Y442">
        <f>BC233</f>
        <v>1545031.6562999999</v>
      </c>
    </row>
    <row r="443" spans="3:25" x14ac:dyDescent="0.3">
      <c r="F443" s="14"/>
      <c r="H443" s="14"/>
      <c r="J443" s="1">
        <f t="shared" si="85"/>
        <v>0</v>
      </c>
      <c r="K443" s="1">
        <f t="shared" si="88"/>
        <v>0</v>
      </c>
      <c r="L443" s="1"/>
      <c r="M443" s="1">
        <f t="shared" si="86"/>
        <v>0</v>
      </c>
      <c r="N443" s="1">
        <f t="shared" si="87"/>
        <v>0</v>
      </c>
      <c r="O443" s="1"/>
      <c r="P443" t="s">
        <v>16</v>
      </c>
    </row>
    <row r="444" spans="3:25" x14ac:dyDescent="0.3">
      <c r="D444" t="s">
        <v>1152</v>
      </c>
      <c r="F444" s="14">
        <f>J245</f>
        <v>64315.131033879792</v>
      </c>
      <c r="H444" s="14">
        <f>M245</f>
        <v>966300.42870171694</v>
      </c>
      <c r="J444" s="1">
        <f t="shared" si="85"/>
        <v>1.2060922176078634E-2</v>
      </c>
      <c r="K444" s="1">
        <f t="shared" si="88"/>
        <v>1.4044332219308299E-2</v>
      </c>
      <c r="L444" s="1"/>
      <c r="M444" s="1">
        <f t="shared" si="86"/>
        <v>1.2059365188458761E-2</v>
      </c>
      <c r="N444" s="1">
        <f t="shared" si="87"/>
        <v>1.3730802234074479E-2</v>
      </c>
      <c r="O444" s="1"/>
      <c r="P444" t="s">
        <v>50</v>
      </c>
      <c r="Q444" s="14">
        <f>F457</f>
        <v>430227.06353035715</v>
      </c>
      <c r="R444" s="14">
        <f>H457</f>
        <v>4099445.413232143</v>
      </c>
      <c r="U444" t="s">
        <v>21</v>
      </c>
      <c r="X444">
        <f>BB245</f>
        <v>69125.037591453351</v>
      </c>
      <c r="Y444">
        <f>BC245</f>
        <v>1034424.1863591997</v>
      </c>
    </row>
    <row r="445" spans="3:25" x14ac:dyDescent="0.3">
      <c r="D445" t="s">
        <v>252</v>
      </c>
      <c r="F445" s="14">
        <f>J264</f>
        <v>240842.16</v>
      </c>
      <c r="H445" s="14">
        <f>M264</f>
        <v>3678436.8</v>
      </c>
      <c r="J445" s="1">
        <f t="shared" si="85"/>
        <v>4.516477696280375E-2</v>
      </c>
      <c r="K445" s="1">
        <f t="shared" si="88"/>
        <v>5.2592092297440787E-2</v>
      </c>
      <c r="L445" s="1"/>
      <c r="M445" s="1">
        <f t="shared" si="86"/>
        <v>4.5906647018117815E-2</v>
      </c>
      <c r="N445" s="1">
        <f t="shared" si="87"/>
        <v>5.2269342671411395E-2</v>
      </c>
      <c r="O445" s="1"/>
      <c r="P445" t="s">
        <v>139</v>
      </c>
      <c r="Q445" s="14">
        <f>F459</f>
        <v>292527.86722290789</v>
      </c>
      <c r="R445" s="14">
        <f>H459</f>
        <v>4656561.2018211298</v>
      </c>
      <c r="U445" t="s">
        <v>22</v>
      </c>
      <c r="X445" s="7">
        <f>BB264+BB378</f>
        <v>511432.10558496002</v>
      </c>
      <c r="Y445" s="7">
        <f>BC264+BC378</f>
        <v>7738970.4335679421</v>
      </c>
    </row>
    <row r="446" spans="3:25" x14ac:dyDescent="0.3">
      <c r="D446" t="s">
        <v>330</v>
      </c>
      <c r="F446" s="14">
        <f>J270</f>
        <v>84385.625</v>
      </c>
      <c r="H446" s="14">
        <f>M270</f>
        <v>1488562.425</v>
      </c>
      <c r="J446" s="1">
        <f t="shared" si="85"/>
        <v>1.5824712467251565E-2</v>
      </c>
      <c r="K446" s="1">
        <f t="shared" si="88"/>
        <v>1.8427075137414588E-2</v>
      </c>
      <c r="L446" s="1"/>
      <c r="M446" s="1">
        <f t="shared" si="86"/>
        <v>1.8577160224394363E-2</v>
      </c>
      <c r="N446" s="1">
        <f t="shared" si="87"/>
        <v>2.1151968542754935E-2</v>
      </c>
      <c r="O446" s="1"/>
      <c r="U446" t="s">
        <v>26</v>
      </c>
      <c r="X446">
        <f>BB270</f>
        <v>90697.395949025697</v>
      </c>
      <c r="Y446">
        <f>BC270</f>
        <v>1557958.6314312501</v>
      </c>
    </row>
    <row r="447" spans="3:25" x14ac:dyDescent="0.3">
      <c r="D447" t="s">
        <v>1163</v>
      </c>
      <c r="F447" s="14">
        <f>J274</f>
        <v>19151.988746573759</v>
      </c>
      <c r="H447" s="14">
        <f>M274</f>
        <v>394075.12766170775</v>
      </c>
      <c r="J447" s="1">
        <f t="shared" si="85"/>
        <v>3.5915443547472384E-3</v>
      </c>
      <c r="K447" s="1">
        <f t="shared" si="88"/>
        <v>4.1821712603779771E-3</v>
      </c>
      <c r="L447" s="1"/>
      <c r="M447" s="1">
        <f t="shared" si="86"/>
        <v>4.9180314268783233E-3</v>
      </c>
      <c r="N447" s="1">
        <f t="shared" si="87"/>
        <v>5.5996742654461249E-3</v>
      </c>
      <c r="O447" s="1"/>
      <c r="P447">
        <f>F62</f>
        <v>410885.60999999993</v>
      </c>
      <c r="Q447" t="s">
        <v>1771</v>
      </c>
      <c r="U447" t="s">
        <v>1051</v>
      </c>
      <c r="X447">
        <f>BB274</f>
        <v>22737.472201986358</v>
      </c>
      <c r="Y447">
        <f>BC274</f>
        <v>408451.84792572894</v>
      </c>
    </row>
    <row r="448" spans="3:25" x14ac:dyDescent="0.3">
      <c r="D448" t="s">
        <v>253</v>
      </c>
      <c r="F448" s="14">
        <f>J281</f>
        <v>40528</v>
      </c>
      <c r="H448" s="14">
        <f>M281</f>
        <v>611451.6</v>
      </c>
      <c r="J448" s="1">
        <f t="shared" si="85"/>
        <v>7.6001563876877303E-3</v>
      </c>
      <c r="K448" s="1">
        <f t="shared" si="88"/>
        <v>8.8499966809410784E-3</v>
      </c>
      <c r="L448" s="1"/>
      <c r="M448" s="1">
        <f t="shared" si="86"/>
        <v>7.6308753679996261E-3</v>
      </c>
      <c r="N448" s="1">
        <f t="shared" si="87"/>
        <v>8.6885204082839673E-3</v>
      </c>
      <c r="O448" s="1"/>
      <c r="U448" t="s">
        <v>1052</v>
      </c>
      <c r="X448">
        <f>BB281</f>
        <v>42330.457289163198</v>
      </c>
      <c r="Y448">
        <f>BC281</f>
        <v>636636.68287999998</v>
      </c>
    </row>
    <row r="449" spans="3:25" x14ac:dyDescent="0.3">
      <c r="D449" t="s">
        <v>1164</v>
      </c>
      <c r="F449" s="14">
        <f>J291</f>
        <v>111540</v>
      </c>
      <c r="H449" s="14">
        <f>M291</f>
        <v>1713660</v>
      </c>
      <c r="J449" s="1">
        <f t="shared" si="85"/>
        <v>2.0916932577050174E-2</v>
      </c>
      <c r="K449" s="1">
        <f t="shared" si="88"/>
        <v>2.435670720963699E-2</v>
      </c>
      <c r="L449" s="1"/>
      <c r="M449" s="1">
        <f t="shared" si="86"/>
        <v>2.1386363014057431E-2</v>
      </c>
      <c r="N449" s="1">
        <f t="shared" si="87"/>
        <v>2.4350528942699477E-2</v>
      </c>
      <c r="O449" s="1"/>
      <c r="P449" t="s">
        <v>1767</v>
      </c>
      <c r="Q449">
        <f>Q440/$P$447</f>
        <v>4.4366640225996186</v>
      </c>
      <c r="R449">
        <f>R440/$P$447</f>
        <v>63.183633737484676</v>
      </c>
      <c r="U449" t="s">
        <v>1057</v>
      </c>
      <c r="X449">
        <f>BB291</f>
        <v>116294.31774791999</v>
      </c>
      <c r="Y449">
        <f>BC291</f>
        <v>1782543.048</v>
      </c>
    </row>
    <row r="450" spans="3:25" x14ac:dyDescent="0.3">
      <c r="D450" t="s">
        <v>1773</v>
      </c>
      <c r="F450" s="14">
        <f>J294</f>
        <v>253492.52499999999</v>
      </c>
      <c r="H450" s="14">
        <f>M294</f>
        <v>3743775.75</v>
      </c>
      <c r="J450" s="1">
        <f t="shared" si="85"/>
        <v>4.753708135387489E-2</v>
      </c>
      <c r="K450" s="1">
        <f t="shared" si="88"/>
        <v>5.5354520452363137E-2</v>
      </c>
      <c r="L450" s="1"/>
      <c r="M450" s="1">
        <f t="shared" si="86"/>
        <v>4.6722072775652768E-2</v>
      </c>
      <c r="N450" s="1">
        <f t="shared" si="87"/>
        <v>5.3197787049561435E-2</v>
      </c>
      <c r="O450" s="1"/>
      <c r="P450" t="s">
        <v>1183</v>
      </c>
      <c r="Q450">
        <f t="shared" ref="Q450:R450" si="89">Q441/$P$447</f>
        <v>2.6729859537173737</v>
      </c>
      <c r="R450">
        <f t="shared" si="89"/>
        <v>51.634565239059953</v>
      </c>
      <c r="U450" t="s">
        <v>1058</v>
      </c>
      <c r="X450">
        <f>BB294</f>
        <v>275374.89814120001</v>
      </c>
      <c r="Y450">
        <f>BC294</f>
        <v>4035708.0334999999</v>
      </c>
    </row>
    <row r="451" spans="3:25" x14ac:dyDescent="0.3">
      <c r="D451" t="s">
        <v>1063</v>
      </c>
      <c r="F451" s="14">
        <f>J300</f>
        <v>16664.690000000002</v>
      </c>
      <c r="H451" s="14">
        <f>M300</f>
        <v>256015.9</v>
      </c>
      <c r="J451" s="1">
        <f t="shared" si="85"/>
        <v>3.1251048695305926E-3</v>
      </c>
      <c r="K451" s="1">
        <f t="shared" si="88"/>
        <v>3.6390261347441768E-3</v>
      </c>
      <c r="L451" s="1"/>
      <c r="M451" s="1">
        <f t="shared" si="86"/>
        <v>3.195061432705803E-3</v>
      </c>
      <c r="N451" s="1">
        <f t="shared" si="87"/>
        <v>3.6378993398581139E-3</v>
      </c>
      <c r="O451" s="1"/>
      <c r="P451" t="s">
        <v>1763</v>
      </c>
      <c r="Q451">
        <f t="shared" ref="Q451:R451" si="90">Q442/$P$447</f>
        <v>2.2766164712812915</v>
      </c>
      <c r="R451">
        <f t="shared" si="90"/>
        <v>35.147250945705572</v>
      </c>
      <c r="U451" t="s">
        <v>1063</v>
      </c>
      <c r="X451">
        <f>BB300</f>
        <v>18143.592272237602</v>
      </c>
      <c r="Y451">
        <f>BC300</f>
        <v>277443.01143999997</v>
      </c>
    </row>
    <row r="452" spans="3:25" x14ac:dyDescent="0.3">
      <c r="D452" t="s">
        <v>1060</v>
      </c>
      <c r="F452" s="14">
        <f>J304</f>
        <v>0</v>
      </c>
      <c r="H452" s="14">
        <f>M304</f>
        <v>0</v>
      </c>
      <c r="J452" s="1">
        <f t="shared" si="85"/>
        <v>0</v>
      </c>
      <c r="K452" s="1">
        <f t="shared" si="88"/>
        <v>0</v>
      </c>
      <c r="L452" s="1"/>
      <c r="M452" s="1">
        <f t="shared" si="86"/>
        <v>0</v>
      </c>
      <c r="N452" s="1">
        <f t="shared" si="87"/>
        <v>0</v>
      </c>
      <c r="O452" s="1"/>
      <c r="P452" t="s">
        <v>16</v>
      </c>
      <c r="Q452">
        <f t="shared" ref="Q452:R452" si="91">Q443/$P$447</f>
        <v>0</v>
      </c>
      <c r="R452">
        <f t="shared" si="91"/>
        <v>0</v>
      </c>
      <c r="U452" t="s">
        <v>1060</v>
      </c>
      <c r="X452">
        <f>BB304</f>
        <v>0</v>
      </c>
      <c r="Y452">
        <f>BC304</f>
        <v>0</v>
      </c>
    </row>
    <row r="453" spans="3:25" x14ac:dyDescent="0.3">
      <c r="D453" t="s">
        <v>133</v>
      </c>
      <c r="F453" s="14">
        <f>J308</f>
        <v>18300</v>
      </c>
      <c r="H453" s="14">
        <f>M308</f>
        <v>285000</v>
      </c>
      <c r="J453" s="1">
        <f t="shared" si="85"/>
        <v>3.4317721549221641E-3</v>
      </c>
      <c r="K453" s="1">
        <f t="shared" si="88"/>
        <v>3.9961246363309742E-3</v>
      </c>
      <c r="L453" s="1"/>
      <c r="M453" s="1">
        <f t="shared" si="86"/>
        <v>3.5567810761798538E-3</v>
      </c>
      <c r="N453" s="1">
        <f t="shared" si="87"/>
        <v>4.0497535967866155E-3</v>
      </c>
      <c r="O453" s="1"/>
      <c r="P453" t="s">
        <v>50</v>
      </c>
      <c r="Q453">
        <f t="shared" ref="Q453:R453" si="92">Q444/$P$447</f>
        <v>1.0470725989414846</v>
      </c>
      <c r="R453">
        <f t="shared" si="92"/>
        <v>9.9770965773956988</v>
      </c>
      <c r="U453" t="s">
        <v>328</v>
      </c>
      <c r="X453">
        <f>BB308</f>
        <v>18595.4918884</v>
      </c>
      <c r="Y453">
        <f>BC308</f>
        <v>287111.75</v>
      </c>
    </row>
    <row r="454" spans="3:25" x14ac:dyDescent="0.3">
      <c r="D454" t="s">
        <v>2001</v>
      </c>
      <c r="F454" s="14">
        <f>J311</f>
        <v>68640</v>
      </c>
      <c r="H454" s="14">
        <f>M311</f>
        <v>1054560</v>
      </c>
      <c r="J454" s="1">
        <f t="shared" si="85"/>
        <v>1.2871958508953953E-2</v>
      </c>
      <c r="K454" s="1">
        <f t="shared" ref="K454" si="93">F454/$G$435</f>
        <v>1.4988742898238146E-2</v>
      </c>
      <c r="L454" s="1"/>
      <c r="M454" s="1">
        <f t="shared" si="86"/>
        <v>1.3160838777881496E-2</v>
      </c>
      <c r="N454" s="1">
        <f t="shared" ref="N454" si="94">H454/$I$435</f>
        <v>1.4984940887815063E-2</v>
      </c>
      <c r="O454" s="1"/>
      <c r="P454" t="s">
        <v>139</v>
      </c>
      <c r="Q454">
        <f t="shared" ref="Q454:R454" si="95">Q445/$P$447</f>
        <v>0.7119447848828484</v>
      </c>
      <c r="R454">
        <f t="shared" si="95"/>
        <v>11.332986817964082</v>
      </c>
      <c r="U454" t="s">
        <v>1485</v>
      </c>
      <c r="X454">
        <f>BB311</f>
        <v>71565.733998719996</v>
      </c>
      <c r="Y454">
        <f>BC311</f>
        <v>1096949.568</v>
      </c>
    </row>
    <row r="455" spans="3:25" x14ac:dyDescent="0.3">
      <c r="D455" t="s">
        <v>358</v>
      </c>
      <c r="F455" s="14">
        <f>J316</f>
        <v>17568.827758007115</v>
      </c>
      <c r="H455" s="14">
        <f>M316</f>
        <v>249661.61328588374</v>
      </c>
      <c r="J455" s="1">
        <f t="shared" si="85"/>
        <v>3.294656496970077E-3</v>
      </c>
      <c r="K455" s="1">
        <f t="shared" ref="K455:K459" si="96">F455/$G$435</f>
        <v>3.8364604062965965E-3</v>
      </c>
      <c r="L455" s="1"/>
      <c r="M455" s="1">
        <f t="shared" si="86"/>
        <v>3.1157603564342597E-3</v>
      </c>
      <c r="N455" s="1">
        <f t="shared" si="87"/>
        <v>3.547607075031778E-3</v>
      </c>
      <c r="O455" s="1"/>
      <c r="U455" t="s">
        <v>212</v>
      </c>
      <c r="X455">
        <f>BB316</f>
        <v>19172.811739278764</v>
      </c>
      <c r="Y455">
        <f>BC316</f>
        <v>270545.86611506523</v>
      </c>
    </row>
    <row r="456" spans="3:25" x14ac:dyDescent="0.3">
      <c r="F456" s="14"/>
      <c r="H456" s="14"/>
      <c r="J456" s="1"/>
      <c r="K456" s="1"/>
      <c r="L456" s="1"/>
      <c r="M456" s="1"/>
      <c r="N456" s="1"/>
      <c r="O456" s="1"/>
    </row>
    <row r="457" spans="3:25" x14ac:dyDescent="0.3">
      <c r="D457" t="s">
        <v>71</v>
      </c>
      <c r="F457" s="14">
        <f>J328</f>
        <v>430227.06353035715</v>
      </c>
      <c r="H457" s="14">
        <f>M328</f>
        <v>4099445.413232143</v>
      </c>
      <c r="J457" s="1">
        <f>F457/$G$478</f>
        <v>8.0679850104776421E-2</v>
      </c>
      <c r="K457" s="1">
        <f t="shared" si="96"/>
        <v>9.3947593868305548E-2</v>
      </c>
      <c r="L457" s="1"/>
      <c r="M457" s="1">
        <f>H457/$I$478</f>
        <v>5.1160806556548727E-2</v>
      </c>
      <c r="N457" s="1">
        <f>H457/$I$435</f>
        <v>5.8251732656376363E-2</v>
      </c>
      <c r="O457" s="1"/>
      <c r="P457" t="s">
        <v>783</v>
      </c>
      <c r="Q457">
        <f>G435</f>
        <v>4579436.7456972189</v>
      </c>
      <c r="R457">
        <f>Q457/$P$447</f>
        <v>11.145283831422619</v>
      </c>
      <c r="U457" t="s">
        <v>71</v>
      </c>
      <c r="X457">
        <f>BB329+BB330+BB331</f>
        <v>505168.38445455104</v>
      </c>
      <c r="Y457">
        <f>BC329+BC330+BC331</f>
        <v>5486581.0463409424</v>
      </c>
    </row>
    <row r="458" spans="3:25" x14ac:dyDescent="0.3">
      <c r="F458" s="14"/>
      <c r="H458" s="14"/>
      <c r="J458" s="1"/>
      <c r="K458" s="1">
        <f t="shared" si="96"/>
        <v>0</v>
      </c>
      <c r="L458" s="1"/>
      <c r="M458" s="1"/>
      <c r="N458" s="1"/>
      <c r="O458" s="1"/>
      <c r="P458" t="s">
        <v>1769</v>
      </c>
      <c r="Q458">
        <f>G462</f>
        <v>289473.08595141373</v>
      </c>
      <c r="R458">
        <f t="shared" ref="R458:R461" si="97">Q458/$P$447</f>
        <v>0.70451015783057913</v>
      </c>
    </row>
    <row r="459" spans="3:25" x14ac:dyDescent="0.3">
      <c r="D459" t="s">
        <v>281</v>
      </c>
      <c r="F459" s="14">
        <f>J334+J341</f>
        <v>292527.86722290789</v>
      </c>
      <c r="H459" s="14">
        <f>M334+M341</f>
        <v>4656561.2018211298</v>
      </c>
      <c r="J459" s="1">
        <f>F459/$G$478</f>
        <v>5.4857321818270126E-2</v>
      </c>
      <c r="K459" s="1">
        <f t="shared" si="96"/>
        <v>6.3878569236219582E-2</v>
      </c>
      <c r="L459" s="1"/>
      <c r="M459" s="1">
        <f>H459/$I$478</f>
        <v>5.8113574606002492E-2</v>
      </c>
      <c r="N459" s="1">
        <f>H459/$I$435</f>
        <v>6.6168159563972359E-2</v>
      </c>
      <c r="O459" s="1"/>
      <c r="P459" t="s">
        <v>1768</v>
      </c>
      <c r="Q459">
        <f>G468</f>
        <v>302089.49575280002</v>
      </c>
      <c r="R459">
        <f t="shared" si="97"/>
        <v>0.73521556462588233</v>
      </c>
      <c r="U459" t="s">
        <v>281</v>
      </c>
      <c r="X459">
        <f>BB334+BB341</f>
        <v>339172.27754427353</v>
      </c>
      <c r="Y459">
        <f>BC334+BC341</f>
        <v>4913885.6525254315</v>
      </c>
    </row>
    <row r="460" spans="3:25" x14ac:dyDescent="0.3">
      <c r="F460" s="14"/>
      <c r="J460" s="1"/>
      <c r="K460" s="1"/>
      <c r="L460" s="1"/>
      <c r="M460" s="1"/>
      <c r="N460" s="1"/>
      <c r="O460" s="1"/>
      <c r="P460" t="s">
        <v>47</v>
      </c>
      <c r="Q460">
        <f>G473</f>
        <v>161522.52249832026</v>
      </c>
      <c r="R460">
        <f t="shared" si="97"/>
        <v>0.39310824854226534</v>
      </c>
    </row>
    <row r="461" spans="3:25" x14ac:dyDescent="0.3">
      <c r="J461" s="1"/>
      <c r="L461" s="1"/>
      <c r="M461" s="1"/>
      <c r="O461" s="1"/>
      <c r="P461" t="s">
        <v>55</v>
      </c>
      <c r="Q461">
        <f>G478</f>
        <v>5332521.849899753</v>
      </c>
      <c r="R461">
        <f t="shared" si="97"/>
        <v>12.978117802421345</v>
      </c>
    </row>
    <row r="462" spans="3:25" x14ac:dyDescent="0.3">
      <c r="C462" t="s">
        <v>273</v>
      </c>
      <c r="G462">
        <f>J370</f>
        <v>289473.08595141373</v>
      </c>
      <c r="I462">
        <f>M370</f>
        <v>4160734.1282874565</v>
      </c>
      <c r="J462" s="1"/>
      <c r="L462" s="1">
        <f>G462/$G$478</f>
        <v>5.4284463167620325E-2</v>
      </c>
      <c r="M462" s="1"/>
      <c r="O462" s="1">
        <f>I462/$I$478</f>
        <v>5.1925685650907036E-2</v>
      </c>
      <c r="T462" t="s">
        <v>273</v>
      </c>
    </row>
    <row r="463" spans="3:25" x14ac:dyDescent="0.3">
      <c r="D463" t="s">
        <v>4</v>
      </c>
      <c r="F463">
        <f>J366</f>
        <v>283925.03580973513</v>
      </c>
      <c r="H463">
        <f>M366</f>
        <v>4078108.123288</v>
      </c>
      <c r="J463" s="1">
        <f>F463/$G$478</f>
        <v>5.3244045463230999E-2</v>
      </c>
      <c r="L463" s="1"/>
      <c r="M463" s="1">
        <f>H463/$I$478</f>
        <v>5.0894518594828408E-2</v>
      </c>
      <c r="O463" s="1"/>
    </row>
    <row r="464" spans="3:25" x14ac:dyDescent="0.3">
      <c r="D464" t="s">
        <v>277</v>
      </c>
      <c r="F464">
        <f>J358</f>
        <v>1947.2821416785719</v>
      </c>
      <c r="H464">
        <f>M358</f>
        <v>28913.067540892862</v>
      </c>
      <c r="J464" s="1">
        <f>F464/$G$478</f>
        <v>3.6517096347484803E-4</v>
      </c>
      <c r="L464" s="1"/>
      <c r="M464" s="1">
        <f>H464/$I$478</f>
        <v>3.6083316310090422E-4</v>
      </c>
      <c r="O464" s="1"/>
      <c r="P464" t="s">
        <v>783</v>
      </c>
      <c r="Q464">
        <f>I435</f>
        <v>70374651.985281482</v>
      </c>
      <c r="R464">
        <f>Q464/$P$447</f>
        <v>171.27553331760996</v>
      </c>
      <c r="U464" t="s">
        <v>277</v>
      </c>
      <c r="X464">
        <f>BB358</f>
        <v>1947.2821416785719</v>
      </c>
      <c r="Y464">
        <f>BC358</f>
        <v>28913.067540892862</v>
      </c>
    </row>
    <row r="465" spans="3:25" x14ac:dyDescent="0.3">
      <c r="D465" t="s">
        <v>278</v>
      </c>
      <c r="F465">
        <f>J362</f>
        <v>3600.768</v>
      </c>
      <c r="H465">
        <f>M362</f>
        <v>53712.937458563552</v>
      </c>
      <c r="J465" s="1">
        <f>F465/$G$478</f>
        <v>6.7524674091446835E-4</v>
      </c>
      <c r="L465" s="1"/>
      <c r="M465" s="1">
        <f>H465/$I$478</f>
        <v>6.7033389297772232E-4</v>
      </c>
      <c r="O465" s="1"/>
      <c r="P465" t="s">
        <v>1769</v>
      </c>
      <c r="Q465">
        <f>I462</f>
        <v>4160734.1282874565</v>
      </c>
      <c r="R465">
        <f t="shared" ref="R465:R468" si="98">Q465/$P$447</f>
        <v>10.126259053675444</v>
      </c>
      <c r="U465" t="s">
        <v>278</v>
      </c>
      <c r="X465">
        <f>BB362</f>
        <v>3600.768</v>
      </c>
      <c r="Y465">
        <f>BC362</f>
        <v>53712.937458563552</v>
      </c>
    </row>
    <row r="466" spans="3:25" x14ac:dyDescent="0.3">
      <c r="J466" s="1"/>
      <c r="L466" s="1"/>
      <c r="M466" s="1"/>
      <c r="O466" s="1"/>
      <c r="P466" t="s">
        <v>1768</v>
      </c>
      <c r="Q466">
        <f>I468</f>
        <v>4128140.8</v>
      </c>
      <c r="R466">
        <f t="shared" si="98"/>
        <v>10.046934474049847</v>
      </c>
    </row>
    <row r="467" spans="3:25" x14ac:dyDescent="0.3">
      <c r="J467" s="1"/>
      <c r="L467" s="1"/>
      <c r="M467" s="1"/>
      <c r="O467" s="1"/>
      <c r="P467" t="s">
        <v>47</v>
      </c>
      <c r="Q467">
        <f>I473</f>
        <v>1465104.5359953204</v>
      </c>
      <c r="R467">
        <f t="shared" si="98"/>
        <v>3.5657236475020886</v>
      </c>
    </row>
    <row r="468" spans="3:25" x14ac:dyDescent="0.3">
      <c r="C468" t="s">
        <v>170</v>
      </c>
      <c r="G468">
        <f>J392</f>
        <v>302089.49575280002</v>
      </c>
      <c r="I468">
        <f>M392</f>
        <v>4128140.8</v>
      </c>
      <c r="J468" s="1"/>
      <c r="L468" s="1">
        <f>G468/$G$478</f>
        <v>5.6650399990105821E-2</v>
      </c>
      <c r="M468" s="1"/>
      <c r="O468" s="1">
        <f>I468/$I$478</f>
        <v>5.1518923078056007E-2</v>
      </c>
      <c r="P468" t="s">
        <v>55</v>
      </c>
      <c r="Q468">
        <f>I478</f>
        <v>80128631.449564248</v>
      </c>
      <c r="R468">
        <f t="shared" si="98"/>
        <v>195.01445049283731</v>
      </c>
      <c r="T468" t="s">
        <v>170</v>
      </c>
    </row>
    <row r="469" spans="3:25" x14ac:dyDescent="0.3">
      <c r="D469" t="s">
        <v>41</v>
      </c>
      <c r="F469">
        <f>J374</f>
        <v>240842.16</v>
      </c>
      <c r="H469">
        <f>M374</f>
        <v>3678436.8</v>
      </c>
      <c r="J469" s="1">
        <f>F469/$G$478</f>
        <v>4.516477696280375E-2</v>
      </c>
      <c r="L469" s="1"/>
      <c r="M469" s="1">
        <f>H469/$I$478</f>
        <v>4.5906647018117815E-2</v>
      </c>
      <c r="O469" s="1"/>
    </row>
    <row r="470" spans="3:25" x14ac:dyDescent="0.3">
      <c r="D470" t="s">
        <v>4</v>
      </c>
      <c r="F470">
        <f>J382</f>
        <v>58499.335752800005</v>
      </c>
      <c r="H470">
        <f>M382</f>
        <v>320144</v>
      </c>
      <c r="J470" s="1">
        <f>F470/$G$478</f>
        <v>1.0970294618464571E-2</v>
      </c>
      <c r="L470" s="1"/>
      <c r="M470" s="1">
        <f>H470/$I$478</f>
        <v>3.995375862640432E-3</v>
      </c>
      <c r="O470" s="1"/>
      <c r="U470" t="s">
        <v>180</v>
      </c>
      <c r="X470">
        <f>BB385</f>
        <v>45682.108200000002</v>
      </c>
      <c r="Y470">
        <f>BC385</f>
        <v>136800</v>
      </c>
    </row>
    <row r="471" spans="3:25" x14ac:dyDescent="0.3">
      <c r="D471" t="s">
        <v>276</v>
      </c>
      <c r="F471">
        <f>J387</f>
        <v>2748</v>
      </c>
      <c r="H471">
        <f>M387</f>
        <v>129560</v>
      </c>
      <c r="J471" s="1">
        <f>F471/$G$478</f>
        <v>5.1532840883749219E-4</v>
      </c>
      <c r="L471" s="1"/>
      <c r="M471" s="1">
        <f>H471/$I$478</f>
        <v>1.6169001972977609E-3</v>
      </c>
      <c r="O471" s="1"/>
      <c r="U471" t="s">
        <v>276</v>
      </c>
      <c r="X471">
        <f>BB387</f>
        <v>3855.9814592000002</v>
      </c>
      <c r="Y471">
        <f>BC387+BC385</f>
        <v>267692.27352954494</v>
      </c>
    </row>
    <row r="472" spans="3:25" x14ac:dyDescent="0.3">
      <c r="J472" s="1"/>
      <c r="L472" s="1"/>
      <c r="M472" s="1"/>
      <c r="O472" s="1"/>
    </row>
    <row r="473" spans="3:25" x14ac:dyDescent="0.3">
      <c r="C473" t="s">
        <v>47</v>
      </c>
      <c r="G473">
        <f>J415</f>
        <v>161522.52249832026</v>
      </c>
      <c r="I473">
        <f>M415</f>
        <v>1465104.5359953204</v>
      </c>
      <c r="J473" s="1"/>
      <c r="L473" s="1">
        <f>G473/$G$478</f>
        <v>3.0290081699591489E-2</v>
      </c>
      <c r="M473" s="1"/>
      <c r="O473" s="1">
        <f>I473/$I$478</f>
        <v>1.8284407327204984E-2</v>
      </c>
      <c r="T473" t="s">
        <v>47</v>
      </c>
    </row>
    <row r="474" spans="3:25" x14ac:dyDescent="0.3">
      <c r="D474" t="s">
        <v>274</v>
      </c>
      <c r="F474">
        <f>J396</f>
        <v>99245.087386853425</v>
      </c>
      <c r="H474">
        <f>M396</f>
        <v>455213.25730973232</v>
      </c>
      <c r="J474" s="1">
        <f>F474/$G$478</f>
        <v>1.8611285650656856E-2</v>
      </c>
      <c r="L474" s="1"/>
      <c r="M474" s="1">
        <f>H474/$I$478</f>
        <v>5.6810312253524438E-3</v>
      </c>
      <c r="O474" s="1"/>
    </row>
    <row r="475" spans="3:25" x14ac:dyDescent="0.3">
      <c r="D475" t="s">
        <v>4</v>
      </c>
      <c r="F475">
        <f>J401</f>
        <v>48769.209177341276</v>
      </c>
      <c r="H475">
        <f>M401</f>
        <v>808494.43094868748</v>
      </c>
      <c r="J475" s="1">
        <f>F475/$G$478</f>
        <v>9.1456182553209964E-3</v>
      </c>
      <c r="K475" s="1"/>
      <c r="M475" s="1">
        <f>H475/$I$478</f>
        <v>1.0089956814719619E-2</v>
      </c>
      <c r="N475" s="1"/>
    </row>
    <row r="476" spans="3:25" x14ac:dyDescent="0.3">
      <c r="D476" t="s">
        <v>275</v>
      </c>
      <c r="F476">
        <f>J406</f>
        <v>13508.225934125558</v>
      </c>
      <c r="H476">
        <f>M406</f>
        <v>201396.84773690064</v>
      </c>
      <c r="J476" s="1">
        <f>F476/$G$478</f>
        <v>2.5331777936136355E-3</v>
      </c>
      <c r="K476" s="1"/>
      <c r="M476" s="1">
        <f>H476/$I$478</f>
        <v>2.5134192871329249E-3</v>
      </c>
      <c r="N476" s="1"/>
      <c r="U476" t="s">
        <v>275</v>
      </c>
      <c r="X476">
        <f>BB406</f>
        <v>13508.225934125558</v>
      </c>
      <c r="Y476">
        <f>BC406</f>
        <v>201396.84773690064</v>
      </c>
    </row>
    <row r="477" spans="3:25" x14ac:dyDescent="0.3">
      <c r="K477" s="1"/>
      <c r="N477" s="1"/>
    </row>
    <row r="478" spans="3:25" x14ac:dyDescent="0.3">
      <c r="C478" t="s">
        <v>191</v>
      </c>
      <c r="F478">
        <f>SUM(F435:F477)</f>
        <v>5332521.849899753</v>
      </c>
      <c r="G478">
        <f>SUM(G435:G477)</f>
        <v>5332521.849899753</v>
      </c>
      <c r="H478">
        <f>SUM(H435:H477)</f>
        <v>80128631.449564263</v>
      </c>
      <c r="I478">
        <f>SUM(I435:I477)</f>
        <v>80128631.449564248</v>
      </c>
      <c r="J478" s="1">
        <f>SUM(J439:J477)</f>
        <v>0.65814272222341319</v>
      </c>
      <c r="K478" s="1">
        <f>SUM(K439:K477)</f>
        <v>0.60192453689774617</v>
      </c>
      <c r="M478" s="1">
        <f>SUM(M439:M477)</f>
        <v>0.67600537510011183</v>
      </c>
      <c r="N478" s="1">
        <f>SUM(N439:N477)</f>
        <v>0.63109947746991868</v>
      </c>
      <c r="U478" t="s">
        <v>55</v>
      </c>
      <c r="X478" s="14">
        <f>SUM(X437:X477)</f>
        <v>5332521.849899753</v>
      </c>
      <c r="Y478" s="14">
        <f>SUM(Y437:Y477)</f>
        <v>80265431.449564248</v>
      </c>
    </row>
    <row r="479" spans="3:25" x14ac:dyDescent="0.3">
      <c r="C479" t="s">
        <v>282</v>
      </c>
      <c r="G479">
        <f>J417</f>
        <v>5332521.849899753</v>
      </c>
      <c r="I479">
        <f>M417</f>
        <v>80128631.449564263</v>
      </c>
    </row>
    <row r="481" spans="2:25" x14ac:dyDescent="0.3">
      <c r="T481">
        <f>F478/X478</f>
        <v>1</v>
      </c>
    </row>
    <row r="482" spans="2:25" x14ac:dyDescent="0.3">
      <c r="W482" t="s">
        <v>1593</v>
      </c>
      <c r="X482" s="14">
        <f>X478-F478</f>
        <v>0</v>
      </c>
      <c r="Y482" s="14">
        <f>Y478-I478</f>
        <v>136800</v>
      </c>
    </row>
    <row r="483" spans="2:25" x14ac:dyDescent="0.3">
      <c r="C483" t="s">
        <v>1770</v>
      </c>
      <c r="F483">
        <f>I378</f>
        <v>240842.16</v>
      </c>
      <c r="H483">
        <f>L378</f>
        <v>3678436.8</v>
      </c>
    </row>
    <row r="489" spans="2:25" s="70" customFormat="1" x14ac:dyDescent="0.3">
      <c r="B489" s="71" t="s">
        <v>308</v>
      </c>
      <c r="C489" s="47"/>
      <c r="D489" s="47"/>
    </row>
    <row r="491" spans="2:25" x14ac:dyDescent="0.3">
      <c r="P491">
        <f>P447</f>
        <v>410885.60999999993</v>
      </c>
      <c r="Q491" t="str">
        <f>Q447</f>
        <v>MWh over lifetime</v>
      </c>
    </row>
    <row r="493" spans="2:25" x14ac:dyDescent="0.3">
      <c r="P493" t="s">
        <v>1152</v>
      </c>
      <c r="Q493" s="14">
        <f>F444</f>
        <v>64315.131033879792</v>
      </c>
      <c r="R493" s="14">
        <f>H444</f>
        <v>966300.42870171694</v>
      </c>
    </row>
    <row r="494" spans="2:25" x14ac:dyDescent="0.3">
      <c r="C494" t="s">
        <v>309</v>
      </c>
      <c r="P494" t="s">
        <v>252</v>
      </c>
      <c r="Q494" s="14">
        <f t="shared" ref="Q494:Q500" si="99">F445</f>
        <v>240842.16</v>
      </c>
      <c r="R494" s="14">
        <f t="shared" ref="R494:R500" si="100">H445</f>
        <v>3678436.8</v>
      </c>
    </row>
    <row r="495" spans="2:25" x14ac:dyDescent="0.3">
      <c r="G495" s="386" t="s">
        <v>32</v>
      </c>
      <c r="H495" s="386"/>
      <c r="P495" t="s">
        <v>330</v>
      </c>
      <c r="Q495" s="14">
        <f t="shared" si="99"/>
        <v>84385.625</v>
      </c>
      <c r="R495" s="14">
        <f t="shared" si="100"/>
        <v>1488562.425</v>
      </c>
    </row>
    <row r="496" spans="2:25" x14ac:dyDescent="0.3">
      <c r="D496" t="s">
        <v>310</v>
      </c>
      <c r="F496" t="str">
        <f>C435</f>
        <v>Materials and manufacturing</v>
      </c>
      <c r="G496">
        <f>G435</f>
        <v>4579436.7456972189</v>
      </c>
      <c r="H496" s="1">
        <f>G496/$G$500</f>
        <v>0.85877505514268238</v>
      </c>
      <c r="P496" t="s">
        <v>1163</v>
      </c>
      <c r="Q496" s="14">
        <f t="shared" si="99"/>
        <v>19151.988746573759</v>
      </c>
      <c r="R496" s="14">
        <f t="shared" si="100"/>
        <v>394075.12766170775</v>
      </c>
    </row>
    <row r="497" spans="6:21" x14ac:dyDescent="0.3">
      <c r="F497" t="str">
        <f>C462</f>
        <v>installation</v>
      </c>
      <c r="G497">
        <f>G462</f>
        <v>289473.08595141373</v>
      </c>
      <c r="H497" s="1">
        <f t="shared" ref="H497:H500" si="101">G497/$G$500</f>
        <v>5.4284463167620325E-2</v>
      </c>
      <c r="P497" t="s">
        <v>253</v>
      </c>
      <c r="Q497" s="14">
        <f t="shared" si="99"/>
        <v>40528</v>
      </c>
      <c r="R497" s="14">
        <f t="shared" si="100"/>
        <v>611451.6</v>
      </c>
    </row>
    <row r="498" spans="6:21" x14ac:dyDescent="0.3">
      <c r="F498" t="str">
        <f>C468</f>
        <v>O&amp;M</v>
      </c>
      <c r="G498">
        <f>G468</f>
        <v>302089.49575280002</v>
      </c>
      <c r="H498" s="1">
        <f t="shared" si="101"/>
        <v>5.6650399990105821E-2</v>
      </c>
      <c r="P498" t="s">
        <v>1164</v>
      </c>
      <c r="Q498" s="14">
        <f t="shared" si="99"/>
        <v>111540</v>
      </c>
      <c r="R498" s="14">
        <f t="shared" si="100"/>
        <v>1713660</v>
      </c>
    </row>
    <row r="499" spans="6:21" x14ac:dyDescent="0.3">
      <c r="F499" t="str">
        <f>C473</f>
        <v>EOL</v>
      </c>
      <c r="G499">
        <f>G473</f>
        <v>161522.52249832026</v>
      </c>
      <c r="H499" s="1">
        <f t="shared" si="101"/>
        <v>3.0290081699591489E-2</v>
      </c>
      <c r="P499" t="s">
        <v>1773</v>
      </c>
      <c r="Q499" s="14">
        <f t="shared" si="99"/>
        <v>253492.52499999999</v>
      </c>
      <c r="R499" s="14">
        <f t="shared" si="100"/>
        <v>3743775.75</v>
      </c>
    </row>
    <row r="500" spans="6:21" x14ac:dyDescent="0.3">
      <c r="F500" t="s">
        <v>55</v>
      </c>
      <c r="G500">
        <f>G478</f>
        <v>5332521.849899753</v>
      </c>
      <c r="H500" s="1">
        <f t="shared" si="101"/>
        <v>1</v>
      </c>
      <c r="P500" t="s">
        <v>1063</v>
      </c>
      <c r="Q500" s="14">
        <f t="shared" si="99"/>
        <v>16664.690000000002</v>
      </c>
      <c r="R500" s="14">
        <f t="shared" si="100"/>
        <v>256015.9</v>
      </c>
    </row>
    <row r="501" spans="6:21" x14ac:dyDescent="0.3">
      <c r="P501" t="s">
        <v>133</v>
      </c>
      <c r="Q501" s="14">
        <f>F453</f>
        <v>18300</v>
      </c>
      <c r="R501" s="14">
        <f>H453</f>
        <v>285000</v>
      </c>
    </row>
    <row r="502" spans="6:21" x14ac:dyDescent="0.3">
      <c r="G502" s="386" t="s">
        <v>162</v>
      </c>
      <c r="H502" s="386"/>
      <c r="P502" t="s">
        <v>1774</v>
      </c>
      <c r="Q502" s="14">
        <f>F454</f>
        <v>68640</v>
      </c>
      <c r="R502" s="14">
        <f>H454</f>
        <v>1054560</v>
      </c>
    </row>
    <row r="503" spans="6:21" x14ac:dyDescent="0.3">
      <c r="G503">
        <f>I435</f>
        <v>70374651.985281482</v>
      </c>
      <c r="H503" s="1">
        <f>G503/$G$507</f>
        <v>0.87827098394383207</v>
      </c>
      <c r="P503" t="s">
        <v>358</v>
      </c>
      <c r="Q503" s="14">
        <f>F455</f>
        <v>17568.827758007115</v>
      </c>
      <c r="R503" s="14">
        <f>H455</f>
        <v>249661.61328588374</v>
      </c>
    </row>
    <row r="504" spans="6:21" x14ac:dyDescent="0.3">
      <c r="G504">
        <f>I462</f>
        <v>4160734.1282874565</v>
      </c>
      <c r="H504" s="1">
        <f t="shared" ref="H504:H507" si="102">G504/$G$507</f>
        <v>5.1925685650907036E-2</v>
      </c>
    </row>
    <row r="505" spans="6:21" x14ac:dyDescent="0.3">
      <c r="G505">
        <f>I468</f>
        <v>4128140.8</v>
      </c>
      <c r="H505" s="1">
        <f t="shared" si="102"/>
        <v>5.1518923078056007E-2</v>
      </c>
      <c r="P505" t="str">
        <f>P493</f>
        <v>Generator</v>
      </c>
      <c r="Q505" s="14">
        <f>Q493/$P$491</f>
        <v>0.1565280688069845</v>
      </c>
      <c r="U505" s="14">
        <f t="shared" ref="U505:U515" si="103">R493/$P$491</f>
        <v>2.3517504755197369</v>
      </c>
    </row>
    <row r="506" spans="6:21" x14ac:dyDescent="0.3">
      <c r="G506">
        <f>I473</f>
        <v>1465104.5359953204</v>
      </c>
      <c r="H506" s="1">
        <f t="shared" si="102"/>
        <v>1.8284407327204984E-2</v>
      </c>
      <c r="P506" t="str">
        <f t="shared" ref="P506:P515" si="104">P494</f>
        <v>Gearbox</v>
      </c>
      <c r="Q506" s="14">
        <f t="shared" ref="Q506" si="105">Q494/$P$491</f>
        <v>0.58615379594335282</v>
      </c>
      <c r="U506" s="14">
        <f t="shared" si="103"/>
        <v>8.9524595422068938</v>
      </c>
    </row>
    <row r="507" spans="6:21" x14ac:dyDescent="0.3">
      <c r="G507">
        <f>I478</f>
        <v>80128631.449564248</v>
      </c>
      <c r="H507" s="1">
        <f t="shared" si="102"/>
        <v>1</v>
      </c>
      <c r="P507" t="str">
        <f t="shared" si="104"/>
        <v>Transformer</v>
      </c>
      <c r="Q507" s="14">
        <f t="shared" ref="Q507" si="106">Q495/$P$491</f>
        <v>0.20537498258943654</v>
      </c>
      <c r="U507" s="14">
        <f t="shared" si="103"/>
        <v>3.622814692877661</v>
      </c>
    </row>
    <row r="508" spans="6:21" x14ac:dyDescent="0.3">
      <c r="P508" t="str">
        <f t="shared" si="104"/>
        <v>Cover</v>
      </c>
      <c r="Q508" s="14">
        <f t="shared" ref="Q508" si="107">Q496/$P$491</f>
        <v>4.6611485728531021E-2</v>
      </c>
      <c r="U508" s="14">
        <f t="shared" si="103"/>
        <v>0.95908719621918082</v>
      </c>
    </row>
    <row r="509" spans="6:21" x14ac:dyDescent="0.3">
      <c r="P509" t="str">
        <f t="shared" si="104"/>
        <v>Yaw</v>
      </c>
      <c r="Q509" s="14">
        <f t="shared" ref="Q509" si="108">Q497/$P$491</f>
        <v>9.8635724916236442E-2</v>
      </c>
      <c r="U509" s="14">
        <f t="shared" si="103"/>
        <v>1.4881309666697748</v>
      </c>
    </row>
    <row r="510" spans="6:21" x14ac:dyDescent="0.3">
      <c r="P510" t="str">
        <f t="shared" si="104"/>
        <v>Shaft</v>
      </c>
      <c r="Q510" s="14">
        <f t="shared" ref="Q510" si="109">Q498/$P$491</f>
        <v>0.27146241505026186</v>
      </c>
      <c r="U510" s="14">
        <f t="shared" si="103"/>
        <v>4.1706498312267506</v>
      </c>
    </row>
    <row r="511" spans="6:21" x14ac:dyDescent="0.3">
      <c r="P511" t="str">
        <f t="shared" si="104"/>
        <v>Bed plate</v>
      </c>
      <c r="Q511" s="14">
        <f t="shared" ref="Q511" si="110">Q499/$P$491</f>
        <v>0.61694184179387557</v>
      </c>
      <c r="U511" s="14">
        <f t="shared" si="103"/>
        <v>9.1114793482302794</v>
      </c>
    </row>
    <row r="512" spans="6:21" x14ac:dyDescent="0.3">
      <c r="P512" t="str">
        <f t="shared" si="104"/>
        <v>Brake</v>
      </c>
      <c r="Q512" s="14">
        <f t="shared" ref="Q512" si="111">Q500/$P$491</f>
        <v>4.055797914168862E-2</v>
      </c>
      <c r="U512" s="14">
        <f t="shared" si="103"/>
        <v>0.62308314958997968</v>
      </c>
    </row>
    <row r="513" spans="2:21" x14ac:dyDescent="0.3">
      <c r="P513" t="str">
        <f t="shared" si="104"/>
        <v>Electronics</v>
      </c>
      <c r="Q513" s="14">
        <f t="shared" ref="Q513" si="112">Q501/$P$491</f>
        <v>4.45379432976492E-2</v>
      </c>
      <c r="U513" s="14">
        <f t="shared" si="103"/>
        <v>0.69362370709453669</v>
      </c>
    </row>
    <row r="514" spans="2:21" x14ac:dyDescent="0.3">
      <c r="P514" t="str">
        <f t="shared" si="104"/>
        <v xml:space="preserve">Bearigns </v>
      </c>
      <c r="Q514" s="14">
        <f t="shared" ref="Q514" si="113">Q502/$P$491</f>
        <v>0.16705379387708422</v>
      </c>
      <c r="U514" s="14">
        <f t="shared" si="103"/>
        <v>2.5665537422933848</v>
      </c>
    </row>
    <row r="515" spans="2:21" x14ac:dyDescent="0.3">
      <c r="P515" t="str">
        <f t="shared" si="104"/>
        <v>Converter</v>
      </c>
      <c r="Q515" s="14">
        <f t="shared" ref="Q515" si="114">Q503/$P$491</f>
        <v>4.2758440136190505E-2</v>
      </c>
      <c r="U515" s="14">
        <f t="shared" si="103"/>
        <v>0.60761829377739407</v>
      </c>
    </row>
    <row r="522" spans="2:21" x14ac:dyDescent="0.3">
      <c r="B522" s="70"/>
      <c r="C522" s="70"/>
      <c r="D522" s="70"/>
      <c r="E522" s="70"/>
      <c r="F522" s="70"/>
      <c r="G522" s="70"/>
      <c r="H522" s="70"/>
      <c r="I522" s="70"/>
      <c r="J522" s="70"/>
      <c r="K522" s="70"/>
    </row>
    <row r="524" spans="2:21" x14ac:dyDescent="0.3">
      <c r="J524" s="1"/>
      <c r="K524" s="1"/>
    </row>
    <row r="525" spans="2:21" x14ac:dyDescent="0.3">
      <c r="J525" s="1"/>
      <c r="K525" s="1"/>
    </row>
    <row r="526" spans="2:21" x14ac:dyDescent="0.3">
      <c r="J526" s="1"/>
      <c r="K526" s="1"/>
    </row>
    <row r="527" spans="2:21" x14ac:dyDescent="0.3">
      <c r="C527" t="s">
        <v>272</v>
      </c>
      <c r="F527">
        <f>G435</f>
        <v>4579436.7456972189</v>
      </c>
      <c r="G527">
        <f>F435</f>
        <v>0</v>
      </c>
      <c r="H527">
        <f>F527/$F$62</f>
        <v>11.145283831422619</v>
      </c>
      <c r="I527">
        <f>G527/$F$62</f>
        <v>0</v>
      </c>
      <c r="J527" s="1">
        <f t="shared" ref="J527:J543" si="115">H527/$I$559</f>
        <v>0.8587750551426826</v>
      </c>
      <c r="K527" s="1">
        <f t="shared" ref="K527:K543" si="116">I527/$I$559</f>
        <v>0</v>
      </c>
    </row>
    <row r="528" spans="2:21" x14ac:dyDescent="0.3">
      <c r="D528" t="s">
        <v>1041</v>
      </c>
      <c r="G528">
        <f>F437</f>
        <v>1822961.4032908978</v>
      </c>
      <c r="I528">
        <f t="shared" ref="I528:I542" si="117">G528/$F$62</f>
        <v>4.4366640225996186</v>
      </c>
      <c r="J528" s="1">
        <f t="shared" si="115"/>
        <v>0</v>
      </c>
      <c r="K528" s="1">
        <f t="shared" si="116"/>
        <v>0.34185727777658675</v>
      </c>
    </row>
    <row r="529" spans="4:11" x14ac:dyDescent="0.3">
      <c r="D529" t="s">
        <v>1048</v>
      </c>
      <c r="G529" s="14">
        <f>F439</f>
        <v>877983.36576747755</v>
      </c>
      <c r="I529">
        <f t="shared" si="117"/>
        <v>2.1368072874771098</v>
      </c>
      <c r="J529" s="1">
        <f t="shared" si="115"/>
        <v>0</v>
      </c>
      <c r="K529" s="1">
        <f t="shared" si="116"/>
        <v>0.16464693262981811</v>
      </c>
    </row>
    <row r="530" spans="4:11" x14ac:dyDescent="0.3">
      <c r="D530" t="s">
        <v>1045</v>
      </c>
      <c r="G530" s="14">
        <f>F440</f>
        <v>112530</v>
      </c>
      <c r="I530">
        <f t="shared" si="117"/>
        <v>0.27387184476964288</v>
      </c>
      <c r="J530" s="1">
        <f t="shared" si="115"/>
        <v>0</v>
      </c>
      <c r="K530" s="1">
        <f t="shared" si="116"/>
        <v>2.1102585824775477E-2</v>
      </c>
    </row>
    <row r="531" spans="4:11" x14ac:dyDescent="0.3">
      <c r="D531" t="s">
        <v>1046</v>
      </c>
      <c r="G531" s="14">
        <f>F441</f>
        <v>10840.74834711722</v>
      </c>
      <c r="I531">
        <f t="shared" si="117"/>
        <v>2.6383859846338308E-2</v>
      </c>
      <c r="J531" s="1">
        <f t="shared" si="115"/>
        <v>0</v>
      </c>
      <c r="K531" s="1">
        <f t="shared" si="116"/>
        <v>2.032949634762588E-3</v>
      </c>
    </row>
    <row r="532" spans="4:11" x14ac:dyDescent="0.3">
      <c r="D532" t="s">
        <v>1047</v>
      </c>
      <c r="G532" s="14">
        <f>F442</f>
        <v>96937.35</v>
      </c>
      <c r="I532">
        <f t="shared" si="117"/>
        <v>0.23592296162428278</v>
      </c>
      <c r="J532" s="1">
        <f t="shared" si="115"/>
        <v>0</v>
      </c>
      <c r="K532" s="1">
        <f t="shared" si="116"/>
        <v>1.8178519043822082E-2</v>
      </c>
    </row>
    <row r="533" spans="4:11" x14ac:dyDescent="0.3">
      <c r="D533" t="s">
        <v>21</v>
      </c>
      <c r="G533" s="14">
        <f t="shared" ref="G533:G543" si="118">F444</f>
        <v>64315.131033879792</v>
      </c>
      <c r="I533">
        <f t="shared" si="117"/>
        <v>0.1565280688069845</v>
      </c>
      <c r="J533" s="1">
        <f t="shared" si="115"/>
        <v>0</v>
      </c>
      <c r="K533" s="1">
        <f t="shared" si="116"/>
        <v>1.2060922176078636E-2</v>
      </c>
    </row>
    <row r="534" spans="4:11" x14ac:dyDescent="0.3">
      <c r="D534" t="s">
        <v>22</v>
      </c>
      <c r="G534" s="14">
        <f t="shared" si="118"/>
        <v>240842.16</v>
      </c>
      <c r="I534">
        <f t="shared" si="117"/>
        <v>0.58615379594335282</v>
      </c>
      <c r="J534" s="1">
        <f t="shared" si="115"/>
        <v>0</v>
      </c>
      <c r="K534" s="1">
        <f t="shared" si="116"/>
        <v>4.5164776962803757E-2</v>
      </c>
    </row>
    <row r="535" spans="4:11" x14ac:dyDescent="0.3">
      <c r="D535" t="s">
        <v>26</v>
      </c>
      <c r="G535" s="14">
        <f t="shared" si="118"/>
        <v>84385.625</v>
      </c>
      <c r="I535">
        <f t="shared" si="117"/>
        <v>0.20537498258943654</v>
      </c>
      <c r="J535" s="1">
        <f t="shared" si="115"/>
        <v>0</v>
      </c>
      <c r="K535" s="1">
        <f t="shared" si="116"/>
        <v>1.5824712467251568E-2</v>
      </c>
    </row>
    <row r="536" spans="4:11" x14ac:dyDescent="0.3">
      <c r="D536" t="s">
        <v>1051</v>
      </c>
      <c r="G536" s="14">
        <f t="shared" si="118"/>
        <v>19151.988746573759</v>
      </c>
      <c r="I536">
        <f t="shared" si="117"/>
        <v>4.6611485728531021E-2</v>
      </c>
      <c r="J536" s="1">
        <f t="shared" si="115"/>
        <v>0</v>
      </c>
      <c r="K536" s="1">
        <f t="shared" si="116"/>
        <v>3.5915443547472393E-3</v>
      </c>
    </row>
    <row r="537" spans="4:11" x14ac:dyDescent="0.3">
      <c r="D537" t="s">
        <v>1052</v>
      </c>
      <c r="G537" s="14">
        <f t="shared" si="118"/>
        <v>40528</v>
      </c>
      <c r="I537">
        <f t="shared" si="117"/>
        <v>9.8635724916236442E-2</v>
      </c>
      <c r="J537" s="1">
        <f t="shared" si="115"/>
        <v>0</v>
      </c>
      <c r="K537" s="1">
        <f t="shared" si="116"/>
        <v>7.600156387687732E-3</v>
      </c>
    </row>
    <row r="538" spans="4:11" x14ac:dyDescent="0.3">
      <c r="D538" t="s">
        <v>1057</v>
      </c>
      <c r="G538" s="14">
        <f t="shared" si="118"/>
        <v>111540</v>
      </c>
      <c r="I538">
        <f t="shared" si="117"/>
        <v>0.27146241505026186</v>
      </c>
      <c r="J538" s="1">
        <f t="shared" si="115"/>
        <v>0</v>
      </c>
      <c r="K538" s="1">
        <f t="shared" si="116"/>
        <v>2.0916932577050178E-2</v>
      </c>
    </row>
    <row r="539" spans="4:11" x14ac:dyDescent="0.3">
      <c r="D539" t="s">
        <v>1058</v>
      </c>
      <c r="G539" s="14">
        <f t="shared" si="118"/>
        <v>253492.52499999999</v>
      </c>
      <c r="I539">
        <f t="shared" si="117"/>
        <v>0.61694184179387557</v>
      </c>
      <c r="J539" s="1">
        <f t="shared" si="115"/>
        <v>0</v>
      </c>
      <c r="K539" s="1">
        <f t="shared" si="116"/>
        <v>4.7537081353874903E-2</v>
      </c>
    </row>
    <row r="540" spans="4:11" x14ac:dyDescent="0.3">
      <c r="D540" t="s">
        <v>1063</v>
      </c>
      <c r="G540" s="14">
        <f t="shared" si="118"/>
        <v>16664.690000000002</v>
      </c>
      <c r="I540">
        <f t="shared" si="117"/>
        <v>4.055797914168862E-2</v>
      </c>
      <c r="J540" s="1">
        <f t="shared" si="115"/>
        <v>0</v>
      </c>
      <c r="K540" s="1">
        <f t="shared" si="116"/>
        <v>3.1251048695305934E-3</v>
      </c>
    </row>
    <row r="541" spans="4:11" x14ac:dyDescent="0.3">
      <c r="D541" t="s">
        <v>1060</v>
      </c>
      <c r="G541" s="14">
        <f t="shared" si="118"/>
        <v>0</v>
      </c>
      <c r="I541">
        <f t="shared" si="117"/>
        <v>0</v>
      </c>
      <c r="J541" s="1">
        <f t="shared" si="115"/>
        <v>0</v>
      </c>
      <c r="K541" s="1">
        <f t="shared" si="116"/>
        <v>0</v>
      </c>
    </row>
    <row r="542" spans="4:11" x14ac:dyDescent="0.3">
      <c r="D542" t="s">
        <v>328</v>
      </c>
      <c r="G542" s="14">
        <f t="shared" si="118"/>
        <v>18300</v>
      </c>
      <c r="I542">
        <f t="shared" si="117"/>
        <v>4.45379432976492E-2</v>
      </c>
      <c r="J542" s="1">
        <f t="shared" si="115"/>
        <v>0</v>
      </c>
      <c r="K542" s="1">
        <f t="shared" si="116"/>
        <v>3.4317721549221645E-3</v>
      </c>
    </row>
    <row r="543" spans="4:11" x14ac:dyDescent="0.3">
      <c r="D543" t="s">
        <v>1485</v>
      </c>
      <c r="G543" s="14">
        <f t="shared" si="118"/>
        <v>68640</v>
      </c>
      <c r="I543">
        <f t="shared" ref="I543" si="119">G543/$F$62</f>
        <v>0.16705379387708422</v>
      </c>
      <c r="J543" s="1">
        <f t="shared" si="115"/>
        <v>0</v>
      </c>
      <c r="K543" s="1">
        <f t="shared" si="116"/>
        <v>1.2871958508953956E-2</v>
      </c>
    </row>
    <row r="544" spans="4:11" x14ac:dyDescent="0.3">
      <c r="D544" t="s">
        <v>212</v>
      </c>
      <c r="F544">
        <f>G455</f>
        <v>0</v>
      </c>
      <c r="G544" s="14">
        <f t="shared" ref="G544" si="120">F455</f>
        <v>17568.827758007115</v>
      </c>
      <c r="H544">
        <f t="shared" ref="H544:I558" si="121">F544/$F$62</f>
        <v>0</v>
      </c>
      <c r="I544">
        <f t="shared" si="121"/>
        <v>4.2758440136190505E-2</v>
      </c>
      <c r="J544" s="1">
        <f t="shared" ref="J544:J558" si="122">H544/$I$559</f>
        <v>0</v>
      </c>
      <c r="K544" s="1">
        <f t="shared" ref="K544:K558" si="123">I544/$I$559</f>
        <v>3.2946564969700779E-3</v>
      </c>
    </row>
    <row r="545" spans="3:11" x14ac:dyDescent="0.3">
      <c r="D545" t="s">
        <v>71</v>
      </c>
      <c r="F545">
        <f>G457</f>
        <v>0</v>
      </c>
      <c r="G545">
        <f>F457</f>
        <v>430227.06353035715</v>
      </c>
      <c r="H545">
        <f t="shared" si="121"/>
        <v>0</v>
      </c>
      <c r="I545">
        <f t="shared" si="121"/>
        <v>1.0470725989414846</v>
      </c>
      <c r="J545" s="1">
        <f t="shared" si="122"/>
        <v>0</v>
      </c>
      <c r="K545" s="1">
        <f t="shared" si="123"/>
        <v>8.0679850104776449E-2</v>
      </c>
    </row>
    <row r="546" spans="3:11" x14ac:dyDescent="0.3">
      <c r="D546" t="s">
        <v>281</v>
      </c>
      <c r="F546">
        <f>G459</f>
        <v>0</v>
      </c>
      <c r="G546">
        <f>F459</f>
        <v>292527.86722290789</v>
      </c>
      <c r="H546">
        <f t="shared" si="121"/>
        <v>0</v>
      </c>
      <c r="I546">
        <f t="shared" si="121"/>
        <v>0.7119447848828484</v>
      </c>
      <c r="J546" s="1">
        <f t="shared" si="122"/>
        <v>0</v>
      </c>
      <c r="K546" s="1">
        <f t="shared" si="123"/>
        <v>5.4857321818270133E-2</v>
      </c>
    </row>
    <row r="547" spans="3:11" x14ac:dyDescent="0.3">
      <c r="C547" t="s">
        <v>273</v>
      </c>
      <c r="F547">
        <f>G462</f>
        <v>289473.08595141373</v>
      </c>
      <c r="G547">
        <f>F462</f>
        <v>0</v>
      </c>
      <c r="H547">
        <f t="shared" si="121"/>
        <v>0.70451015783057913</v>
      </c>
      <c r="I547">
        <f t="shared" si="121"/>
        <v>0</v>
      </c>
      <c r="J547" s="1">
        <f t="shared" si="122"/>
        <v>5.4284463167620332E-2</v>
      </c>
      <c r="K547" s="1">
        <f t="shared" si="123"/>
        <v>0</v>
      </c>
    </row>
    <row r="548" spans="3:11" x14ac:dyDescent="0.3">
      <c r="D548" t="s">
        <v>4</v>
      </c>
      <c r="F548">
        <f>G463</f>
        <v>0</v>
      </c>
      <c r="G548">
        <f>F463</f>
        <v>283925.03580973513</v>
      </c>
      <c r="H548">
        <f t="shared" si="121"/>
        <v>0</v>
      </c>
      <c r="I548">
        <f t="shared" si="121"/>
        <v>0.69100749429928976</v>
      </c>
      <c r="J548" s="1">
        <f t="shared" si="122"/>
        <v>0</v>
      </c>
      <c r="K548" s="1">
        <f t="shared" si="123"/>
        <v>5.3244045463231013E-2</v>
      </c>
    </row>
    <row r="549" spans="3:11" x14ac:dyDescent="0.3">
      <c r="D549" t="s">
        <v>277</v>
      </c>
      <c r="F549">
        <f>G464</f>
        <v>0</v>
      </c>
      <c r="G549">
        <f>F464</f>
        <v>1947.2821416785719</v>
      </c>
      <c r="H549">
        <f t="shared" si="121"/>
        <v>0</v>
      </c>
      <c r="I549">
        <f t="shared" si="121"/>
        <v>4.7392317820002805E-3</v>
      </c>
      <c r="J549" s="1">
        <f t="shared" si="122"/>
        <v>0</v>
      </c>
      <c r="K549" s="1">
        <f t="shared" si="123"/>
        <v>3.6517096347484814E-4</v>
      </c>
    </row>
    <row r="550" spans="3:11" x14ac:dyDescent="0.3">
      <c r="D550" t="s">
        <v>278</v>
      </c>
      <c r="F550">
        <f>G465</f>
        <v>0</v>
      </c>
      <c r="G550">
        <f>F465</f>
        <v>3600.768</v>
      </c>
      <c r="H550">
        <f t="shared" si="121"/>
        <v>0</v>
      </c>
      <c r="I550">
        <f t="shared" si="121"/>
        <v>8.7634317492890548E-3</v>
      </c>
      <c r="J550" s="1">
        <f t="shared" si="122"/>
        <v>0</v>
      </c>
      <c r="K550" s="1">
        <f t="shared" si="123"/>
        <v>6.7524674091446846E-4</v>
      </c>
    </row>
    <row r="551" spans="3:11" x14ac:dyDescent="0.3">
      <c r="C551" t="s">
        <v>170</v>
      </c>
      <c r="F551">
        <f>G468</f>
        <v>302089.49575280002</v>
      </c>
      <c r="G551">
        <f>F468</f>
        <v>0</v>
      </c>
      <c r="H551">
        <f t="shared" si="121"/>
        <v>0.73521556462588233</v>
      </c>
      <c r="I551">
        <f t="shared" si="121"/>
        <v>0</v>
      </c>
      <c r="J551" s="1">
        <f t="shared" si="122"/>
        <v>5.6650399990105828E-2</v>
      </c>
      <c r="K551" s="1">
        <f t="shared" si="123"/>
        <v>0</v>
      </c>
    </row>
    <row r="552" spans="3:11" x14ac:dyDescent="0.3">
      <c r="D552" t="s">
        <v>41</v>
      </c>
      <c r="F552">
        <f>G469</f>
        <v>0</v>
      </c>
      <c r="G552">
        <f>F469</f>
        <v>240842.16</v>
      </c>
      <c r="H552">
        <f t="shared" si="121"/>
        <v>0</v>
      </c>
      <c r="I552">
        <f t="shared" si="121"/>
        <v>0.58615379594335282</v>
      </c>
      <c r="J552" s="1">
        <f t="shared" si="122"/>
        <v>0</v>
      </c>
      <c r="K552" s="1">
        <f t="shared" si="123"/>
        <v>4.5164776962803757E-2</v>
      </c>
    </row>
    <row r="553" spans="3:11" x14ac:dyDescent="0.3">
      <c r="D553" t="s">
        <v>4</v>
      </c>
      <c r="F553">
        <f>G470</f>
        <v>0</v>
      </c>
      <c r="G553">
        <f>F470</f>
        <v>58499.335752800005</v>
      </c>
      <c r="H553">
        <f t="shared" si="121"/>
        <v>0</v>
      </c>
      <c r="I553">
        <f t="shared" si="121"/>
        <v>0.14237377588570213</v>
      </c>
      <c r="J553" s="1">
        <f t="shared" si="122"/>
        <v>0</v>
      </c>
      <c r="K553" s="1">
        <f t="shared" si="123"/>
        <v>1.0970294618464573E-2</v>
      </c>
    </row>
    <row r="554" spans="3:11" x14ac:dyDescent="0.3">
      <c r="D554" t="s">
        <v>276</v>
      </c>
      <c r="F554">
        <f>G471</f>
        <v>0</v>
      </c>
      <c r="G554">
        <f>F471</f>
        <v>2748</v>
      </c>
      <c r="H554">
        <f t="shared" si="121"/>
        <v>0</v>
      </c>
      <c r="I554">
        <f t="shared" si="121"/>
        <v>6.6879927968273222E-3</v>
      </c>
      <c r="J554" s="1">
        <f t="shared" si="122"/>
        <v>0</v>
      </c>
      <c r="K554" s="1">
        <f t="shared" si="123"/>
        <v>5.153284088374923E-4</v>
      </c>
    </row>
    <row r="555" spans="3:11" x14ac:dyDescent="0.3">
      <c r="C555" t="s">
        <v>47</v>
      </c>
      <c r="F555">
        <f>G473</f>
        <v>161522.52249832026</v>
      </c>
      <c r="G555">
        <f>F473</f>
        <v>0</v>
      </c>
      <c r="H555">
        <f t="shared" si="121"/>
        <v>0.39310824854226534</v>
      </c>
      <c r="I555">
        <f t="shared" si="121"/>
        <v>0</v>
      </c>
      <c r="J555" s="1">
        <f t="shared" si="122"/>
        <v>3.0290081699591496E-2</v>
      </c>
      <c r="K555" s="1">
        <f t="shared" si="123"/>
        <v>0</v>
      </c>
    </row>
    <row r="556" spans="3:11" x14ac:dyDescent="0.3">
      <c r="D556" t="s">
        <v>274</v>
      </c>
      <c r="F556">
        <f>G474</f>
        <v>0</v>
      </c>
      <c r="G556">
        <f>F474</f>
        <v>99245.087386853425</v>
      </c>
      <c r="H556">
        <f t="shared" si="121"/>
        <v>0</v>
      </c>
      <c r="I556">
        <f t="shared" si="121"/>
        <v>0.24153945762873869</v>
      </c>
      <c r="J556" s="1">
        <f t="shared" si="122"/>
        <v>0</v>
      </c>
      <c r="K556" s="1">
        <f t="shared" si="123"/>
        <v>1.861128565065686E-2</v>
      </c>
    </row>
    <row r="557" spans="3:11" x14ac:dyDescent="0.3">
      <c r="D557" t="s">
        <v>4</v>
      </c>
      <c r="F557">
        <f>G475</f>
        <v>0</v>
      </c>
      <c r="G557">
        <f>F475</f>
        <v>48769.209177341276</v>
      </c>
      <c r="H557">
        <f t="shared" si="121"/>
        <v>0</v>
      </c>
      <c r="I557">
        <f t="shared" si="121"/>
        <v>0.11869291109353108</v>
      </c>
      <c r="J557" s="1">
        <f t="shared" si="122"/>
        <v>0</v>
      </c>
      <c r="K557" s="1">
        <f t="shared" si="123"/>
        <v>9.1456182553209999E-3</v>
      </c>
    </row>
    <row r="558" spans="3:11" x14ac:dyDescent="0.3">
      <c r="D558" t="s">
        <v>275</v>
      </c>
      <c r="F558">
        <f>G476</f>
        <v>0</v>
      </c>
      <c r="G558">
        <f>F476</f>
        <v>13508.225934125558</v>
      </c>
      <c r="H558">
        <f t="shared" si="121"/>
        <v>0</v>
      </c>
      <c r="I558">
        <f t="shared" si="121"/>
        <v>3.2875879819995547E-2</v>
      </c>
      <c r="J558" s="1">
        <f t="shared" si="122"/>
        <v>0</v>
      </c>
      <c r="K558" s="1">
        <f t="shared" si="123"/>
        <v>2.5331777936136359E-3</v>
      </c>
    </row>
    <row r="559" spans="3:11" x14ac:dyDescent="0.3">
      <c r="I559">
        <f>SUM(I524:I558)</f>
        <v>12.978117802421343</v>
      </c>
      <c r="J559" s="1"/>
      <c r="K559" s="1"/>
    </row>
    <row r="610" spans="4:12" x14ac:dyDescent="0.3">
      <c r="K610" s="1"/>
      <c r="L610" s="1"/>
    </row>
    <row r="611" spans="4:12" x14ac:dyDescent="0.3">
      <c r="D611" s="42"/>
      <c r="K611" s="1"/>
      <c r="L611" s="1"/>
    </row>
    <row r="612" spans="4:12" x14ac:dyDescent="0.3">
      <c r="D612" s="42"/>
      <c r="K612" s="1"/>
      <c r="L612" s="1"/>
    </row>
    <row r="613" spans="4:12" x14ac:dyDescent="0.3">
      <c r="D613" s="42"/>
      <c r="K613" s="1"/>
      <c r="L613" s="1"/>
    </row>
    <row r="614" spans="4:12" x14ac:dyDescent="0.3">
      <c r="D614" s="42"/>
      <c r="K614" s="1"/>
      <c r="L614" s="1"/>
    </row>
    <row r="615" spans="4:12" x14ac:dyDescent="0.3">
      <c r="D615" s="42"/>
      <c r="K615" s="1"/>
      <c r="L615" s="1"/>
    </row>
    <row r="616" spans="4:12" x14ac:dyDescent="0.3">
      <c r="D616" s="42"/>
      <c r="K616" s="1"/>
      <c r="L616" s="1"/>
    </row>
    <row r="617" spans="4:12" x14ac:dyDescent="0.3">
      <c r="D617" s="42"/>
      <c r="K617" s="1"/>
      <c r="L617" s="1"/>
    </row>
    <row r="618" spans="4:12" x14ac:dyDescent="0.3">
      <c r="D618" s="42"/>
      <c r="K618" s="1"/>
      <c r="L618" s="1"/>
    </row>
    <row r="619" spans="4:12" x14ac:dyDescent="0.3">
      <c r="D619" s="42"/>
      <c r="K619" s="1"/>
      <c r="L619" s="1"/>
    </row>
    <row r="620" spans="4:12" x14ac:dyDescent="0.3">
      <c r="D620" s="42"/>
      <c r="K620" s="1"/>
      <c r="L620" s="1"/>
    </row>
    <row r="621" spans="4:12" x14ac:dyDescent="0.3">
      <c r="D621" s="42"/>
      <c r="K621" s="1"/>
      <c r="L621" s="1"/>
    </row>
    <row r="622" spans="4:12" x14ac:dyDescent="0.3">
      <c r="D622" s="42"/>
      <c r="K622" s="1"/>
      <c r="L622" s="1"/>
    </row>
    <row r="623" spans="4:12" x14ac:dyDescent="0.3">
      <c r="D623" s="42"/>
      <c r="K623" s="1"/>
      <c r="L623" s="1"/>
    </row>
    <row r="624" spans="4:12" x14ac:dyDescent="0.3">
      <c r="D624" s="42"/>
      <c r="K624" s="1"/>
      <c r="L624" s="1"/>
    </row>
    <row r="625" spans="4:12" x14ac:dyDescent="0.3">
      <c r="D625" s="42"/>
      <c r="K625" s="1"/>
      <c r="L625" s="1"/>
    </row>
    <row r="626" spans="4:12" x14ac:dyDescent="0.3">
      <c r="D626" s="42"/>
    </row>
    <row r="627" spans="4:12" x14ac:dyDescent="0.3">
      <c r="D627" s="42"/>
    </row>
    <row r="628" spans="4:12" x14ac:dyDescent="0.3">
      <c r="D628" s="42"/>
    </row>
    <row r="629" spans="4:12" x14ac:dyDescent="0.3">
      <c r="D629" s="42"/>
      <c r="K629" s="1"/>
      <c r="L629" s="1"/>
    </row>
    <row r="630" spans="4:12" x14ac:dyDescent="0.3">
      <c r="K630" s="1"/>
      <c r="L630" s="1"/>
    </row>
    <row r="631" spans="4:12" x14ac:dyDescent="0.3">
      <c r="K631" s="1"/>
      <c r="L631" s="1"/>
    </row>
    <row r="632" spans="4:12" x14ac:dyDescent="0.3">
      <c r="K632" s="1"/>
      <c r="L632" s="1"/>
    </row>
    <row r="633" spans="4:12" x14ac:dyDescent="0.3">
      <c r="K633" s="1"/>
      <c r="L633" s="1"/>
    </row>
    <row r="634" spans="4:12" x14ac:dyDescent="0.3">
      <c r="K634" s="1"/>
      <c r="L634" s="1"/>
    </row>
    <row r="635" spans="4:12" x14ac:dyDescent="0.3">
      <c r="K635" s="1"/>
      <c r="L635" s="1"/>
    </row>
    <row r="636" spans="4:12" x14ac:dyDescent="0.3">
      <c r="K636" s="1"/>
      <c r="L636" s="1"/>
    </row>
    <row r="637" spans="4:12" x14ac:dyDescent="0.3">
      <c r="K637" s="1"/>
      <c r="L637" s="1"/>
    </row>
    <row r="638" spans="4:12" x14ac:dyDescent="0.3">
      <c r="K638" s="1"/>
      <c r="L638" s="1"/>
    </row>
    <row r="639" spans="4:12" x14ac:dyDescent="0.3">
      <c r="K639" s="1"/>
      <c r="L639" s="1"/>
    </row>
    <row r="640" spans="4:12" x14ac:dyDescent="0.3">
      <c r="K640" s="1"/>
      <c r="L640" s="1"/>
    </row>
    <row r="641" spans="11:12" x14ac:dyDescent="0.3">
      <c r="K641" s="1"/>
      <c r="L641" s="1"/>
    </row>
    <row r="642" spans="11:12" x14ac:dyDescent="0.3">
      <c r="K642" s="1"/>
      <c r="L642" s="1"/>
    </row>
    <row r="696" spans="1:56" s="70" customFormat="1" x14ac:dyDescent="0.3">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row>
    <row r="710" spans="1:56" s="18" customFormat="1" x14ac:dyDescent="0.3">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row>
    <row r="711" spans="1:56" s="27" customFormat="1" x14ac:dyDescent="0.3">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row>
    <row r="719" spans="1:56" s="27" customFormat="1" x14ac:dyDescent="0.3">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row>
    <row r="720" spans="1:56" s="9" customFormat="1" x14ac:dyDescent="0.3">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row>
    <row r="725" spans="1:56" s="27" customFormat="1" x14ac:dyDescent="0.3">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row>
    <row r="730" spans="1:56" s="19" customFormat="1" x14ac:dyDescent="0.3">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row>
    <row r="735" spans="1:56" x14ac:dyDescent="0.3">
      <c r="P735" s="42"/>
    </row>
    <row r="737" spans="4:22" x14ac:dyDescent="0.3">
      <c r="D737" s="42"/>
      <c r="E737" s="42"/>
      <c r="F737" s="42"/>
      <c r="G737" s="42"/>
      <c r="H737" s="42"/>
      <c r="I737" s="42"/>
      <c r="J737" s="42"/>
      <c r="K737" s="42"/>
      <c r="L737" s="42"/>
      <c r="M737" s="42"/>
      <c r="N737" s="42"/>
      <c r="O737" s="42"/>
      <c r="P737" s="42"/>
      <c r="V737" s="42"/>
    </row>
    <row r="738" spans="4:22" x14ac:dyDescent="0.3">
      <c r="V738" s="14"/>
    </row>
    <row r="739" spans="4:22" x14ac:dyDescent="0.3">
      <c r="V739" s="14"/>
    </row>
  </sheetData>
  <mergeCells count="35">
    <mergeCell ref="AR195:AY195"/>
    <mergeCell ref="F87:G87"/>
    <mergeCell ref="H87:J87"/>
    <mergeCell ref="H195:M195"/>
    <mergeCell ref="P195:U195"/>
    <mergeCell ref="X195:AO195"/>
    <mergeCell ref="AJ197:AK197"/>
    <mergeCell ref="AU197:AV197"/>
    <mergeCell ref="AW197:AX197"/>
    <mergeCell ref="H196:J196"/>
    <mergeCell ref="K196:M196"/>
    <mergeCell ref="P196:R196"/>
    <mergeCell ref="S196:U196"/>
    <mergeCell ref="X196:AD196"/>
    <mergeCell ref="AF196:AK196"/>
    <mergeCell ref="AA197:AB197"/>
    <mergeCell ref="AC197:AD197"/>
    <mergeCell ref="AH197:AI197"/>
    <mergeCell ref="H354:J354"/>
    <mergeCell ref="K354:M354"/>
    <mergeCell ref="AR371:AY371"/>
    <mergeCell ref="H394:J394"/>
    <mergeCell ref="K394:M394"/>
    <mergeCell ref="X371:AO371"/>
    <mergeCell ref="F431:I431"/>
    <mergeCell ref="J431:O431"/>
    <mergeCell ref="H373:J373"/>
    <mergeCell ref="K373:M373"/>
    <mergeCell ref="P371:U371"/>
    <mergeCell ref="G502:H502"/>
    <mergeCell ref="F432:G432"/>
    <mergeCell ref="H432:I432"/>
    <mergeCell ref="J432:L432"/>
    <mergeCell ref="M432:O432"/>
    <mergeCell ref="G495:H49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D79B0-E8C0-4B63-A0F5-C51F19574B64}">
  <dimension ref="B2:Z85"/>
  <sheetViews>
    <sheetView topLeftCell="A33" zoomScale="78" zoomScaleNormal="78" workbookViewId="0">
      <selection activeCell="G64" sqref="G64"/>
    </sheetView>
  </sheetViews>
  <sheetFormatPr defaultRowHeight="14.4" x14ac:dyDescent="0.3"/>
  <sheetData>
    <row r="2" spans="2:26" s="47" customFormat="1" x14ac:dyDescent="0.3"/>
    <row r="3" spans="2:26" s="47" customFormat="1" x14ac:dyDescent="0.3">
      <c r="C3" s="71"/>
      <c r="D3" s="71" t="s">
        <v>2127</v>
      </c>
      <c r="E3" s="71"/>
    </row>
    <row r="4" spans="2:26" s="47" customFormat="1" ht="18" x14ac:dyDescent="0.35">
      <c r="C4" s="375" t="s">
        <v>2126</v>
      </c>
    </row>
    <row r="5" spans="2:26" s="47" customFormat="1" x14ac:dyDescent="0.3">
      <c r="D5" s="71" t="s">
        <v>2128</v>
      </c>
      <c r="E5" s="71"/>
      <c r="F5" s="71"/>
      <c r="G5" s="71" t="s">
        <v>2129</v>
      </c>
    </row>
    <row r="6" spans="2:26" s="47" customFormat="1" x14ac:dyDescent="0.3">
      <c r="U6" s="71"/>
    </row>
    <row r="11" spans="2:26" x14ac:dyDescent="0.3">
      <c r="U11" s="42"/>
    </row>
    <row r="12" spans="2:26" x14ac:dyDescent="0.3">
      <c r="D12" s="17" t="s">
        <v>6</v>
      </c>
      <c r="E12" s="260"/>
      <c r="F12" s="16"/>
      <c r="G12" s="16"/>
      <c r="H12" s="16"/>
      <c r="I12" s="16"/>
      <c r="U12" s="17" t="s">
        <v>2122</v>
      </c>
      <c r="V12" s="16"/>
      <c r="W12" s="16"/>
      <c r="X12" s="16"/>
      <c r="Y12" s="16"/>
      <c r="Z12" s="16"/>
    </row>
    <row r="13" spans="2:26" x14ac:dyDescent="0.3">
      <c r="B13" t="s">
        <v>312</v>
      </c>
    </row>
    <row r="14" spans="2:26" x14ac:dyDescent="0.3">
      <c r="D14" t="s">
        <v>1233</v>
      </c>
      <c r="U14" s="42" t="s">
        <v>1060</v>
      </c>
      <c r="W14" s="368" t="s">
        <v>1572</v>
      </c>
      <c r="X14" s="368"/>
      <c r="Y14" t="s">
        <v>2120</v>
      </c>
    </row>
    <row r="15" spans="2:26" x14ac:dyDescent="0.3">
      <c r="E15" t="s">
        <v>1234</v>
      </c>
      <c r="V15" t="s">
        <v>1122</v>
      </c>
    </row>
    <row r="16" spans="2:26" x14ac:dyDescent="0.3">
      <c r="O16" s="147"/>
      <c r="W16" t="s">
        <v>1123</v>
      </c>
    </row>
    <row r="17" spans="2:22" x14ac:dyDescent="0.3">
      <c r="O17" s="1"/>
      <c r="V17" t="s">
        <v>1121</v>
      </c>
    </row>
    <row r="18" spans="2:22" x14ac:dyDescent="0.3">
      <c r="O18" s="1"/>
    </row>
    <row r="19" spans="2:22" x14ac:dyDescent="0.3">
      <c r="F19" s="17" t="s">
        <v>2121</v>
      </c>
      <c r="G19" s="17"/>
      <c r="H19" s="16"/>
      <c r="I19" s="16"/>
      <c r="J19" s="16"/>
      <c r="K19" s="16"/>
      <c r="L19" s="16"/>
      <c r="M19" s="16"/>
      <c r="N19" s="16"/>
      <c r="O19" s="16"/>
      <c r="P19" s="16"/>
      <c r="Q19" s="16"/>
    </row>
    <row r="20" spans="2:22" x14ac:dyDescent="0.3">
      <c r="F20" s="16"/>
      <c r="H20" s="42" t="s">
        <v>289</v>
      </c>
      <c r="N20" s="202" t="s">
        <v>955</v>
      </c>
      <c r="U20" s="42"/>
    </row>
    <row r="21" spans="2:22" x14ac:dyDescent="0.3">
      <c r="C21" s="42"/>
      <c r="F21" s="16"/>
      <c r="G21" s="261" t="s">
        <v>576</v>
      </c>
      <c r="H21" s="1"/>
      <c r="J21" s="1">
        <f>D25*J27</f>
        <v>0.51437999999999995</v>
      </c>
      <c r="L21" s="262">
        <f>J21</f>
        <v>0.51437999999999995</v>
      </c>
      <c r="N21" s="263">
        <v>0.25</v>
      </c>
      <c r="O21" s="196">
        <f>100%+N21</f>
        <v>1.25</v>
      </c>
      <c r="Q21" s="264">
        <f>O21*L21</f>
        <v>0.64297499999999996</v>
      </c>
      <c r="U21" s="42"/>
    </row>
    <row r="22" spans="2:22" x14ac:dyDescent="0.3">
      <c r="C22" s="42"/>
      <c r="F22" s="16"/>
      <c r="G22" s="261" t="s">
        <v>956</v>
      </c>
      <c r="H22" s="1"/>
      <c r="J22" s="269">
        <f>J27-J21</f>
        <v>0.34292</v>
      </c>
      <c r="K22" s="1">
        <f>J22-K23</f>
        <v>0.29061016949152541</v>
      </c>
      <c r="L22" s="262">
        <f>K22</f>
        <v>0.29061016949152541</v>
      </c>
      <c r="N22" s="263">
        <v>4.5999999999999999E-2</v>
      </c>
      <c r="O22" s="196">
        <f t="shared" ref="O22:O26" si="0">100%+N22</f>
        <v>1.046</v>
      </c>
      <c r="Q22" s="264">
        <f t="shared" ref="Q22:Q26" si="1">O22*L22</f>
        <v>0.30397823728813561</v>
      </c>
      <c r="U22" s="42"/>
    </row>
    <row r="23" spans="2:22" x14ac:dyDescent="0.3">
      <c r="C23" s="42"/>
      <c r="F23" s="16"/>
      <c r="G23" s="261" t="s">
        <v>551</v>
      </c>
      <c r="H23" s="1"/>
      <c r="I23" s="42"/>
      <c r="J23" s="270"/>
      <c r="K23" s="1">
        <f>D24*J22</f>
        <v>5.2309830508474583E-2</v>
      </c>
      <c r="L23" s="262">
        <f>K23</f>
        <v>5.2309830508474583E-2</v>
      </c>
      <c r="N23" s="263">
        <v>4.5999999999999999E-2</v>
      </c>
      <c r="O23" s="196">
        <f t="shared" si="0"/>
        <v>1.046</v>
      </c>
      <c r="Q23" s="264">
        <f t="shared" si="1"/>
        <v>5.4716082711864414E-2</v>
      </c>
      <c r="U23" s="42"/>
    </row>
    <row r="24" spans="2:22" x14ac:dyDescent="0.3">
      <c r="B24" t="s">
        <v>959</v>
      </c>
      <c r="D24" s="26">
        <f>18/118</f>
        <v>0.15254237288135594</v>
      </c>
      <c r="F24" s="16"/>
      <c r="G24" s="42" t="s">
        <v>569</v>
      </c>
      <c r="H24" s="1"/>
      <c r="I24" s="265">
        <f>D28</f>
        <v>4.7699999999999999E-2</v>
      </c>
      <c r="L24" s="262">
        <f>I24</f>
        <v>4.7699999999999999E-2</v>
      </c>
      <c r="N24" s="263">
        <v>0.25</v>
      </c>
      <c r="O24" s="196">
        <f t="shared" si="0"/>
        <v>1.25</v>
      </c>
      <c r="Q24" s="264">
        <f t="shared" si="1"/>
        <v>5.9624999999999997E-2</v>
      </c>
      <c r="U24" s="42"/>
    </row>
    <row r="25" spans="2:22" x14ac:dyDescent="0.3">
      <c r="B25" t="s">
        <v>958</v>
      </c>
      <c r="D25" s="267">
        <f>AWE!F135</f>
        <v>0.6</v>
      </c>
      <c r="F25" s="16"/>
      <c r="G25" s="42" t="s">
        <v>298</v>
      </c>
      <c r="H25" s="1"/>
      <c r="I25" s="265">
        <f>D26</f>
        <v>4.4999999999999998E-2</v>
      </c>
      <c r="L25" s="262">
        <f>I25</f>
        <v>4.4999999999999998E-2</v>
      </c>
      <c r="N25" s="263">
        <v>0</v>
      </c>
      <c r="O25" s="196">
        <f t="shared" si="0"/>
        <v>1</v>
      </c>
      <c r="Q25" s="264">
        <f t="shared" si="1"/>
        <v>4.4999999999999998E-2</v>
      </c>
      <c r="U25" s="42"/>
    </row>
    <row r="26" spans="2:22" x14ac:dyDescent="0.3">
      <c r="B26" t="s">
        <v>138</v>
      </c>
      <c r="D26" s="56">
        <v>4.4999999999999998E-2</v>
      </c>
      <c r="F26" s="16"/>
      <c r="G26" s="42" t="s">
        <v>544</v>
      </c>
      <c r="H26" s="1"/>
      <c r="I26" s="265">
        <f>D27</f>
        <v>0.05</v>
      </c>
      <c r="L26" s="262">
        <f>I26</f>
        <v>0.05</v>
      </c>
      <c r="N26" s="263">
        <v>0.05</v>
      </c>
      <c r="O26" s="196">
        <f t="shared" si="0"/>
        <v>1.05</v>
      </c>
      <c r="Q26" s="264">
        <f t="shared" si="1"/>
        <v>5.2500000000000005E-2</v>
      </c>
    </row>
    <row r="27" spans="2:22" x14ac:dyDescent="0.3">
      <c r="B27" t="s">
        <v>952</v>
      </c>
      <c r="D27" s="294">
        <v>0.05</v>
      </c>
      <c r="F27" s="16"/>
      <c r="G27" s="42" t="s">
        <v>191</v>
      </c>
      <c r="H27" s="261">
        <v>1</v>
      </c>
      <c r="I27" s="261">
        <f>SUM(I24:I26)</f>
        <v>0.14269999999999999</v>
      </c>
      <c r="J27" s="1">
        <f>H27-I27</f>
        <v>0.85729999999999995</v>
      </c>
      <c r="L27" s="266">
        <f>SUM(L21:L26)</f>
        <v>1</v>
      </c>
      <c r="N27" s="202" t="s">
        <v>957</v>
      </c>
      <c r="Q27" s="264">
        <f>SUM(Q21:Q26)</f>
        <v>1.1587943199999999</v>
      </c>
    </row>
    <row r="28" spans="2:22" x14ac:dyDescent="0.3">
      <c r="B28" t="s">
        <v>548</v>
      </c>
      <c r="C28" s="42"/>
      <c r="D28" s="262">
        <f>AWE!F137</f>
        <v>4.7699999999999999E-2</v>
      </c>
      <c r="F28" s="16"/>
      <c r="L28" s="31"/>
      <c r="N28" s="189"/>
      <c r="Q28" s="7"/>
    </row>
    <row r="29" spans="2:22" x14ac:dyDescent="0.3">
      <c r="F29" s="16"/>
      <c r="G29" s="42" t="s">
        <v>542</v>
      </c>
      <c r="H29" s="147">
        <v>1</v>
      </c>
      <c r="L29" s="267">
        <f>H29</f>
        <v>1</v>
      </c>
      <c r="N29" s="263">
        <v>0</v>
      </c>
      <c r="O29" s="1">
        <f>1+N29</f>
        <v>1</v>
      </c>
      <c r="Q29" s="264">
        <f>O29*L29</f>
        <v>1</v>
      </c>
    </row>
    <row r="30" spans="2:22" x14ac:dyDescent="0.3">
      <c r="M30" s="268"/>
      <c r="N30" s="268"/>
      <c r="O30" s="268"/>
      <c r="P30" s="268"/>
    </row>
    <row r="31" spans="2:22" x14ac:dyDescent="0.3">
      <c r="M31" s="268"/>
      <c r="N31" s="268"/>
      <c r="O31" s="268"/>
      <c r="P31" s="268"/>
    </row>
    <row r="32" spans="2:22" x14ac:dyDescent="0.3">
      <c r="J32" s="42"/>
      <c r="K32" s="42"/>
      <c r="L32" s="42"/>
      <c r="M32" s="268"/>
      <c r="N32" s="268"/>
      <c r="O32" s="268"/>
      <c r="P32" s="268"/>
      <c r="Q32" s="42"/>
    </row>
    <row r="34" spans="2:22" x14ac:dyDescent="0.3">
      <c r="H34" s="42"/>
      <c r="I34" s="42"/>
      <c r="J34" s="42"/>
      <c r="K34" s="42"/>
      <c r="L34" s="42"/>
      <c r="M34" s="42"/>
      <c r="N34" s="42"/>
      <c r="O34" s="42"/>
    </row>
    <row r="37" spans="2:22" x14ac:dyDescent="0.3">
      <c r="F37" s="17" t="s">
        <v>960</v>
      </c>
      <c r="G37" s="16"/>
      <c r="H37" s="16"/>
      <c r="I37" s="16"/>
      <c r="J37" s="16"/>
      <c r="K37" s="16"/>
      <c r="L37" s="16"/>
      <c r="M37" s="16"/>
      <c r="N37" s="16"/>
      <c r="O37" s="16"/>
      <c r="P37" s="16"/>
      <c r="Q37" s="16"/>
      <c r="R37" s="16"/>
      <c r="S37" s="16"/>
      <c r="T37" s="16"/>
      <c r="U37" s="16"/>
    </row>
    <row r="38" spans="2:22" x14ac:dyDescent="0.3">
      <c r="F38" s="16"/>
      <c r="G38" s="33" t="s">
        <v>961</v>
      </c>
      <c r="H38" s="33"/>
      <c r="I38" s="33"/>
      <c r="J38" s="33"/>
      <c r="K38" s="33"/>
      <c r="L38" s="33"/>
      <c r="M38" s="33"/>
      <c r="N38" s="33"/>
      <c r="O38" s="33"/>
      <c r="P38" s="33"/>
      <c r="Q38" s="33"/>
      <c r="R38" s="31"/>
      <c r="S38" s="31"/>
    </row>
    <row r="39" spans="2:22" x14ac:dyDescent="0.3">
      <c r="F39" s="16"/>
      <c r="G39" s="33"/>
      <c r="H39" s="33" t="s">
        <v>962</v>
      </c>
      <c r="I39" s="33"/>
      <c r="J39" s="33"/>
      <c r="K39" s="33"/>
      <c r="L39" s="33"/>
      <c r="M39" s="33"/>
      <c r="N39" s="33"/>
      <c r="O39" s="33"/>
      <c r="P39" s="33"/>
      <c r="Q39" s="33"/>
      <c r="R39" s="31"/>
      <c r="S39" s="31"/>
    </row>
    <row r="40" spans="2:22" x14ac:dyDescent="0.3">
      <c r="F40" s="16"/>
      <c r="R40" s="71" t="s">
        <v>963</v>
      </c>
    </row>
    <row r="41" spans="2:22" x14ac:dyDescent="0.3">
      <c r="B41" t="s">
        <v>959</v>
      </c>
      <c r="D41" s="26">
        <f>18/118</f>
        <v>0.15254237288135594</v>
      </c>
      <c r="F41" s="16"/>
      <c r="G41" s="42" t="s">
        <v>964</v>
      </c>
      <c r="O41" s="42"/>
      <c r="R41" s="71" t="s">
        <v>585</v>
      </c>
      <c r="U41" s="42" t="s">
        <v>55</v>
      </c>
    </row>
    <row r="42" spans="2:22" x14ac:dyDescent="0.3">
      <c r="B42" t="s">
        <v>958</v>
      </c>
      <c r="D42" s="267">
        <f>AWE!F140</f>
        <v>0.6</v>
      </c>
      <c r="F42" s="16"/>
      <c r="G42" s="42"/>
      <c r="H42" s="271" t="s">
        <v>965</v>
      </c>
      <c r="I42" s="60"/>
      <c r="J42" s="272">
        <f>D42</f>
        <v>0.6</v>
      </c>
      <c r="K42" s="273" t="s">
        <v>966</v>
      </c>
      <c r="L42" s="274"/>
      <c r="M42" s="275"/>
      <c r="N42" s="288">
        <f>100%-J45-J46-J47</f>
        <v>0.85729999999999995</v>
      </c>
      <c r="O42" s="276">
        <f>N42*J42</f>
        <v>0.51437999999999995</v>
      </c>
      <c r="P42" s="276">
        <f>J42*N42</f>
        <v>0.51437999999999995</v>
      </c>
      <c r="R42" s="277">
        <f t="shared" ref="R42:R47" si="2">N21</f>
        <v>0.25</v>
      </c>
      <c r="S42" s="1">
        <f>1+R42</f>
        <v>1.25</v>
      </c>
      <c r="U42" s="278">
        <f t="shared" ref="U42:U48" si="3">S42*P42</f>
        <v>0.64297499999999996</v>
      </c>
      <c r="V42" s="1"/>
    </row>
    <row r="43" spans="2:22" x14ac:dyDescent="0.3">
      <c r="B43" t="s">
        <v>138</v>
      </c>
      <c r="D43" s="56">
        <v>4.4999999999999998E-2</v>
      </c>
      <c r="F43" s="16"/>
      <c r="G43" s="42"/>
      <c r="H43" s="271" t="s">
        <v>967</v>
      </c>
      <c r="I43" s="60"/>
      <c r="J43" s="279">
        <f>1-J44</f>
        <v>0.84745762711864403</v>
      </c>
      <c r="K43" s="60" t="s">
        <v>968</v>
      </c>
      <c r="L43" s="280"/>
      <c r="M43" s="281"/>
      <c r="N43" s="289"/>
      <c r="O43" s="288">
        <f>N42*(1-J42)</f>
        <v>0.34292</v>
      </c>
      <c r="P43" s="276">
        <f>J43*O43</f>
        <v>0.29061016949152541</v>
      </c>
      <c r="R43" s="277">
        <f t="shared" si="2"/>
        <v>4.5999999999999999E-2</v>
      </c>
      <c r="S43" s="1">
        <f t="shared" ref="S43:S48" si="4">1+R43</f>
        <v>1.046</v>
      </c>
      <c r="U43" s="278">
        <f t="shared" si="3"/>
        <v>0.30397823728813561</v>
      </c>
      <c r="V43" s="1"/>
    </row>
    <row r="44" spans="2:22" x14ac:dyDescent="0.3">
      <c r="B44" t="s">
        <v>952</v>
      </c>
      <c r="D44" s="294">
        <v>0.05</v>
      </c>
      <c r="F44" s="16"/>
      <c r="G44" s="42"/>
      <c r="H44" s="271" t="s">
        <v>969</v>
      </c>
      <c r="I44" s="60"/>
      <c r="J44" s="282">
        <f>D41</f>
        <v>0.15254237288135594</v>
      </c>
      <c r="K44" s="283" t="s">
        <v>968</v>
      </c>
      <c r="L44" s="284"/>
      <c r="M44" s="285"/>
      <c r="N44" s="290"/>
      <c r="O44" s="290"/>
      <c r="P44" s="276">
        <f>J44*O43</f>
        <v>5.2309830508474583E-2</v>
      </c>
      <c r="R44" s="277">
        <f t="shared" si="2"/>
        <v>4.5999999999999999E-2</v>
      </c>
      <c r="S44" s="1">
        <f t="shared" si="4"/>
        <v>1.046</v>
      </c>
      <c r="U44" s="278">
        <f>S44*P44</f>
        <v>5.4716082711864414E-2</v>
      </c>
      <c r="V44" s="1"/>
    </row>
    <row r="45" spans="2:22" x14ac:dyDescent="0.3">
      <c r="B45" t="s">
        <v>548</v>
      </c>
      <c r="D45" s="262">
        <f>AWE!F141</f>
        <v>4.7699999999999999E-2</v>
      </c>
      <c r="F45" s="16"/>
      <c r="G45" s="42"/>
      <c r="H45" s="271" t="s">
        <v>2</v>
      </c>
      <c r="I45" s="60"/>
      <c r="J45" s="277">
        <f>D43</f>
        <v>4.4999999999999998E-2</v>
      </c>
      <c r="K45" s="60" t="s">
        <v>970</v>
      </c>
      <c r="L45" s="60"/>
      <c r="M45" s="286"/>
      <c r="N45" s="276">
        <f>J45</f>
        <v>4.4999999999999998E-2</v>
      </c>
      <c r="O45" s="276">
        <f>J45</f>
        <v>4.4999999999999998E-2</v>
      </c>
      <c r="P45" s="276">
        <f>J45</f>
        <v>4.4999999999999998E-2</v>
      </c>
      <c r="R45" s="277">
        <f t="shared" si="2"/>
        <v>0.25</v>
      </c>
      <c r="S45" s="1">
        <f t="shared" si="4"/>
        <v>1.25</v>
      </c>
      <c r="U45" s="278">
        <f t="shared" si="3"/>
        <v>5.6249999999999994E-2</v>
      </c>
      <c r="V45" s="1"/>
    </row>
    <row r="46" spans="2:22" x14ac:dyDescent="0.3">
      <c r="F46" s="16"/>
      <c r="G46" s="42"/>
      <c r="H46" s="271" t="s">
        <v>548</v>
      </c>
      <c r="I46" s="60"/>
      <c r="J46" s="277">
        <f>D45</f>
        <v>4.7699999999999999E-2</v>
      </c>
      <c r="K46" s="60" t="s">
        <v>970</v>
      </c>
      <c r="L46" s="60"/>
      <c r="M46" s="286"/>
      <c r="N46" s="276">
        <f t="shared" ref="N46:N47" si="5">J46</f>
        <v>4.7699999999999999E-2</v>
      </c>
      <c r="O46" s="276">
        <f t="shared" ref="O46:O47" si="6">J46</f>
        <v>4.7699999999999999E-2</v>
      </c>
      <c r="P46" s="276">
        <f t="shared" ref="P46:P47" si="7">J46</f>
        <v>4.7699999999999999E-2</v>
      </c>
      <c r="R46" s="277">
        <f t="shared" si="2"/>
        <v>0</v>
      </c>
      <c r="S46" s="1">
        <f t="shared" si="4"/>
        <v>1</v>
      </c>
      <c r="U46" s="278">
        <f t="shared" si="3"/>
        <v>4.7699999999999999E-2</v>
      </c>
      <c r="V46" s="1"/>
    </row>
    <row r="47" spans="2:22" x14ac:dyDescent="0.3">
      <c r="F47" s="16"/>
      <c r="G47" s="42"/>
      <c r="H47" s="271" t="s">
        <v>952</v>
      </c>
      <c r="I47" s="60"/>
      <c r="J47" s="277">
        <f>D44</f>
        <v>0.05</v>
      </c>
      <c r="K47" s="60" t="s">
        <v>970</v>
      </c>
      <c r="L47" s="60"/>
      <c r="M47" s="286"/>
      <c r="N47" s="276">
        <f t="shared" si="5"/>
        <v>0.05</v>
      </c>
      <c r="O47" s="276">
        <f t="shared" si="6"/>
        <v>0.05</v>
      </c>
      <c r="P47" s="276">
        <f t="shared" si="7"/>
        <v>0.05</v>
      </c>
      <c r="R47" s="277">
        <f t="shared" si="2"/>
        <v>0.05</v>
      </c>
      <c r="S47" s="1">
        <f t="shared" si="4"/>
        <v>1.05</v>
      </c>
      <c r="U47" s="278">
        <f t="shared" si="3"/>
        <v>5.2500000000000005E-2</v>
      </c>
      <c r="V47" s="1"/>
    </row>
    <row r="48" spans="2:22" x14ac:dyDescent="0.3">
      <c r="F48" s="16"/>
      <c r="G48" s="42"/>
      <c r="H48" s="271" t="s">
        <v>563</v>
      </c>
      <c r="I48" s="60"/>
      <c r="J48" s="287">
        <v>1</v>
      </c>
      <c r="K48" s="60" t="s">
        <v>970</v>
      </c>
      <c r="L48" s="60"/>
      <c r="M48" s="286"/>
      <c r="N48" s="60"/>
      <c r="O48" s="60"/>
      <c r="P48" s="287">
        <f>J48</f>
        <v>1</v>
      </c>
      <c r="R48" s="47"/>
      <c r="S48" s="1">
        <f t="shared" si="4"/>
        <v>1</v>
      </c>
      <c r="U48" s="67">
        <f t="shared" si="3"/>
        <v>1</v>
      </c>
      <c r="V48" s="1"/>
    </row>
    <row r="49" spans="2:22" x14ac:dyDescent="0.3">
      <c r="F49" s="16"/>
      <c r="U49" s="291">
        <f>SUM(U42:U47)</f>
        <v>1.15811932</v>
      </c>
      <c r="V49" t="s">
        <v>971</v>
      </c>
    </row>
    <row r="50" spans="2:22" x14ac:dyDescent="0.3">
      <c r="F50" s="17"/>
      <c r="G50" s="16"/>
      <c r="H50" s="16"/>
      <c r="I50" s="16"/>
      <c r="J50" s="16"/>
      <c r="K50" s="16"/>
      <c r="L50" s="16"/>
      <c r="M50" s="16"/>
      <c r="N50" s="16"/>
      <c r="O50" s="16"/>
      <c r="P50" s="16"/>
      <c r="Q50" s="16"/>
      <c r="R50" s="16"/>
      <c r="S50" s="16"/>
    </row>
    <row r="56" spans="2:22" x14ac:dyDescent="0.3">
      <c r="C56" t="s">
        <v>2133</v>
      </c>
    </row>
    <row r="57" spans="2:22" x14ac:dyDescent="0.3">
      <c r="B57" s="41" t="s">
        <v>43</v>
      </c>
      <c r="C57" s="12"/>
      <c r="D57" s="12"/>
      <c r="E57" s="12"/>
      <c r="F57" s="12" t="s">
        <v>53</v>
      </c>
      <c r="G57" s="12" t="s">
        <v>56</v>
      </c>
    </row>
    <row r="58" spans="2:22" x14ac:dyDescent="0.3">
      <c r="C58" t="s">
        <v>75</v>
      </c>
      <c r="F58" s="2">
        <v>2000</v>
      </c>
      <c r="G58" s="2">
        <v>500</v>
      </c>
    </row>
    <row r="59" spans="2:22" x14ac:dyDescent="0.3">
      <c r="C59" t="s">
        <v>76</v>
      </c>
      <c r="F59" s="2">
        <v>2000</v>
      </c>
      <c r="G59" s="2">
        <v>500</v>
      </c>
    </row>
    <row r="60" spans="2:22" x14ac:dyDescent="0.3">
      <c r="C60" t="s">
        <v>77</v>
      </c>
      <c r="F60" s="2">
        <v>0</v>
      </c>
      <c r="G60" s="2">
        <v>200</v>
      </c>
    </row>
    <row r="61" spans="2:22" x14ac:dyDescent="0.3">
      <c r="C61" t="s">
        <v>78</v>
      </c>
      <c r="F61" s="2">
        <v>0</v>
      </c>
      <c r="G61" s="2">
        <v>50</v>
      </c>
    </row>
    <row r="62" spans="2:22" x14ac:dyDescent="0.3">
      <c r="C62" t="s">
        <v>79</v>
      </c>
      <c r="F62" s="2">
        <v>0</v>
      </c>
      <c r="G62" s="2">
        <v>50</v>
      </c>
    </row>
    <row r="63" spans="2:22" x14ac:dyDescent="0.3">
      <c r="C63" t="s">
        <v>195</v>
      </c>
      <c r="F63" s="2">
        <v>0</v>
      </c>
      <c r="G63" s="2">
        <v>200</v>
      </c>
    </row>
    <row r="64" spans="2:22" x14ac:dyDescent="0.3">
      <c r="C64" t="s">
        <v>951</v>
      </c>
      <c r="F64" s="2">
        <v>0</v>
      </c>
      <c r="G64" s="2">
        <v>200</v>
      </c>
    </row>
    <row r="80" s="70" customFormat="1" x14ac:dyDescent="0.3"/>
    <row r="82" spans="3:7" x14ac:dyDescent="0.3">
      <c r="C82" s="418" t="s">
        <v>2132</v>
      </c>
      <c r="D82" s="418"/>
      <c r="E82" s="418"/>
      <c r="F82" s="418"/>
      <c r="G82" s="418"/>
    </row>
    <row r="83" spans="3:7" x14ac:dyDescent="0.3">
      <c r="D83" t="s">
        <v>1730</v>
      </c>
      <c r="F83" t="s">
        <v>1731</v>
      </c>
    </row>
    <row r="84" spans="3:7" x14ac:dyDescent="0.3">
      <c r="D84" t="s">
        <v>1732</v>
      </c>
      <c r="F84">
        <v>7500</v>
      </c>
      <c r="G84" t="s">
        <v>1733</v>
      </c>
    </row>
    <row r="85" spans="3:7" x14ac:dyDescent="0.3">
      <c r="F85">
        <f>F84/200</f>
        <v>37.5</v>
      </c>
      <c r="G85" t="s">
        <v>1734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AB803-46EB-49AC-8BE8-27D01138B5FB}">
  <dimension ref="A3:AK752"/>
  <sheetViews>
    <sheetView zoomScale="55" zoomScaleNormal="55" workbookViewId="0">
      <selection activeCell="J19" sqref="J19"/>
    </sheetView>
  </sheetViews>
  <sheetFormatPr defaultRowHeight="14.4" x14ac:dyDescent="0.3"/>
  <cols>
    <col min="1" max="1" width="19.5546875" customWidth="1"/>
    <col min="2" max="2" width="19.44140625" customWidth="1"/>
    <col min="3" max="3" width="3.33203125" customWidth="1"/>
    <col min="4" max="4" width="19.44140625" customWidth="1"/>
    <col min="5" max="5" width="17" customWidth="1"/>
    <col min="6" max="6" width="18.77734375" customWidth="1"/>
    <col min="7" max="7" width="20.88671875" customWidth="1"/>
    <col min="8" max="8" width="8.5546875" customWidth="1"/>
    <col min="9" max="9" width="20.44140625" customWidth="1"/>
    <col min="10" max="10" width="61.21875" customWidth="1"/>
    <col min="11" max="11" width="31.21875" customWidth="1"/>
    <col min="12" max="12" width="3.33203125" customWidth="1"/>
    <col min="13" max="13" width="18.109375" customWidth="1"/>
    <col min="14" max="14" width="16.109375" customWidth="1"/>
    <col min="15" max="15" width="15.109375" customWidth="1"/>
    <col min="16" max="16" width="22.5546875" customWidth="1"/>
    <col min="17" max="17" width="15.88671875" customWidth="1"/>
    <col min="18" max="18" width="17.21875" customWidth="1"/>
    <col min="19" max="19" width="18.6640625" customWidth="1"/>
    <col min="20" max="20" width="17" customWidth="1"/>
    <col min="21" max="21" width="17.5546875" customWidth="1"/>
    <col min="22" max="22" width="19.109375" customWidth="1"/>
    <col min="23" max="23" width="19.33203125" customWidth="1"/>
    <col min="24" max="24" width="13.77734375" customWidth="1"/>
    <col min="27" max="27" width="15.33203125" customWidth="1"/>
    <col min="28" max="28" width="13.5546875" customWidth="1"/>
    <col min="29" max="29" width="12.44140625" customWidth="1"/>
    <col min="30" max="30" width="12" customWidth="1"/>
  </cols>
  <sheetData>
    <row r="3" spans="1:25" ht="28.8" x14ac:dyDescent="0.55000000000000004">
      <c r="R3" s="151" t="s">
        <v>368</v>
      </c>
      <c r="S3" s="150"/>
      <c r="T3" s="150"/>
      <c r="U3" s="150"/>
      <c r="V3" s="150"/>
      <c r="W3" s="150"/>
      <c r="X3" s="150"/>
      <c r="Y3" s="150"/>
    </row>
    <row r="4" spans="1:25" x14ac:dyDescent="0.3">
      <c r="R4" s="17"/>
      <c r="S4" s="138" t="s">
        <v>32</v>
      </c>
      <c r="T4" s="138"/>
      <c r="U4" s="138"/>
      <c r="V4" s="17"/>
      <c r="W4" s="138" t="s">
        <v>162</v>
      </c>
      <c r="X4" s="138"/>
      <c r="Y4" s="138"/>
    </row>
    <row r="5" spans="1:25" x14ac:dyDescent="0.3">
      <c r="R5" s="17"/>
      <c r="S5" s="17" t="s">
        <v>366</v>
      </c>
      <c r="T5" s="17" t="s">
        <v>315</v>
      </c>
      <c r="U5" s="17" t="s">
        <v>367</v>
      </c>
      <c r="V5" s="17"/>
      <c r="W5" s="17" t="s">
        <v>366</v>
      </c>
      <c r="X5" s="17" t="s">
        <v>315</v>
      </c>
      <c r="Y5" s="17" t="s">
        <v>365</v>
      </c>
    </row>
    <row r="6" spans="1:25" x14ac:dyDescent="0.3">
      <c r="A6" t="str">
        <f t="shared" ref="A6:A54" si="0">R6</f>
        <v>epoxies</v>
      </c>
      <c r="R6" s="137" t="str">
        <f>D74</f>
        <v>epoxies</v>
      </c>
      <c r="S6" s="23">
        <f>G74</f>
        <v>0</v>
      </c>
      <c r="T6" s="23">
        <f>G77</f>
        <v>0</v>
      </c>
      <c r="U6" s="23">
        <f>G80</f>
        <v>0</v>
      </c>
      <c r="V6" s="136"/>
      <c r="W6" s="23">
        <f>I74</f>
        <v>0</v>
      </c>
      <c r="X6" s="23">
        <f>I77</f>
        <v>0</v>
      </c>
      <c r="Y6" s="23">
        <f>I80</f>
        <v>0</v>
      </c>
    </row>
    <row r="7" spans="1:25" ht="15.6" x14ac:dyDescent="0.3">
      <c r="A7" t="str">
        <f t="shared" si="0"/>
        <v>PE</v>
      </c>
      <c r="D7" t="s">
        <v>392</v>
      </c>
      <c r="H7" s="152" t="s">
        <v>32</v>
      </c>
      <c r="I7" s="152"/>
      <c r="J7" s="152"/>
      <c r="K7" s="152"/>
      <c r="M7" s="42" t="s">
        <v>162</v>
      </c>
      <c r="N7" s="42"/>
      <c r="O7" s="42"/>
      <c r="P7" s="42"/>
      <c r="R7" s="137" t="str">
        <f>D85</f>
        <v>PE</v>
      </c>
      <c r="S7" s="23">
        <f>G85</f>
        <v>0</v>
      </c>
      <c r="T7" s="23">
        <f>G88</f>
        <v>0</v>
      </c>
      <c r="U7" s="23">
        <f>G91</f>
        <v>0</v>
      </c>
      <c r="V7" s="136"/>
      <c r="W7" s="23">
        <f>I85</f>
        <v>0</v>
      </c>
      <c r="X7" s="23">
        <f>I88</f>
        <v>0</v>
      </c>
      <c r="Y7" s="23">
        <f>I91</f>
        <v>0</v>
      </c>
    </row>
    <row r="8" spans="1:25" x14ac:dyDescent="0.3">
      <c r="A8" t="str">
        <f t="shared" si="0"/>
        <v>PU</v>
      </c>
      <c r="B8" s="17" t="s">
        <v>389</v>
      </c>
      <c r="C8" s="17"/>
      <c r="D8" s="17" t="s">
        <v>316</v>
      </c>
      <c r="E8" s="17" t="s">
        <v>315</v>
      </c>
      <c r="F8" s="17" t="s">
        <v>367</v>
      </c>
      <c r="G8" s="17"/>
      <c r="H8" s="17" t="s">
        <v>316</v>
      </c>
      <c r="I8" s="17" t="s">
        <v>315</v>
      </c>
      <c r="J8" s="17" t="s">
        <v>390</v>
      </c>
      <c r="K8" s="17" t="s">
        <v>391</v>
      </c>
      <c r="L8" s="16"/>
      <c r="M8" s="17" t="s">
        <v>316</v>
      </c>
      <c r="N8" s="17" t="s">
        <v>315</v>
      </c>
      <c r="O8" s="17" t="s">
        <v>390</v>
      </c>
      <c r="P8" s="17" t="s">
        <v>391</v>
      </c>
      <c r="R8" s="137" t="str">
        <f>D96</f>
        <v>PU</v>
      </c>
      <c r="S8" s="23">
        <f>G96</f>
        <v>0</v>
      </c>
      <c r="T8" s="23">
        <f>G99</f>
        <v>0</v>
      </c>
      <c r="U8" s="23">
        <f>G102</f>
        <v>0</v>
      </c>
      <c r="V8" s="136"/>
      <c r="W8" s="23">
        <f>I96</f>
        <v>0</v>
      </c>
      <c r="X8" s="23">
        <f>I99</f>
        <v>0</v>
      </c>
      <c r="Y8" s="23">
        <f>I102</f>
        <v>0</v>
      </c>
    </row>
    <row r="9" spans="1:25" x14ac:dyDescent="0.3">
      <c r="A9" t="str">
        <f t="shared" si="0"/>
        <v>Low alloy steel</v>
      </c>
      <c r="B9" t="s">
        <v>369</v>
      </c>
      <c r="D9" s="147">
        <f>T69</f>
        <v>0.92</v>
      </c>
      <c r="E9" s="147">
        <f>U69</f>
        <v>0</v>
      </c>
      <c r="F9" s="147">
        <f>V69</f>
        <v>0.08</v>
      </c>
      <c r="G9" s="16"/>
      <c r="H9" s="38">
        <f>D9*S9</f>
        <v>0</v>
      </c>
      <c r="I9" s="38">
        <f t="shared" ref="I9:J9" si="1">E9*T9</f>
        <v>0</v>
      </c>
      <c r="J9" s="38">
        <f t="shared" si="1"/>
        <v>3.368E-4</v>
      </c>
      <c r="K9" s="148">
        <f>SUM(H9:J9)</f>
        <v>3.368E-4</v>
      </c>
      <c r="L9" s="7"/>
      <c r="M9">
        <f>D9*W9</f>
        <v>0</v>
      </c>
      <c r="N9">
        <f t="shared" ref="N9:O9" si="2">E9*X9</f>
        <v>0</v>
      </c>
      <c r="O9">
        <f t="shared" si="2"/>
        <v>1.192E-2</v>
      </c>
      <c r="P9" s="148">
        <f>SUM(M9:O9)</f>
        <v>1.192E-2</v>
      </c>
      <c r="R9" s="42" t="str">
        <f>D109</f>
        <v>Low alloy steel</v>
      </c>
      <c r="S9">
        <f>G109</f>
        <v>0</v>
      </c>
      <c r="T9">
        <f>G112</f>
        <v>9.8099999999999993E-3</v>
      </c>
      <c r="U9">
        <f>G115</f>
        <v>4.2100000000000002E-3</v>
      </c>
      <c r="V9" s="134"/>
      <c r="W9">
        <f>I109</f>
        <v>0</v>
      </c>
      <c r="X9">
        <f>I112</f>
        <v>0.19</v>
      </c>
      <c r="Y9">
        <f>I115</f>
        <v>0.14899999999999999</v>
      </c>
    </row>
    <row r="10" spans="1:25" x14ac:dyDescent="0.3">
      <c r="A10" t="str">
        <f t="shared" si="0"/>
        <v>cast iron</v>
      </c>
      <c r="B10" t="s">
        <v>23</v>
      </c>
      <c r="D10" s="147">
        <f>T69</f>
        <v>0.92</v>
      </c>
      <c r="E10" s="147">
        <f>U69</f>
        <v>0</v>
      </c>
      <c r="F10" s="147">
        <f>V69</f>
        <v>0.08</v>
      </c>
      <c r="G10" s="16"/>
      <c r="H10" s="38">
        <f t="shared" ref="H10:H54" si="3">D10*S10</f>
        <v>0</v>
      </c>
      <c r="I10" s="38">
        <f t="shared" ref="I10:I54" si="4">E10*T10</f>
        <v>0</v>
      </c>
      <c r="J10" s="38">
        <f t="shared" ref="J10:J54" si="5">F10*U10</f>
        <v>4.9599999999999998E-2</v>
      </c>
      <c r="K10" s="148">
        <f t="shared" ref="K10:K54" si="6">SUM(H10:J10)</f>
        <v>4.9599999999999998E-2</v>
      </c>
      <c r="L10" s="7"/>
      <c r="M10">
        <f t="shared" ref="M10:M55" si="7">D10*W10</f>
        <v>0</v>
      </c>
      <c r="N10">
        <f t="shared" ref="N10:N55" si="8">E10*X10</f>
        <v>0</v>
      </c>
      <c r="O10">
        <f t="shared" ref="O10:O55" si="9">F10*Y10</f>
        <v>2.5520000000000001E-2</v>
      </c>
      <c r="P10" s="148">
        <f t="shared" ref="P10:P54" si="10">SUM(M10:O10)</f>
        <v>2.5520000000000001E-2</v>
      </c>
      <c r="R10" s="42" t="str">
        <f>D120</f>
        <v>cast iron</v>
      </c>
      <c r="S10">
        <f>G120</f>
        <v>0</v>
      </c>
      <c r="T10">
        <f>G123</f>
        <v>0.51800000000000002</v>
      </c>
      <c r="U10">
        <f>G126</f>
        <v>0.62</v>
      </c>
      <c r="V10" s="134"/>
      <c r="W10">
        <f>I120</f>
        <v>0</v>
      </c>
      <c r="X10">
        <f>I123</f>
        <v>0.36199999999999999</v>
      </c>
      <c r="Y10">
        <f>I126</f>
        <v>0.31900000000000001</v>
      </c>
    </row>
    <row r="11" spans="1:25" x14ac:dyDescent="0.3">
      <c r="A11" t="str">
        <f t="shared" si="0"/>
        <v>chromium</v>
      </c>
      <c r="B11" t="s">
        <v>24</v>
      </c>
      <c r="D11" s="147">
        <f t="shared" ref="D11:F13" si="11">T69</f>
        <v>0.92</v>
      </c>
      <c r="E11" s="147">
        <f t="shared" si="11"/>
        <v>0</v>
      </c>
      <c r="F11" s="147">
        <f t="shared" si="11"/>
        <v>0.08</v>
      </c>
      <c r="G11" s="16"/>
      <c r="H11" s="38">
        <f t="shared" si="3"/>
        <v>0</v>
      </c>
      <c r="I11" s="38">
        <f t="shared" si="4"/>
        <v>0</v>
      </c>
      <c r="J11" s="38">
        <f t="shared" si="5"/>
        <v>3.368E-4</v>
      </c>
      <c r="K11" s="148">
        <f t="shared" si="6"/>
        <v>3.368E-4</v>
      </c>
      <c r="L11" s="7"/>
      <c r="M11">
        <f t="shared" si="7"/>
        <v>0</v>
      </c>
      <c r="N11">
        <f t="shared" si="8"/>
        <v>0</v>
      </c>
      <c r="O11">
        <f t="shared" si="9"/>
        <v>1.192E-2</v>
      </c>
      <c r="P11" s="148">
        <f t="shared" si="10"/>
        <v>1.192E-2</v>
      </c>
      <c r="R11" s="42" t="str">
        <f>D131</f>
        <v>chromium</v>
      </c>
      <c r="S11">
        <f>G131</f>
        <v>0</v>
      </c>
      <c r="T11">
        <f>G134</f>
        <v>9.8099999999999993E-3</v>
      </c>
      <c r="U11">
        <f>G137</f>
        <v>4.2100000000000002E-3</v>
      </c>
      <c r="V11" s="134"/>
      <c r="W11">
        <f>I131</f>
        <v>0</v>
      </c>
      <c r="X11">
        <f>I134</f>
        <v>0.19</v>
      </c>
      <c r="Y11">
        <f>I137</f>
        <v>0.14899999999999999</v>
      </c>
    </row>
    <row r="12" spans="1:25" x14ac:dyDescent="0.3">
      <c r="A12" t="str">
        <f t="shared" si="0"/>
        <v>copper</v>
      </c>
      <c r="B12" t="s">
        <v>113</v>
      </c>
      <c r="D12" s="147">
        <f t="shared" si="11"/>
        <v>0.92</v>
      </c>
      <c r="E12" s="147">
        <f t="shared" si="11"/>
        <v>0</v>
      </c>
      <c r="F12" s="147">
        <f t="shared" si="11"/>
        <v>0.08</v>
      </c>
      <c r="G12" s="16"/>
      <c r="H12" s="38">
        <f t="shared" si="3"/>
        <v>0</v>
      </c>
      <c r="I12" s="38">
        <f t="shared" si="4"/>
        <v>0</v>
      </c>
      <c r="J12" s="38">
        <f t="shared" si="5"/>
        <v>4.9599999999999998E-2</v>
      </c>
      <c r="K12" s="148">
        <f t="shared" si="6"/>
        <v>4.9599999999999998E-2</v>
      </c>
      <c r="L12" s="7"/>
      <c r="M12">
        <f t="shared" si="7"/>
        <v>0</v>
      </c>
      <c r="N12">
        <f t="shared" si="8"/>
        <v>0</v>
      </c>
      <c r="O12">
        <f t="shared" si="9"/>
        <v>2.5520000000000001E-2</v>
      </c>
      <c r="P12" s="148">
        <f t="shared" si="10"/>
        <v>2.5520000000000001E-2</v>
      </c>
      <c r="R12" s="42" t="str">
        <f>D142</f>
        <v>copper</v>
      </c>
      <c r="S12">
        <f>G142</f>
        <v>0</v>
      </c>
      <c r="T12">
        <f>G145</f>
        <v>1.41E-2</v>
      </c>
      <c r="U12">
        <f>G148</f>
        <v>0.62</v>
      </c>
      <c r="V12" s="134"/>
      <c r="W12">
        <f>I142</f>
        <v>0</v>
      </c>
      <c r="X12">
        <f>I145</f>
        <v>0.28599999999999998</v>
      </c>
      <c r="Y12">
        <f>I148</f>
        <v>0.31900000000000001</v>
      </c>
    </row>
    <row r="13" spans="1:25" x14ac:dyDescent="0.3">
      <c r="A13" t="str">
        <f t="shared" si="0"/>
        <v>Alluminium</v>
      </c>
      <c r="B13" t="s">
        <v>357</v>
      </c>
      <c r="D13" s="147">
        <f t="shared" si="11"/>
        <v>0.92</v>
      </c>
      <c r="E13" s="147">
        <f t="shared" si="11"/>
        <v>0</v>
      </c>
      <c r="F13" s="147">
        <f t="shared" si="11"/>
        <v>0.08</v>
      </c>
      <c r="G13" s="7"/>
      <c r="H13" s="38">
        <f t="shared" si="3"/>
        <v>0</v>
      </c>
      <c r="I13" s="38">
        <f t="shared" si="4"/>
        <v>0</v>
      </c>
      <c r="J13" s="38">
        <f t="shared" si="5"/>
        <v>1.1280000000000001E-3</v>
      </c>
      <c r="K13" s="148">
        <f t="shared" si="6"/>
        <v>1.1280000000000001E-3</v>
      </c>
      <c r="L13" s="7"/>
      <c r="M13">
        <f t="shared" si="7"/>
        <v>0</v>
      </c>
      <c r="N13">
        <f t="shared" si="8"/>
        <v>0</v>
      </c>
      <c r="O13">
        <f t="shared" si="9"/>
        <v>3.1760000000000004E-2</v>
      </c>
      <c r="P13" s="148">
        <f t="shared" si="10"/>
        <v>3.1760000000000004E-2</v>
      </c>
      <c r="R13" s="42" t="str">
        <f>D153</f>
        <v>Alluminium</v>
      </c>
      <c r="S13">
        <f>G153</f>
        <v>0</v>
      </c>
      <c r="T13">
        <f>G156</f>
        <v>1.4200000000000001E-2</v>
      </c>
      <c r="U13">
        <f>G161</f>
        <v>1.41E-2</v>
      </c>
      <c r="V13" s="134"/>
      <c r="W13">
        <f>I153</f>
        <v>0</v>
      </c>
      <c r="X13">
        <f>I156</f>
        <v>0.28699999999999998</v>
      </c>
      <c r="Y13">
        <f>I161</f>
        <v>0.39700000000000002</v>
      </c>
    </row>
    <row r="14" spans="1:25" x14ac:dyDescent="0.3">
      <c r="A14" t="str">
        <f t="shared" si="0"/>
        <v>reinforcing stee;</v>
      </c>
      <c r="D14" s="147">
        <f>T69</f>
        <v>0.92</v>
      </c>
      <c r="E14" s="147">
        <f>U69</f>
        <v>0</v>
      </c>
      <c r="F14" s="147">
        <f>V69</f>
        <v>0.08</v>
      </c>
      <c r="G14" s="7"/>
      <c r="H14" s="38">
        <f t="shared" si="3"/>
        <v>0</v>
      </c>
      <c r="I14" s="38">
        <f t="shared" si="4"/>
        <v>0</v>
      </c>
      <c r="J14" s="38">
        <f t="shared" si="5"/>
        <v>3.368E-4</v>
      </c>
      <c r="K14" s="148">
        <f t="shared" si="6"/>
        <v>3.368E-4</v>
      </c>
      <c r="L14" s="7"/>
      <c r="M14">
        <f t="shared" si="7"/>
        <v>0</v>
      </c>
      <c r="N14">
        <f t="shared" si="8"/>
        <v>0</v>
      </c>
      <c r="O14">
        <f t="shared" si="9"/>
        <v>1.192E-2</v>
      </c>
      <c r="P14" s="148">
        <f t="shared" si="10"/>
        <v>1.192E-2</v>
      </c>
      <c r="R14" s="42" t="s">
        <v>364</v>
      </c>
      <c r="S14">
        <f>G165</f>
        <v>0</v>
      </c>
      <c r="T14">
        <f>G168</f>
        <v>9.8099999999999993E-3</v>
      </c>
      <c r="U14">
        <f>G171</f>
        <v>4.2100000000000002E-3</v>
      </c>
      <c r="V14" s="134"/>
      <c r="W14">
        <f>I165</f>
        <v>0</v>
      </c>
      <c r="X14">
        <f>I168</f>
        <v>0.19</v>
      </c>
      <c r="Y14">
        <f>I171</f>
        <v>0.14899999999999999</v>
      </c>
    </row>
    <row r="15" spans="1:25" x14ac:dyDescent="0.3">
      <c r="A15" t="str">
        <f t="shared" si="0"/>
        <v>Rebar</v>
      </c>
      <c r="B15" t="s">
        <v>363</v>
      </c>
      <c r="D15" s="147">
        <f>T69</f>
        <v>0.92</v>
      </c>
      <c r="E15" s="147">
        <f>U69</f>
        <v>0</v>
      </c>
      <c r="F15" s="147">
        <f>V69</f>
        <v>0.08</v>
      </c>
      <c r="G15" s="7"/>
      <c r="H15" s="38">
        <f t="shared" si="3"/>
        <v>0</v>
      </c>
      <c r="I15" s="38">
        <f t="shared" si="4"/>
        <v>0</v>
      </c>
      <c r="J15" s="38">
        <f t="shared" si="5"/>
        <v>3.368E-4</v>
      </c>
      <c r="K15" s="148">
        <f t="shared" si="6"/>
        <v>3.368E-4</v>
      </c>
      <c r="L15" s="7"/>
      <c r="M15">
        <f t="shared" si="7"/>
        <v>0</v>
      </c>
      <c r="N15">
        <f t="shared" si="8"/>
        <v>0</v>
      </c>
      <c r="O15">
        <f t="shared" si="9"/>
        <v>1.192E-2</v>
      </c>
      <c r="P15" s="148">
        <f t="shared" si="10"/>
        <v>1.192E-2</v>
      </c>
      <c r="R15" s="42" t="s">
        <v>363</v>
      </c>
      <c r="S15">
        <f>G176</f>
        <v>0</v>
      </c>
      <c r="T15">
        <f>G179</f>
        <v>9.8099999999999993E-3</v>
      </c>
      <c r="U15">
        <f>G182</f>
        <v>4.2100000000000002E-3</v>
      </c>
      <c r="V15" s="134"/>
      <c r="W15">
        <f>I176</f>
        <v>0</v>
      </c>
      <c r="X15">
        <f>I179</f>
        <v>0.19</v>
      </c>
      <c r="Y15">
        <f>I182</f>
        <v>0.14899999999999999</v>
      </c>
    </row>
    <row r="16" spans="1:25" x14ac:dyDescent="0.3">
      <c r="A16" t="str">
        <f t="shared" si="0"/>
        <v>Section</v>
      </c>
      <c r="D16" s="147">
        <f>T69</f>
        <v>0.92</v>
      </c>
      <c r="E16" s="147">
        <f>U69</f>
        <v>0</v>
      </c>
      <c r="F16" s="147">
        <f>V69</f>
        <v>0.08</v>
      </c>
      <c r="G16" s="7"/>
      <c r="H16" s="38">
        <f t="shared" si="3"/>
        <v>0</v>
      </c>
      <c r="I16" s="38">
        <f t="shared" si="4"/>
        <v>0</v>
      </c>
      <c r="J16" s="38">
        <f t="shared" si="5"/>
        <v>3.368E-4</v>
      </c>
      <c r="K16" s="148">
        <f t="shared" si="6"/>
        <v>3.368E-4</v>
      </c>
      <c r="L16" s="7"/>
      <c r="M16">
        <f t="shared" si="7"/>
        <v>0</v>
      </c>
      <c r="N16">
        <f t="shared" si="8"/>
        <v>0</v>
      </c>
      <c r="O16">
        <f t="shared" si="9"/>
        <v>1.192E-2</v>
      </c>
      <c r="P16" s="148">
        <f t="shared" si="10"/>
        <v>1.192E-2</v>
      </c>
      <c r="R16" s="42" t="s">
        <v>350</v>
      </c>
      <c r="S16">
        <f>G196</f>
        <v>0</v>
      </c>
      <c r="T16">
        <f>G199</f>
        <v>9.8099999999999993E-3</v>
      </c>
      <c r="U16">
        <f>G202</f>
        <v>4.2100000000000002E-3</v>
      </c>
      <c r="V16" s="134"/>
      <c r="W16">
        <f>I196</f>
        <v>0</v>
      </c>
      <c r="X16">
        <f>I199</f>
        <v>0.19</v>
      </c>
      <c r="Y16">
        <f>I202</f>
        <v>0.14899999999999999</v>
      </c>
    </row>
    <row r="17" spans="1:37" x14ac:dyDescent="0.3">
      <c r="A17" t="str">
        <f t="shared" si="0"/>
        <v>Titanium</v>
      </c>
      <c r="D17" s="147">
        <f>T69</f>
        <v>0.92</v>
      </c>
      <c r="E17" s="147">
        <f t="shared" ref="E17:F17" si="12">U69</f>
        <v>0</v>
      </c>
      <c r="F17" s="147">
        <f t="shared" si="12"/>
        <v>0.08</v>
      </c>
      <c r="G17" s="7"/>
      <c r="H17" s="38">
        <f t="shared" si="3"/>
        <v>0</v>
      </c>
      <c r="I17" s="38">
        <f t="shared" si="4"/>
        <v>0</v>
      </c>
      <c r="J17" s="38">
        <f t="shared" si="5"/>
        <v>4.9599999999999998E-2</v>
      </c>
      <c r="K17" s="148">
        <f t="shared" si="6"/>
        <v>4.9599999999999998E-2</v>
      </c>
      <c r="L17" s="7"/>
      <c r="M17">
        <f t="shared" si="7"/>
        <v>0</v>
      </c>
      <c r="N17">
        <f t="shared" si="8"/>
        <v>0</v>
      </c>
      <c r="O17">
        <f t="shared" si="9"/>
        <v>2.5520000000000001E-2</v>
      </c>
      <c r="P17" s="148">
        <f t="shared" si="10"/>
        <v>2.5520000000000001E-2</v>
      </c>
      <c r="R17" s="42" t="s">
        <v>295</v>
      </c>
      <c r="S17">
        <f>G186</f>
        <v>0</v>
      </c>
      <c r="T17">
        <f>G189</f>
        <v>0.51800000000000002</v>
      </c>
      <c r="U17">
        <f>G192</f>
        <v>0.62</v>
      </c>
      <c r="V17" s="134"/>
      <c r="W17">
        <f>I186</f>
        <v>0</v>
      </c>
      <c r="X17">
        <f>I189</f>
        <v>0.36199999999999999</v>
      </c>
      <c r="Y17">
        <f>I192</f>
        <v>0.31900000000000001</v>
      </c>
    </row>
    <row r="18" spans="1:37" x14ac:dyDescent="0.3">
      <c r="A18" t="str">
        <f t="shared" si="0"/>
        <v>Drive steel</v>
      </c>
      <c r="D18" s="147">
        <f>T69</f>
        <v>0.92</v>
      </c>
      <c r="E18" s="147">
        <f>U69</f>
        <v>0</v>
      </c>
      <c r="F18" s="147">
        <f>V69</f>
        <v>0.08</v>
      </c>
      <c r="G18" s="7"/>
      <c r="H18" s="38">
        <f t="shared" si="3"/>
        <v>0</v>
      </c>
      <c r="I18" s="38">
        <f t="shared" si="4"/>
        <v>0</v>
      </c>
      <c r="J18" s="38">
        <f t="shared" si="5"/>
        <v>3.368E-4</v>
      </c>
      <c r="K18" s="148">
        <f t="shared" si="6"/>
        <v>3.368E-4</v>
      </c>
      <c r="L18" s="7"/>
      <c r="M18">
        <f t="shared" si="7"/>
        <v>0</v>
      </c>
      <c r="N18">
        <f t="shared" si="8"/>
        <v>0</v>
      </c>
      <c r="O18">
        <f t="shared" si="9"/>
        <v>1.192E-2</v>
      </c>
      <c r="P18" s="148">
        <f t="shared" si="10"/>
        <v>1.192E-2</v>
      </c>
      <c r="R18" s="25" t="s">
        <v>349</v>
      </c>
      <c r="S18">
        <f>G208</f>
        <v>0</v>
      </c>
      <c r="T18">
        <f>G211</f>
        <v>9.8099999999999993E-3</v>
      </c>
      <c r="U18">
        <f>G216</f>
        <v>4.2100000000000002E-3</v>
      </c>
      <c r="V18" s="134"/>
      <c r="W18">
        <f>I208</f>
        <v>0</v>
      </c>
      <c r="X18">
        <f>I211</f>
        <v>0.19</v>
      </c>
      <c r="Y18">
        <f>I216</f>
        <v>0.14899999999999999</v>
      </c>
    </row>
    <row r="19" spans="1:37" x14ac:dyDescent="0.3">
      <c r="A19" t="str">
        <f t="shared" si="0"/>
        <v>Un alloyed</v>
      </c>
      <c r="D19" s="147">
        <f>T69</f>
        <v>0.92</v>
      </c>
      <c r="E19" s="147">
        <f>U69</f>
        <v>0</v>
      </c>
      <c r="F19" s="147">
        <f>V69</f>
        <v>0.08</v>
      </c>
      <c r="G19" s="7"/>
      <c r="H19" s="38">
        <f t="shared" si="3"/>
        <v>0</v>
      </c>
      <c r="I19" s="38">
        <f t="shared" si="4"/>
        <v>0</v>
      </c>
      <c r="J19" s="38">
        <f t="shared" si="5"/>
        <v>3.368E-4</v>
      </c>
      <c r="K19" s="148">
        <f t="shared" si="6"/>
        <v>3.368E-4</v>
      </c>
      <c r="L19" s="7"/>
      <c r="M19">
        <f t="shared" si="7"/>
        <v>0</v>
      </c>
      <c r="N19">
        <f t="shared" si="8"/>
        <v>0</v>
      </c>
      <c r="O19">
        <f t="shared" si="9"/>
        <v>1.192E-2</v>
      </c>
      <c r="P19" s="148">
        <f t="shared" si="10"/>
        <v>1.192E-2</v>
      </c>
      <c r="R19" s="42" t="s">
        <v>359</v>
      </c>
      <c r="S19">
        <f>G711</f>
        <v>0</v>
      </c>
      <c r="T19">
        <f>G714</f>
        <v>9.8099999999999993E-3</v>
      </c>
      <c r="U19">
        <f>G717</f>
        <v>4.2100000000000002E-3</v>
      </c>
      <c r="V19" s="134"/>
      <c r="W19">
        <f>I711</f>
        <v>0</v>
      </c>
      <c r="X19">
        <f>I714</f>
        <v>0.19</v>
      </c>
      <c r="Y19">
        <f>I717</f>
        <v>0.14899999999999999</v>
      </c>
    </row>
    <row r="20" spans="1:37" x14ac:dyDescent="0.3">
      <c r="A20" t="str">
        <f t="shared" si="0"/>
        <v>galvanized</v>
      </c>
      <c r="D20" s="147">
        <f>T69</f>
        <v>0.92</v>
      </c>
      <c r="E20" s="147">
        <f t="shared" ref="E20:F20" si="13">U69</f>
        <v>0</v>
      </c>
      <c r="F20" s="147">
        <f t="shared" si="13"/>
        <v>0.08</v>
      </c>
      <c r="G20" s="7"/>
      <c r="H20" s="38">
        <f t="shared" si="3"/>
        <v>0</v>
      </c>
      <c r="I20" s="38">
        <f t="shared" si="4"/>
        <v>0</v>
      </c>
      <c r="J20" s="38">
        <f t="shared" si="5"/>
        <v>3.368E-4</v>
      </c>
      <c r="K20" s="148">
        <f t="shared" si="6"/>
        <v>3.368E-4</v>
      </c>
      <c r="L20" s="7"/>
      <c r="M20">
        <f t="shared" si="7"/>
        <v>0</v>
      </c>
      <c r="N20">
        <f t="shared" si="8"/>
        <v>0</v>
      </c>
      <c r="O20">
        <f t="shared" si="9"/>
        <v>1.192E-2</v>
      </c>
      <c r="P20" s="148">
        <f t="shared" si="10"/>
        <v>1.192E-2</v>
      </c>
      <c r="R20" s="42" t="s">
        <v>1095</v>
      </c>
      <c r="S20">
        <f>G232</f>
        <v>0</v>
      </c>
      <c r="T20">
        <f>G235</f>
        <v>9.8099999999999993E-3</v>
      </c>
      <c r="U20">
        <f>G238</f>
        <v>4.2100000000000002E-3</v>
      </c>
      <c r="V20" s="134"/>
      <c r="W20">
        <f>I232</f>
        <v>0</v>
      </c>
      <c r="X20">
        <f>I235</f>
        <v>0.19</v>
      </c>
      <c r="Y20">
        <f>I238</f>
        <v>0.14899999999999999</v>
      </c>
    </row>
    <row r="21" spans="1:37" x14ac:dyDescent="0.3">
      <c r="A21">
        <f t="shared" si="0"/>
        <v>0</v>
      </c>
      <c r="G21" s="7"/>
      <c r="H21" s="38">
        <f t="shared" si="3"/>
        <v>0</v>
      </c>
      <c r="I21" s="38">
        <f t="shared" si="4"/>
        <v>0</v>
      </c>
      <c r="J21" s="38">
        <f t="shared" si="5"/>
        <v>0</v>
      </c>
      <c r="K21" s="148">
        <f t="shared" si="6"/>
        <v>0</v>
      </c>
      <c r="L21" s="7"/>
      <c r="M21">
        <f t="shared" si="7"/>
        <v>0</v>
      </c>
      <c r="N21">
        <f t="shared" si="8"/>
        <v>0</v>
      </c>
      <c r="O21">
        <f t="shared" si="9"/>
        <v>0</v>
      </c>
      <c r="P21" s="148">
        <f t="shared" si="10"/>
        <v>0</v>
      </c>
      <c r="V21" s="134"/>
    </row>
    <row r="22" spans="1:37" x14ac:dyDescent="0.3">
      <c r="A22">
        <f t="shared" si="0"/>
        <v>0</v>
      </c>
      <c r="G22" s="7"/>
      <c r="H22" s="38">
        <f t="shared" si="3"/>
        <v>0</v>
      </c>
      <c r="I22" s="38">
        <f t="shared" si="4"/>
        <v>0</v>
      </c>
      <c r="J22" s="38">
        <f t="shared" si="5"/>
        <v>0</v>
      </c>
      <c r="K22" s="148">
        <f t="shared" si="6"/>
        <v>0</v>
      </c>
      <c r="L22" s="7"/>
      <c r="M22">
        <f t="shared" si="7"/>
        <v>0</v>
      </c>
      <c r="N22">
        <f t="shared" si="8"/>
        <v>0</v>
      </c>
      <c r="O22">
        <f t="shared" si="9"/>
        <v>0</v>
      </c>
      <c r="P22" s="148">
        <f t="shared" si="10"/>
        <v>0</v>
      </c>
      <c r="V22" s="134"/>
    </row>
    <row r="23" spans="1:37" x14ac:dyDescent="0.3">
      <c r="A23" t="str">
        <f t="shared" si="0"/>
        <v>Paint</v>
      </c>
      <c r="B23" t="s">
        <v>298</v>
      </c>
      <c r="D23" s="147">
        <f>T76</f>
        <v>0</v>
      </c>
      <c r="E23" s="147">
        <f>U76</f>
        <v>0</v>
      </c>
      <c r="F23" s="147">
        <f>V76</f>
        <v>1</v>
      </c>
      <c r="G23" s="7"/>
      <c r="H23" s="38">
        <f t="shared" si="3"/>
        <v>0</v>
      </c>
      <c r="I23" s="38">
        <f t="shared" si="4"/>
        <v>0</v>
      </c>
      <c r="J23" s="38">
        <f t="shared" si="5"/>
        <v>9.5000000000000001E-2</v>
      </c>
      <c r="K23" s="148">
        <f t="shared" si="6"/>
        <v>9.5000000000000001E-2</v>
      </c>
      <c r="L23" s="7"/>
      <c r="M23">
        <f t="shared" si="7"/>
        <v>0</v>
      </c>
      <c r="N23">
        <f t="shared" si="8"/>
        <v>0</v>
      </c>
      <c r="O23">
        <f t="shared" si="9"/>
        <v>0.249</v>
      </c>
      <c r="P23" s="148">
        <f t="shared" si="10"/>
        <v>0.249</v>
      </c>
      <c r="R23" s="42" t="str">
        <f>D418</f>
        <v>Paint</v>
      </c>
      <c r="S23">
        <f>G418</f>
        <v>0</v>
      </c>
      <c r="T23">
        <f>G421</f>
        <v>2.38</v>
      </c>
      <c r="U23">
        <f>G424</f>
        <v>9.5000000000000001E-2</v>
      </c>
      <c r="V23" s="134"/>
      <c r="W23">
        <f>I418</f>
        <v>0</v>
      </c>
      <c r="X23">
        <f>I421</f>
        <v>0.17399999999999999</v>
      </c>
      <c r="Y23">
        <f>I424</f>
        <v>0.249</v>
      </c>
    </row>
    <row r="24" spans="1:37" x14ac:dyDescent="0.3">
      <c r="A24" t="str">
        <f t="shared" si="0"/>
        <v>Tire</v>
      </c>
      <c r="B24" t="s">
        <v>130</v>
      </c>
      <c r="D24" s="147">
        <f>T79</f>
        <v>0</v>
      </c>
      <c r="E24" s="147">
        <f>U79</f>
        <v>0</v>
      </c>
      <c r="F24" s="147">
        <f>V79</f>
        <v>1</v>
      </c>
      <c r="G24" s="7"/>
      <c r="H24" s="38">
        <f t="shared" si="3"/>
        <v>0</v>
      </c>
      <c r="I24" s="38">
        <f t="shared" si="4"/>
        <v>0</v>
      </c>
      <c r="J24" s="38">
        <f t="shared" si="5"/>
        <v>1.6628169827586208</v>
      </c>
      <c r="K24" s="148">
        <f t="shared" si="6"/>
        <v>1.6628169827586208</v>
      </c>
      <c r="L24" s="7"/>
      <c r="M24">
        <f t="shared" si="7"/>
        <v>0</v>
      </c>
      <c r="N24">
        <f t="shared" si="8"/>
        <v>0</v>
      </c>
      <c r="O24">
        <f t="shared" si="9"/>
        <v>0.38900000000000001</v>
      </c>
      <c r="P24" s="148">
        <f t="shared" si="10"/>
        <v>0.38900000000000001</v>
      </c>
      <c r="R24" s="42" t="str">
        <f>D431</f>
        <v>Tire</v>
      </c>
      <c r="S24">
        <f>G431</f>
        <v>0</v>
      </c>
      <c r="T24">
        <f>G434</f>
        <v>1.8363636363636364</v>
      </c>
      <c r="U24">
        <f>G437</f>
        <v>1.6628169827586208</v>
      </c>
      <c r="V24" s="134"/>
      <c r="W24">
        <f>I431</f>
        <v>0</v>
      </c>
      <c r="X24">
        <f>I434</f>
        <v>0.48399999999999999</v>
      </c>
      <c r="Y24">
        <f>I441</f>
        <v>0.38900000000000001</v>
      </c>
    </row>
    <row r="25" spans="1:37" x14ac:dyDescent="0.3">
      <c r="A25" t="str">
        <f t="shared" si="0"/>
        <v>cable</v>
      </c>
      <c r="B25" t="s">
        <v>68</v>
      </c>
      <c r="D25" s="147">
        <f>'OEL impact settings'!T74</f>
        <v>0.5</v>
      </c>
      <c r="E25" s="147">
        <f>'OEL impact settings'!U74</f>
        <v>0</v>
      </c>
      <c r="F25" s="147">
        <f>'OEL impact settings'!V74</f>
        <v>0.5</v>
      </c>
      <c r="G25" s="7"/>
      <c r="H25" s="38">
        <f t="shared" si="3"/>
        <v>0</v>
      </c>
      <c r="I25" s="38">
        <f t="shared" si="4"/>
        <v>0</v>
      </c>
      <c r="J25" s="38">
        <f t="shared" si="5"/>
        <v>0.31</v>
      </c>
      <c r="K25" s="148">
        <f t="shared" si="6"/>
        <v>0.31</v>
      </c>
      <c r="L25" s="7"/>
      <c r="M25">
        <f t="shared" si="7"/>
        <v>0</v>
      </c>
      <c r="N25">
        <f t="shared" si="8"/>
        <v>0</v>
      </c>
      <c r="O25">
        <f t="shared" si="9"/>
        <v>0.1595</v>
      </c>
      <c r="P25" s="148">
        <f t="shared" si="10"/>
        <v>0.1595</v>
      </c>
      <c r="R25" s="42" t="str">
        <f>D446</f>
        <v>cable</v>
      </c>
      <c r="S25">
        <f>G446</f>
        <v>0</v>
      </c>
      <c r="T25">
        <f>G449</f>
        <v>0.51800000000000002</v>
      </c>
      <c r="U25">
        <f>G452</f>
        <v>0.62</v>
      </c>
      <c r="V25" s="134"/>
      <c r="W25">
        <f>I446</f>
        <v>0</v>
      </c>
      <c r="X25">
        <f>I449</f>
        <v>0.36199999999999999</v>
      </c>
      <c r="Y25">
        <f>I452</f>
        <v>0.31900000000000001</v>
      </c>
    </row>
    <row r="26" spans="1:37" x14ac:dyDescent="0.3">
      <c r="A26" t="str">
        <f t="shared" si="0"/>
        <v>PWB</v>
      </c>
      <c r="B26" t="s">
        <v>331</v>
      </c>
      <c r="D26" s="147">
        <f>T74</f>
        <v>0.5</v>
      </c>
      <c r="E26" s="147">
        <f>U74</f>
        <v>0</v>
      </c>
      <c r="F26" s="147">
        <f>V74</f>
        <v>0.5</v>
      </c>
      <c r="G26" s="7"/>
      <c r="H26" s="38">
        <f t="shared" si="3"/>
        <v>0</v>
      </c>
      <c r="I26" s="38">
        <f t="shared" si="4"/>
        <v>0</v>
      </c>
      <c r="J26" s="38">
        <f t="shared" si="5"/>
        <v>0.31</v>
      </c>
      <c r="K26" s="148">
        <f t="shared" si="6"/>
        <v>0.31</v>
      </c>
      <c r="L26" s="7"/>
      <c r="M26">
        <f t="shared" si="7"/>
        <v>0</v>
      </c>
      <c r="N26">
        <f t="shared" si="8"/>
        <v>0</v>
      </c>
      <c r="O26">
        <f t="shared" si="9"/>
        <v>0.1595</v>
      </c>
      <c r="P26" s="148">
        <f t="shared" si="10"/>
        <v>0.1595</v>
      </c>
      <c r="R26" s="42" t="str">
        <f>D458</f>
        <v>PWB</v>
      </c>
      <c r="S26">
        <f>G458</f>
        <v>0</v>
      </c>
      <c r="T26">
        <f>G461</f>
        <v>0.51800000000000002</v>
      </c>
      <c r="U26">
        <f>G464</f>
        <v>0.62</v>
      </c>
      <c r="V26" s="134"/>
      <c r="W26">
        <f>I458</f>
        <v>0</v>
      </c>
      <c r="X26">
        <f>I461</f>
        <v>0.36199999999999999</v>
      </c>
      <c r="Y26">
        <f>I464</f>
        <v>0.31900000000000001</v>
      </c>
    </row>
    <row r="27" spans="1:37" x14ac:dyDescent="0.3">
      <c r="A27" s="320" t="str">
        <f t="shared" si="0"/>
        <v>misc</v>
      </c>
      <c r="D27" s="147">
        <f>T78</f>
        <v>0</v>
      </c>
      <c r="E27" s="147">
        <f t="shared" ref="E27:F27" si="14">U78</f>
        <v>0</v>
      </c>
      <c r="F27" s="147">
        <f t="shared" si="14"/>
        <v>1</v>
      </c>
      <c r="G27" s="7"/>
      <c r="H27" s="38">
        <f t="shared" si="3"/>
        <v>0</v>
      </c>
      <c r="I27" s="38">
        <f t="shared" si="4"/>
        <v>0</v>
      </c>
      <c r="J27" s="38">
        <f t="shared" si="5"/>
        <v>0</v>
      </c>
      <c r="K27" s="148">
        <f t="shared" si="6"/>
        <v>0</v>
      </c>
      <c r="L27" s="7"/>
      <c r="M27">
        <f t="shared" si="7"/>
        <v>0</v>
      </c>
      <c r="N27">
        <f t="shared" si="8"/>
        <v>0</v>
      </c>
      <c r="O27">
        <f t="shared" si="9"/>
        <v>0</v>
      </c>
      <c r="P27" s="148">
        <f t="shared" si="10"/>
        <v>0</v>
      </c>
      <c r="R27" s="319" t="s">
        <v>121</v>
      </c>
      <c r="V27" s="134"/>
    </row>
    <row r="28" spans="1:37" x14ac:dyDescent="0.3">
      <c r="A28" t="str">
        <f t="shared" si="0"/>
        <v>Transformer</v>
      </c>
      <c r="B28" t="s">
        <v>330</v>
      </c>
      <c r="D28" s="147">
        <f>'OEL impact settings'!T80</f>
        <v>0.85</v>
      </c>
      <c r="E28" s="147">
        <f>'OEL impact settings'!U80</f>
        <v>0</v>
      </c>
      <c r="F28" s="147">
        <f>'OEL impact settings'!V80</f>
        <v>0.15</v>
      </c>
      <c r="G28" s="7"/>
      <c r="H28" s="38">
        <f t="shared" si="3"/>
        <v>0</v>
      </c>
      <c r="I28" s="38">
        <f t="shared" si="4"/>
        <v>0</v>
      </c>
      <c r="J28" s="38">
        <f t="shared" si="5"/>
        <v>9.2999999999999999E-2</v>
      </c>
      <c r="K28" s="148">
        <f t="shared" si="6"/>
        <v>9.2999999999999999E-2</v>
      </c>
      <c r="L28" s="7"/>
      <c r="M28">
        <f t="shared" si="7"/>
        <v>0</v>
      </c>
      <c r="N28">
        <f t="shared" si="8"/>
        <v>0</v>
      </c>
      <c r="O28">
        <f t="shared" si="9"/>
        <v>4.7849999999999997E-2</v>
      </c>
      <c r="P28" s="148">
        <f t="shared" si="10"/>
        <v>4.7849999999999997E-2</v>
      </c>
      <c r="R28" s="42" t="str">
        <f>D468</f>
        <v>Transformer</v>
      </c>
      <c r="S28">
        <f>G468</f>
        <v>0</v>
      </c>
      <c r="T28">
        <f>G471</f>
        <v>0.51800000000000002</v>
      </c>
      <c r="U28">
        <f>G474</f>
        <v>0.62</v>
      </c>
      <c r="V28" s="134"/>
      <c r="W28">
        <f>I468</f>
        <v>0</v>
      </c>
      <c r="X28">
        <f>I471</f>
        <v>0.36199999999999999</v>
      </c>
      <c r="Y28">
        <f>I474</f>
        <v>0.31900000000000001</v>
      </c>
      <c r="AK28">
        <v>1</v>
      </c>
    </row>
    <row r="29" spans="1:37" x14ac:dyDescent="0.3">
      <c r="A29" t="str">
        <f t="shared" si="0"/>
        <v>Motor</v>
      </c>
      <c r="B29" t="s">
        <v>132</v>
      </c>
      <c r="D29" s="147">
        <f>'OEL impact settings'!T81</f>
        <v>0.9</v>
      </c>
      <c r="E29" s="147">
        <f>'OEL impact settings'!U81</f>
        <v>0</v>
      </c>
      <c r="F29" s="147">
        <f>'OEL impact settings'!V81</f>
        <v>0.1</v>
      </c>
      <c r="G29" s="7"/>
      <c r="H29" s="38">
        <f t="shared" si="3"/>
        <v>0</v>
      </c>
      <c r="I29" s="38">
        <f t="shared" si="4"/>
        <v>0</v>
      </c>
      <c r="J29" s="38">
        <f t="shared" si="5"/>
        <v>6.2E-2</v>
      </c>
      <c r="K29" s="148">
        <f t="shared" si="6"/>
        <v>6.2E-2</v>
      </c>
      <c r="L29" s="7"/>
      <c r="M29">
        <f t="shared" si="7"/>
        <v>0</v>
      </c>
      <c r="N29">
        <f t="shared" si="8"/>
        <v>0</v>
      </c>
      <c r="O29">
        <f t="shared" si="9"/>
        <v>3.1900000000000005E-2</v>
      </c>
      <c r="P29" s="148">
        <f t="shared" si="10"/>
        <v>3.1900000000000005E-2</v>
      </c>
      <c r="R29" s="42" t="str">
        <f>D478</f>
        <v>Motor</v>
      </c>
      <c r="S29">
        <f>G478</f>
        <v>0</v>
      </c>
      <c r="T29">
        <f>G481</f>
        <v>0.51800000000000002</v>
      </c>
      <c r="U29">
        <f>G484</f>
        <v>0.62</v>
      </c>
      <c r="V29" s="134"/>
      <c r="W29">
        <f>I478</f>
        <v>0</v>
      </c>
      <c r="X29">
        <f>I481</f>
        <v>0.36199999999999999</v>
      </c>
      <c r="Y29">
        <f>I484</f>
        <v>0.31900000000000001</v>
      </c>
    </row>
    <row r="30" spans="1:37" x14ac:dyDescent="0.3">
      <c r="A30" t="str">
        <f t="shared" si="0"/>
        <v>concrete</v>
      </c>
      <c r="B30" t="s">
        <v>28</v>
      </c>
      <c r="D30" s="147">
        <f>T75</f>
        <v>0</v>
      </c>
      <c r="E30" s="147">
        <f>U75</f>
        <v>0</v>
      </c>
      <c r="F30" s="147">
        <f>V75</f>
        <v>1</v>
      </c>
      <c r="G30" s="7"/>
      <c r="H30" s="38">
        <f t="shared" si="3"/>
        <v>0</v>
      </c>
      <c r="I30" s="38">
        <f t="shared" si="4"/>
        <v>0</v>
      </c>
      <c r="J30" s="38">
        <f t="shared" si="5"/>
        <v>5.1500000000000001E-3</v>
      </c>
      <c r="K30" s="148">
        <f t="shared" si="6"/>
        <v>5.1500000000000001E-3</v>
      </c>
      <c r="L30" s="7"/>
      <c r="M30">
        <f t="shared" si="7"/>
        <v>0</v>
      </c>
      <c r="N30">
        <f t="shared" si="8"/>
        <v>0</v>
      </c>
      <c r="O30">
        <f t="shared" si="9"/>
        <v>0.20799999999999999</v>
      </c>
      <c r="P30" s="148">
        <f t="shared" si="10"/>
        <v>0.20799999999999999</v>
      </c>
      <c r="R30" s="42" t="str">
        <f>D489</f>
        <v>concrete</v>
      </c>
      <c r="S30">
        <f>G489</f>
        <v>0</v>
      </c>
      <c r="T30">
        <f>G492</f>
        <v>0</v>
      </c>
      <c r="U30">
        <f>G495</f>
        <v>5.1500000000000001E-3</v>
      </c>
      <c r="V30" s="134"/>
      <c r="W30">
        <f>I489</f>
        <v>0</v>
      </c>
      <c r="X30">
        <f>I492</f>
        <v>0</v>
      </c>
      <c r="Y30">
        <f>I495</f>
        <v>0.20799999999999999</v>
      </c>
    </row>
    <row r="31" spans="1:37" x14ac:dyDescent="0.3">
      <c r="A31" t="str">
        <f t="shared" si="0"/>
        <v>electronics</v>
      </c>
      <c r="B31" t="s">
        <v>328</v>
      </c>
      <c r="D31" s="147">
        <f>T74</f>
        <v>0.5</v>
      </c>
      <c r="E31" s="147">
        <f>U74</f>
        <v>0</v>
      </c>
      <c r="F31" s="147">
        <f>V74</f>
        <v>0.5</v>
      </c>
      <c r="G31" s="7"/>
      <c r="H31" s="38">
        <f t="shared" si="3"/>
        <v>0</v>
      </c>
      <c r="I31" s="38">
        <f t="shared" si="4"/>
        <v>0</v>
      </c>
      <c r="J31" s="38">
        <f t="shared" si="5"/>
        <v>0.31</v>
      </c>
      <c r="K31" s="148">
        <f t="shared" si="6"/>
        <v>0.31</v>
      </c>
      <c r="L31" s="7"/>
      <c r="M31">
        <f t="shared" si="7"/>
        <v>0</v>
      </c>
      <c r="N31">
        <f t="shared" si="8"/>
        <v>0</v>
      </c>
      <c r="O31">
        <f t="shared" si="9"/>
        <v>0.1595</v>
      </c>
      <c r="P31" s="148">
        <f t="shared" si="10"/>
        <v>0.1595</v>
      </c>
      <c r="R31" s="42" t="str">
        <f>D500</f>
        <v>electronics</v>
      </c>
      <c r="S31">
        <f>G500</f>
        <v>0</v>
      </c>
      <c r="T31">
        <f>G503</f>
        <v>0.51800000000000002</v>
      </c>
      <c r="U31">
        <f>G506</f>
        <v>0.62</v>
      </c>
      <c r="V31" s="134"/>
      <c r="W31">
        <f>I500</f>
        <v>0</v>
      </c>
      <c r="X31">
        <f>I503</f>
        <v>0.36199999999999999</v>
      </c>
      <c r="Y31">
        <f>I506</f>
        <v>0.31900000000000001</v>
      </c>
    </row>
    <row r="32" spans="1:37" x14ac:dyDescent="0.3">
      <c r="A32" t="str">
        <f t="shared" si="0"/>
        <v>Battery</v>
      </c>
      <c r="B32" t="s">
        <v>134</v>
      </c>
      <c r="D32" s="147">
        <f>T82</f>
        <v>0.5</v>
      </c>
      <c r="E32" s="147">
        <f>U82</f>
        <v>0</v>
      </c>
      <c r="F32" s="147">
        <f>V82</f>
        <v>0.5</v>
      </c>
      <c r="G32" s="7"/>
      <c r="H32" s="38">
        <f t="shared" si="3"/>
        <v>0</v>
      </c>
      <c r="I32" s="38">
        <f t="shared" si="4"/>
        <v>0</v>
      </c>
      <c r="J32" s="38">
        <f t="shared" si="5"/>
        <v>0.31</v>
      </c>
      <c r="K32" s="148">
        <f t="shared" si="6"/>
        <v>0.31</v>
      </c>
      <c r="L32" s="7"/>
      <c r="M32">
        <f t="shared" si="7"/>
        <v>0</v>
      </c>
      <c r="N32">
        <f t="shared" si="8"/>
        <v>0</v>
      </c>
      <c r="O32">
        <f t="shared" si="9"/>
        <v>0.1595</v>
      </c>
      <c r="P32" s="148">
        <f t="shared" si="10"/>
        <v>0.1595</v>
      </c>
      <c r="R32" s="42" t="str">
        <f>D511</f>
        <v>Battery</v>
      </c>
      <c r="S32">
        <f>G511</f>
        <v>0</v>
      </c>
      <c r="T32">
        <f>G514</f>
        <v>0.51800000000000002</v>
      </c>
      <c r="U32">
        <f>G517</f>
        <v>0.62</v>
      </c>
      <c r="V32" s="134"/>
      <c r="W32">
        <f>I511</f>
        <v>0</v>
      </c>
      <c r="X32">
        <f>I514</f>
        <v>0.36199999999999999</v>
      </c>
      <c r="Y32">
        <f>I517</f>
        <v>0.31900000000000001</v>
      </c>
    </row>
    <row r="33" spans="1:32" x14ac:dyDescent="0.3">
      <c r="A33">
        <f t="shared" si="0"/>
        <v>0</v>
      </c>
      <c r="B33">
        <v>0</v>
      </c>
      <c r="D33" s="147"/>
      <c r="E33" s="147"/>
      <c r="F33" s="147"/>
      <c r="G33" s="7"/>
      <c r="H33" s="38">
        <f t="shared" si="3"/>
        <v>0</v>
      </c>
      <c r="I33" s="38">
        <f t="shared" si="4"/>
        <v>0</v>
      </c>
      <c r="J33" s="38">
        <f t="shared" si="5"/>
        <v>0</v>
      </c>
      <c r="K33" s="148">
        <f t="shared" si="6"/>
        <v>0</v>
      </c>
      <c r="L33" s="7"/>
      <c r="M33">
        <f t="shared" si="7"/>
        <v>0</v>
      </c>
      <c r="N33">
        <f t="shared" si="8"/>
        <v>0</v>
      </c>
      <c r="O33">
        <f t="shared" si="9"/>
        <v>0</v>
      </c>
      <c r="P33" s="148">
        <f t="shared" si="10"/>
        <v>0</v>
      </c>
      <c r="R33" s="42"/>
      <c r="V33" s="134"/>
    </row>
    <row r="34" spans="1:32" x14ac:dyDescent="0.3">
      <c r="A34">
        <f t="shared" si="0"/>
        <v>0</v>
      </c>
      <c r="G34" s="7"/>
      <c r="H34" s="38">
        <f t="shared" si="3"/>
        <v>0</v>
      </c>
      <c r="I34" s="38">
        <f t="shared" si="4"/>
        <v>0</v>
      </c>
      <c r="J34" s="38">
        <f t="shared" si="5"/>
        <v>0</v>
      </c>
      <c r="K34" s="148">
        <f t="shared" si="6"/>
        <v>0</v>
      </c>
      <c r="L34" s="7"/>
      <c r="M34">
        <f t="shared" si="7"/>
        <v>0</v>
      </c>
      <c r="N34">
        <f t="shared" si="8"/>
        <v>0</v>
      </c>
      <c r="O34">
        <f t="shared" si="9"/>
        <v>0</v>
      </c>
      <c r="P34" s="148">
        <f t="shared" si="10"/>
        <v>0</v>
      </c>
      <c r="V34" s="134"/>
    </row>
    <row r="35" spans="1:32" x14ac:dyDescent="0.3">
      <c r="A35">
        <f t="shared" si="0"/>
        <v>0</v>
      </c>
      <c r="G35" s="7"/>
      <c r="H35" s="38">
        <f t="shared" si="3"/>
        <v>0</v>
      </c>
      <c r="I35" s="38">
        <f t="shared" si="4"/>
        <v>0</v>
      </c>
      <c r="J35" s="38">
        <f t="shared" si="5"/>
        <v>0</v>
      </c>
      <c r="K35" s="148">
        <f t="shared" si="6"/>
        <v>0</v>
      </c>
      <c r="L35" s="7"/>
      <c r="M35">
        <f t="shared" si="7"/>
        <v>0</v>
      </c>
      <c r="N35">
        <f t="shared" si="8"/>
        <v>0</v>
      </c>
      <c r="O35">
        <f t="shared" si="9"/>
        <v>0</v>
      </c>
      <c r="P35" s="148">
        <f t="shared" si="10"/>
        <v>0</v>
      </c>
      <c r="V35" s="134"/>
    </row>
    <row r="36" spans="1:32" x14ac:dyDescent="0.3">
      <c r="A36">
        <f t="shared" si="0"/>
        <v>0</v>
      </c>
      <c r="G36" s="7"/>
      <c r="H36" s="38">
        <f t="shared" si="3"/>
        <v>0</v>
      </c>
      <c r="I36" s="38">
        <f t="shared" si="4"/>
        <v>0</v>
      </c>
      <c r="J36" s="38">
        <f t="shared" si="5"/>
        <v>0</v>
      </c>
      <c r="K36" s="148">
        <f t="shared" si="6"/>
        <v>0</v>
      </c>
      <c r="L36" s="7"/>
      <c r="M36">
        <f t="shared" si="7"/>
        <v>0</v>
      </c>
      <c r="N36">
        <f t="shared" si="8"/>
        <v>0</v>
      </c>
      <c r="O36">
        <f t="shared" si="9"/>
        <v>0</v>
      </c>
      <c r="P36" s="148">
        <f t="shared" si="10"/>
        <v>0</v>
      </c>
      <c r="V36" s="134"/>
    </row>
    <row r="37" spans="1:32" x14ac:dyDescent="0.3">
      <c r="A37" t="str">
        <f t="shared" si="0"/>
        <v>PVC</v>
      </c>
      <c r="B37" t="s">
        <v>129</v>
      </c>
      <c r="D37" s="147">
        <f>T73</f>
        <v>0</v>
      </c>
      <c r="E37" s="147">
        <f>U73</f>
        <v>0.5</v>
      </c>
      <c r="F37" s="147">
        <f>V73</f>
        <v>0.5</v>
      </c>
      <c r="G37" s="7"/>
      <c r="H37" s="38">
        <f t="shared" si="3"/>
        <v>0</v>
      </c>
      <c r="I37" s="38">
        <f t="shared" si="4"/>
        <v>1.155</v>
      </c>
      <c r="J37" s="38">
        <f t="shared" si="5"/>
        <v>3.3399999999999999E-2</v>
      </c>
      <c r="K37" s="148">
        <f t="shared" si="6"/>
        <v>1.1884000000000001</v>
      </c>
      <c r="L37" s="7"/>
      <c r="M37">
        <f t="shared" si="7"/>
        <v>0</v>
      </c>
      <c r="N37">
        <f t="shared" si="8"/>
        <v>4.875</v>
      </c>
      <c r="O37">
        <f t="shared" si="9"/>
        <v>0.1245</v>
      </c>
      <c r="P37" s="148">
        <f t="shared" si="10"/>
        <v>4.9995000000000003</v>
      </c>
      <c r="R37" s="42" t="str">
        <f>D271</f>
        <v>PVC</v>
      </c>
      <c r="S37">
        <f>G271</f>
        <v>0</v>
      </c>
      <c r="T37">
        <f>G274</f>
        <v>2.31</v>
      </c>
      <c r="U37">
        <f>G277</f>
        <v>6.6799999999999998E-2</v>
      </c>
      <c r="V37" s="134"/>
      <c r="W37">
        <f>I271</f>
        <v>0</v>
      </c>
      <c r="X37">
        <f>I274</f>
        <v>9.75</v>
      </c>
      <c r="Y37">
        <f>I277</f>
        <v>0.249</v>
      </c>
    </row>
    <row r="38" spans="1:32" x14ac:dyDescent="0.3">
      <c r="A38" t="str">
        <f t="shared" si="0"/>
        <v>LDPE</v>
      </c>
      <c r="B38" t="s">
        <v>127</v>
      </c>
      <c r="D38" s="147">
        <f>T73</f>
        <v>0</v>
      </c>
      <c r="E38" s="147">
        <f>U73</f>
        <v>0.5</v>
      </c>
      <c r="F38" s="147">
        <f>V73</f>
        <v>0.5</v>
      </c>
      <c r="G38" s="7"/>
      <c r="H38" s="38">
        <f t="shared" si="3"/>
        <v>0</v>
      </c>
      <c r="I38" s="38">
        <f t="shared" si="4"/>
        <v>1.4950000000000001</v>
      </c>
      <c r="J38" s="38">
        <f t="shared" si="5"/>
        <v>5.8999999999999997E-2</v>
      </c>
      <c r="K38" s="148">
        <f t="shared" si="6"/>
        <v>1.554</v>
      </c>
      <c r="L38" s="7"/>
      <c r="M38">
        <f t="shared" si="7"/>
        <v>0</v>
      </c>
      <c r="N38">
        <f t="shared" si="8"/>
        <v>7.3499999999999996E-2</v>
      </c>
      <c r="O38">
        <f t="shared" si="9"/>
        <v>0.11550000000000001</v>
      </c>
      <c r="P38" s="148">
        <f t="shared" si="10"/>
        <v>0.189</v>
      </c>
      <c r="R38" s="42" t="str">
        <f>D291</f>
        <v>LDPE</v>
      </c>
      <c r="S38">
        <f>G291</f>
        <v>0</v>
      </c>
      <c r="T38">
        <f>G294</f>
        <v>2.99</v>
      </c>
      <c r="U38">
        <f>G297</f>
        <v>0.11799999999999999</v>
      </c>
      <c r="V38" s="134"/>
      <c r="W38">
        <f>I291</f>
        <v>0</v>
      </c>
      <c r="X38">
        <f>I294</f>
        <v>0.14699999999999999</v>
      </c>
      <c r="Y38">
        <f>I297</f>
        <v>0.23100000000000001</v>
      </c>
      <c r="Z38" s="42"/>
      <c r="AA38" s="42"/>
      <c r="AB38" s="42"/>
    </row>
    <row r="39" spans="1:32" x14ac:dyDescent="0.3">
      <c r="A39" t="str">
        <f t="shared" si="0"/>
        <v>HDPE</v>
      </c>
      <c r="B39" t="s">
        <v>125</v>
      </c>
      <c r="D39" s="147">
        <f>T73</f>
        <v>0</v>
      </c>
      <c r="E39" s="147">
        <f>U73</f>
        <v>0.5</v>
      </c>
      <c r="F39" s="147">
        <f>V73</f>
        <v>0.5</v>
      </c>
      <c r="G39" s="7"/>
      <c r="H39" s="38">
        <f t="shared" si="3"/>
        <v>0</v>
      </c>
      <c r="I39" s="38">
        <f t="shared" si="4"/>
        <v>1.4950000000000001</v>
      </c>
      <c r="J39" s="38">
        <f t="shared" si="5"/>
        <v>5.8999999999999997E-2</v>
      </c>
      <c r="K39" s="148">
        <f t="shared" si="6"/>
        <v>1.554</v>
      </c>
      <c r="L39" s="7"/>
      <c r="M39">
        <f t="shared" si="7"/>
        <v>0</v>
      </c>
      <c r="N39">
        <f t="shared" si="8"/>
        <v>7.3499999999999996E-2</v>
      </c>
      <c r="O39">
        <f t="shared" si="9"/>
        <v>0.11550000000000001</v>
      </c>
      <c r="P39" s="148">
        <f t="shared" si="10"/>
        <v>0.189</v>
      </c>
      <c r="R39" s="42" t="str">
        <f>D281</f>
        <v>HDPE</v>
      </c>
      <c r="S39">
        <f>G281</f>
        <v>0</v>
      </c>
      <c r="T39">
        <f>G284</f>
        <v>2.99</v>
      </c>
      <c r="U39">
        <f>G287</f>
        <v>0.11799999999999999</v>
      </c>
      <c r="V39" s="134"/>
      <c r="W39">
        <f>I281</f>
        <v>0</v>
      </c>
      <c r="X39">
        <f>I284</f>
        <v>0.14699999999999999</v>
      </c>
      <c r="Y39">
        <f>I287</f>
        <v>0.23100000000000001</v>
      </c>
      <c r="Z39" s="42"/>
      <c r="AA39" s="42"/>
      <c r="AB39" s="42"/>
    </row>
    <row r="40" spans="1:32" x14ac:dyDescent="0.3">
      <c r="A40" t="str">
        <f t="shared" si="0"/>
        <v>teflon</v>
      </c>
      <c r="B40" s="42"/>
      <c r="D40" s="147">
        <f>T78</f>
        <v>0</v>
      </c>
      <c r="E40" s="147">
        <f t="shared" ref="E40:F40" si="15">U78</f>
        <v>0</v>
      </c>
      <c r="F40" s="147">
        <f t="shared" si="15"/>
        <v>1</v>
      </c>
      <c r="G40" s="7"/>
      <c r="H40" s="38">
        <f t="shared" si="3"/>
        <v>0</v>
      </c>
      <c r="I40" s="38">
        <f t="shared" si="4"/>
        <v>0</v>
      </c>
      <c r="J40" s="38">
        <f t="shared" si="5"/>
        <v>9.2799999999999994E-2</v>
      </c>
      <c r="K40" s="148">
        <f t="shared" si="6"/>
        <v>9.2799999999999994E-2</v>
      </c>
      <c r="L40" s="7"/>
      <c r="M40">
        <f t="shared" si="7"/>
        <v>0</v>
      </c>
      <c r="N40">
        <f t="shared" si="8"/>
        <v>0</v>
      </c>
      <c r="O40">
        <f t="shared" si="9"/>
        <v>0.254</v>
      </c>
      <c r="P40" s="148">
        <f t="shared" si="10"/>
        <v>0.254</v>
      </c>
      <c r="R40" t="s">
        <v>1223</v>
      </c>
      <c r="S40">
        <f>G301</f>
        <v>0</v>
      </c>
      <c r="T40">
        <f>G304</f>
        <v>2.34</v>
      </c>
      <c r="U40">
        <f>G307</f>
        <v>9.2799999999999994E-2</v>
      </c>
      <c r="V40" s="134"/>
      <c r="W40">
        <f>I301</f>
        <v>0</v>
      </c>
      <c r="X40">
        <f>I304</f>
        <v>0.52400000000000002</v>
      </c>
      <c r="Y40">
        <f>I307</f>
        <v>0.254</v>
      </c>
      <c r="Z40" s="42"/>
      <c r="AA40" s="42"/>
      <c r="AB40" s="42"/>
    </row>
    <row r="41" spans="1:32" x14ac:dyDescent="0.3">
      <c r="A41" t="s">
        <v>1258</v>
      </c>
      <c r="B41" s="42"/>
      <c r="D41" s="147">
        <f>T78</f>
        <v>0</v>
      </c>
      <c r="E41" s="147">
        <f t="shared" ref="E41:F41" si="16">U78</f>
        <v>0</v>
      </c>
      <c r="F41" s="147">
        <f t="shared" si="16"/>
        <v>1</v>
      </c>
      <c r="G41" s="7"/>
      <c r="H41" s="38">
        <f t="shared" ref="H41" si="17">D41*S41</f>
        <v>0</v>
      </c>
      <c r="I41" s="38">
        <f t="shared" ref="I41" si="18">E41*T41</f>
        <v>0</v>
      </c>
      <c r="J41" s="38">
        <f t="shared" ref="J41" si="19">F41*U41</f>
        <v>0.62</v>
      </c>
      <c r="K41" s="148">
        <f t="shared" ref="K41" si="20">SUM(H41:J41)</f>
        <v>0.62</v>
      </c>
      <c r="L41" s="7"/>
      <c r="M41">
        <f t="shared" ref="M41" si="21">D41*W41</f>
        <v>0</v>
      </c>
      <c r="N41">
        <f t="shared" ref="N41" si="22">E41*X41</f>
        <v>0</v>
      </c>
      <c r="O41">
        <f t="shared" ref="O41" si="23">F41*Y41</f>
        <v>0.31900000000000001</v>
      </c>
      <c r="P41" s="148">
        <f t="shared" ref="P41" si="24">SUM(M41:O41)</f>
        <v>0.31900000000000001</v>
      </c>
      <c r="R41" t="s">
        <v>1345</v>
      </c>
      <c r="S41">
        <f>G311</f>
        <v>0</v>
      </c>
      <c r="T41">
        <f>G314</f>
        <v>3.15</v>
      </c>
      <c r="U41">
        <f>G317</f>
        <v>0.62</v>
      </c>
      <c r="V41" s="134"/>
      <c r="W41">
        <f>I311</f>
        <v>0</v>
      </c>
      <c r="X41">
        <f>I314</f>
        <v>0.45400000000000001</v>
      </c>
      <c r="Y41">
        <f>I317</f>
        <v>0.31900000000000001</v>
      </c>
      <c r="Z41" s="42"/>
      <c r="AA41" s="42"/>
      <c r="AB41" s="42"/>
    </row>
    <row r="42" spans="1:32" x14ac:dyDescent="0.3">
      <c r="A42">
        <f t="shared" si="0"/>
        <v>0</v>
      </c>
      <c r="B42" s="42"/>
      <c r="G42" s="7"/>
      <c r="H42" s="38">
        <f t="shared" si="3"/>
        <v>0</v>
      </c>
      <c r="I42" s="38">
        <f t="shared" si="4"/>
        <v>0</v>
      </c>
      <c r="J42" s="38">
        <f t="shared" si="5"/>
        <v>0</v>
      </c>
      <c r="K42" s="148">
        <f t="shared" si="6"/>
        <v>0</v>
      </c>
      <c r="L42" s="7"/>
      <c r="M42">
        <f t="shared" si="7"/>
        <v>0</v>
      </c>
      <c r="N42">
        <f t="shared" si="8"/>
        <v>0</v>
      </c>
      <c r="O42">
        <f t="shared" si="9"/>
        <v>0</v>
      </c>
      <c r="P42" s="148">
        <f t="shared" si="10"/>
        <v>0</v>
      </c>
      <c r="V42" s="134"/>
      <c r="Z42" s="42"/>
      <c r="AA42" s="42"/>
      <c r="AB42" s="42"/>
    </row>
    <row r="43" spans="1:32" x14ac:dyDescent="0.3">
      <c r="A43">
        <f t="shared" si="0"/>
        <v>0</v>
      </c>
      <c r="B43" s="42"/>
      <c r="G43" s="7"/>
      <c r="H43" s="38">
        <f t="shared" si="3"/>
        <v>0</v>
      </c>
      <c r="I43" s="38">
        <f t="shared" si="4"/>
        <v>0</v>
      </c>
      <c r="J43" s="38">
        <f t="shared" si="5"/>
        <v>0</v>
      </c>
      <c r="K43" s="148">
        <f t="shared" si="6"/>
        <v>0</v>
      </c>
      <c r="L43" s="7"/>
      <c r="M43">
        <f t="shared" si="7"/>
        <v>0</v>
      </c>
      <c r="N43">
        <f t="shared" si="8"/>
        <v>0</v>
      </c>
      <c r="O43">
        <f t="shared" si="9"/>
        <v>0</v>
      </c>
      <c r="P43" s="148">
        <f t="shared" si="10"/>
        <v>0</v>
      </c>
      <c r="V43" s="134"/>
      <c r="Z43" s="42"/>
      <c r="AA43" s="42"/>
      <c r="AB43" s="42"/>
    </row>
    <row r="44" spans="1:32" x14ac:dyDescent="0.3">
      <c r="A44" t="str">
        <f t="shared" si="0"/>
        <v>Tether</v>
      </c>
      <c r="B44" s="42" t="s">
        <v>14</v>
      </c>
      <c r="D44" s="147">
        <f>T73</f>
        <v>0</v>
      </c>
      <c r="E44" s="147">
        <f>U73</f>
        <v>0.5</v>
      </c>
      <c r="F44" s="147">
        <f>V73</f>
        <v>0.5</v>
      </c>
      <c r="G44" s="7"/>
      <c r="H44" s="38">
        <f t="shared" si="3"/>
        <v>0</v>
      </c>
      <c r="I44" s="38">
        <f t="shared" si="4"/>
        <v>1.4950000000000001</v>
      </c>
      <c r="J44" s="38">
        <f t="shared" si="5"/>
        <v>5.8999999999999997E-2</v>
      </c>
      <c r="K44" s="148">
        <f t="shared" si="6"/>
        <v>1.554</v>
      </c>
      <c r="L44" s="7"/>
      <c r="M44">
        <f t="shared" si="7"/>
        <v>0</v>
      </c>
      <c r="N44">
        <f t="shared" si="8"/>
        <v>7.3499999999999996E-2</v>
      </c>
      <c r="O44">
        <f t="shared" si="9"/>
        <v>0.125</v>
      </c>
      <c r="P44" s="148">
        <f t="shared" si="10"/>
        <v>0.19850000000000001</v>
      </c>
      <c r="R44" s="42" t="str">
        <f>D337</f>
        <v>Tether</v>
      </c>
      <c r="S44">
        <f>G337</f>
        <v>0</v>
      </c>
      <c r="T44">
        <f>G340</f>
        <v>2.99</v>
      </c>
      <c r="U44">
        <f>G343</f>
        <v>0.11799999999999999</v>
      </c>
      <c r="V44" s="134"/>
      <c r="W44">
        <f>I337</f>
        <v>0</v>
      </c>
      <c r="X44">
        <f>I340</f>
        <v>0.14699999999999999</v>
      </c>
      <c r="Y44">
        <f>I343</f>
        <v>0.25</v>
      </c>
      <c r="Z44" s="42"/>
      <c r="AA44" s="42"/>
      <c r="AB44" s="42"/>
    </row>
    <row r="45" spans="1:32" x14ac:dyDescent="0.3">
      <c r="A45" t="str">
        <f t="shared" si="0"/>
        <v>Tether coating</v>
      </c>
      <c r="B45" s="42" t="s">
        <v>346</v>
      </c>
      <c r="D45" s="147">
        <f>T73</f>
        <v>0</v>
      </c>
      <c r="E45" s="147">
        <f>U73</f>
        <v>0.5</v>
      </c>
      <c r="F45" s="147">
        <f>V73</f>
        <v>0.5</v>
      </c>
      <c r="G45" s="7"/>
      <c r="H45" s="38">
        <f t="shared" si="3"/>
        <v>0</v>
      </c>
      <c r="I45" s="38">
        <f t="shared" si="4"/>
        <v>0.25900000000000001</v>
      </c>
      <c r="J45" s="38">
        <f t="shared" si="5"/>
        <v>0.31</v>
      </c>
      <c r="K45" s="148">
        <f t="shared" si="6"/>
        <v>0.56899999999999995</v>
      </c>
      <c r="L45" s="7"/>
      <c r="M45">
        <f t="shared" si="7"/>
        <v>0</v>
      </c>
      <c r="N45">
        <f t="shared" si="8"/>
        <v>0.18099999999999999</v>
      </c>
      <c r="O45">
        <f t="shared" si="9"/>
        <v>0.1595</v>
      </c>
      <c r="P45" s="148">
        <f t="shared" si="10"/>
        <v>0.34050000000000002</v>
      </c>
      <c r="R45" s="42" t="str">
        <f>D325</f>
        <v>Tether coating</v>
      </c>
      <c r="S45">
        <f>G325</f>
        <v>0</v>
      </c>
      <c r="T45">
        <f>G328</f>
        <v>0.51800000000000002</v>
      </c>
      <c r="U45">
        <f>G333</f>
        <v>0.62</v>
      </c>
      <c r="V45" s="134"/>
      <c r="W45">
        <f>I325</f>
        <v>0</v>
      </c>
      <c r="X45">
        <f>I328</f>
        <v>0.36199999999999999</v>
      </c>
      <c r="Y45">
        <f>I333</f>
        <v>0.31900000000000001</v>
      </c>
      <c r="Z45" s="42"/>
      <c r="AA45" s="42"/>
      <c r="AB45" s="42"/>
    </row>
    <row r="46" spans="1:32" x14ac:dyDescent="0.3">
      <c r="A46" t="str">
        <f t="shared" si="0"/>
        <v>CFRP</v>
      </c>
      <c r="B46" s="42" t="s">
        <v>6</v>
      </c>
      <c r="D46" s="147">
        <f>T72</f>
        <v>0</v>
      </c>
      <c r="E46" s="147">
        <f t="shared" ref="E46:F46" si="25">U72</f>
        <v>0</v>
      </c>
      <c r="F46" s="147">
        <f t="shared" si="25"/>
        <v>1</v>
      </c>
      <c r="G46" s="7"/>
      <c r="H46" s="38">
        <f t="shared" si="3"/>
        <v>0</v>
      </c>
      <c r="I46" s="38">
        <f t="shared" si="4"/>
        <v>0</v>
      </c>
      <c r="J46" s="38">
        <f t="shared" si="5"/>
        <v>0.62</v>
      </c>
      <c r="K46" s="148">
        <f t="shared" si="6"/>
        <v>0.62</v>
      </c>
      <c r="L46" s="7"/>
      <c r="M46">
        <f t="shared" si="7"/>
        <v>0</v>
      </c>
      <c r="N46">
        <f t="shared" si="8"/>
        <v>0</v>
      </c>
      <c r="O46">
        <f t="shared" si="9"/>
        <v>0.31900000000000001</v>
      </c>
      <c r="P46" s="148">
        <f t="shared" si="10"/>
        <v>0.31900000000000001</v>
      </c>
      <c r="R46" s="42" t="str">
        <f>D348</f>
        <v>CFRP</v>
      </c>
      <c r="S46">
        <f>G348</f>
        <v>0</v>
      </c>
      <c r="T46">
        <f>G351</f>
        <v>0.51800000000000002</v>
      </c>
      <c r="U46">
        <f>G356</f>
        <v>0.62</v>
      </c>
      <c r="V46" s="134"/>
      <c r="W46">
        <f>I348</f>
        <v>0</v>
      </c>
      <c r="X46">
        <f>I351</f>
        <v>0.36199999999999999</v>
      </c>
      <c r="Y46">
        <f>I356</f>
        <v>0.31900000000000001</v>
      </c>
      <c r="Z46" s="42"/>
      <c r="AA46" s="42"/>
      <c r="AB46" s="42"/>
      <c r="AC46" s="42"/>
      <c r="AD46" s="42"/>
      <c r="AE46" s="42"/>
      <c r="AF46" s="42"/>
    </row>
    <row r="47" spans="1:32" x14ac:dyDescent="0.3">
      <c r="A47" t="str">
        <f t="shared" si="0"/>
        <v>GFRP</v>
      </c>
      <c r="B47" s="42" t="s">
        <v>123</v>
      </c>
      <c r="D47" s="147">
        <f>T72</f>
        <v>0</v>
      </c>
      <c r="E47" s="147">
        <f>U72</f>
        <v>0</v>
      </c>
      <c r="F47" s="147">
        <f>V72</f>
        <v>1</v>
      </c>
      <c r="G47" s="7"/>
      <c r="H47" s="38">
        <f t="shared" si="3"/>
        <v>0</v>
      </c>
      <c r="I47" s="38">
        <f t="shared" si="4"/>
        <v>0</v>
      </c>
      <c r="J47" s="38">
        <f t="shared" si="5"/>
        <v>0.62</v>
      </c>
      <c r="K47" s="148">
        <f t="shared" si="6"/>
        <v>0.62</v>
      </c>
      <c r="L47" s="7"/>
      <c r="M47">
        <f t="shared" si="7"/>
        <v>0</v>
      </c>
      <c r="N47">
        <f t="shared" si="8"/>
        <v>0</v>
      </c>
      <c r="O47">
        <f t="shared" si="9"/>
        <v>0.31900000000000001</v>
      </c>
      <c r="P47" s="148">
        <f t="shared" si="10"/>
        <v>0.31900000000000001</v>
      </c>
      <c r="R47" s="42" t="str">
        <f>D361</f>
        <v>GFRP</v>
      </c>
      <c r="S47">
        <f>G361</f>
        <v>0</v>
      </c>
      <c r="T47">
        <f>G364</f>
        <v>0.51800000000000002</v>
      </c>
      <c r="U47">
        <f>G369</f>
        <v>0.62</v>
      </c>
      <c r="V47" s="134"/>
      <c r="W47">
        <f>I361</f>
        <v>0</v>
      </c>
      <c r="X47">
        <f>I364</f>
        <v>0.36199999999999999</v>
      </c>
      <c r="Y47">
        <f>I369</f>
        <v>0.31900000000000001</v>
      </c>
      <c r="Z47" s="42"/>
      <c r="AA47" s="42"/>
      <c r="AB47" s="42"/>
      <c r="AC47" s="42"/>
      <c r="AD47" s="42"/>
      <c r="AE47" s="42"/>
      <c r="AF47" s="42"/>
    </row>
    <row r="48" spans="1:32" x14ac:dyDescent="0.3">
      <c r="A48" t="str">
        <f t="shared" si="0"/>
        <v>GFRP Glue</v>
      </c>
      <c r="B48" s="42"/>
      <c r="D48" s="147">
        <f>D46</f>
        <v>0</v>
      </c>
      <c r="E48" s="147">
        <f t="shared" ref="E48:F48" si="26">E46</f>
        <v>0</v>
      </c>
      <c r="F48" s="147">
        <f t="shared" si="26"/>
        <v>1</v>
      </c>
      <c r="G48" s="7"/>
      <c r="H48" s="38">
        <f t="shared" si="3"/>
        <v>0</v>
      </c>
      <c r="I48" s="38">
        <f t="shared" si="4"/>
        <v>0</v>
      </c>
      <c r="J48" s="38">
        <f t="shared" si="5"/>
        <v>0.62</v>
      </c>
      <c r="K48" s="148">
        <f t="shared" si="6"/>
        <v>0.62</v>
      </c>
      <c r="L48" s="7"/>
      <c r="M48">
        <f t="shared" si="7"/>
        <v>0</v>
      </c>
      <c r="N48">
        <f t="shared" si="8"/>
        <v>0</v>
      </c>
      <c r="O48">
        <f t="shared" si="9"/>
        <v>0.31900000000000001</v>
      </c>
      <c r="P48" s="148">
        <f t="shared" si="10"/>
        <v>0.31900000000000001</v>
      </c>
      <c r="R48" s="42" t="s">
        <v>356</v>
      </c>
      <c r="S48">
        <f>G373</f>
        <v>0</v>
      </c>
      <c r="T48" s="163">
        <f>G376</f>
        <v>0.51800000000000002</v>
      </c>
      <c r="U48">
        <f>G381</f>
        <v>0.62</v>
      </c>
      <c r="V48" s="134"/>
      <c r="W48">
        <f>I373</f>
        <v>0</v>
      </c>
      <c r="X48" s="163">
        <f>I376</f>
        <v>0.36199999999999999</v>
      </c>
      <c r="Y48">
        <f>I381</f>
        <v>0.31900000000000001</v>
      </c>
    </row>
    <row r="49" spans="1:25" x14ac:dyDescent="0.3">
      <c r="A49" t="s">
        <v>826</v>
      </c>
      <c r="B49" s="42" t="s">
        <v>826</v>
      </c>
      <c r="D49" s="147">
        <f>D46</f>
        <v>0</v>
      </c>
      <c r="E49" s="147">
        <f t="shared" ref="E49:F49" si="27">E46</f>
        <v>0</v>
      </c>
      <c r="F49" s="147">
        <f t="shared" si="27"/>
        <v>1</v>
      </c>
      <c r="G49" s="7"/>
      <c r="H49" s="38">
        <f t="shared" ref="H49" si="28">D49*S49</f>
        <v>0</v>
      </c>
      <c r="I49" s="38">
        <f t="shared" ref="I49" si="29">E49*T49</f>
        <v>0</v>
      </c>
      <c r="J49" s="38">
        <f t="shared" ref="J49" si="30">F49*U49</f>
        <v>0.62</v>
      </c>
      <c r="K49" s="148">
        <f t="shared" ref="K49" si="31">SUM(H49:J49)</f>
        <v>0.62</v>
      </c>
      <c r="L49" s="7"/>
      <c r="M49">
        <f t="shared" ref="M49" si="32">D49*W49</f>
        <v>0</v>
      </c>
      <c r="N49">
        <f t="shared" ref="N49" si="33">E49*X49</f>
        <v>0</v>
      </c>
      <c r="O49">
        <f t="shared" ref="O49" si="34">F49*Y49</f>
        <v>0.31900000000000001</v>
      </c>
      <c r="P49" s="148">
        <f t="shared" ref="P49" si="35">SUM(M49:O49)</f>
        <v>0.31900000000000001</v>
      </c>
      <c r="R49" s="42" t="s">
        <v>826</v>
      </c>
      <c r="S49">
        <f>G395</f>
        <v>0</v>
      </c>
      <c r="T49" s="163">
        <f>G398</f>
        <v>0.51800000000000002</v>
      </c>
      <c r="U49">
        <f>G401</f>
        <v>0.62</v>
      </c>
      <c r="V49" s="134"/>
      <c r="W49">
        <f>I395</f>
        <v>0</v>
      </c>
      <c r="X49" s="163">
        <f>I398</f>
        <v>0.36199999999999999</v>
      </c>
      <c r="Y49">
        <f>I401</f>
        <v>0.31900000000000001</v>
      </c>
    </row>
    <row r="50" spans="1:25" x14ac:dyDescent="0.3">
      <c r="A50" t="s">
        <v>562</v>
      </c>
      <c r="B50" t="s">
        <v>562</v>
      </c>
      <c r="D50" s="147">
        <f>T72</f>
        <v>0</v>
      </c>
      <c r="E50" s="147">
        <f t="shared" ref="E50:F50" si="36">U72</f>
        <v>0</v>
      </c>
      <c r="F50" s="147">
        <f t="shared" si="36"/>
        <v>1</v>
      </c>
      <c r="G50" s="7"/>
      <c r="H50" s="38">
        <f t="shared" ref="H50" si="37">D50*S50</f>
        <v>0</v>
      </c>
      <c r="I50" s="38">
        <f t="shared" ref="I50" si="38">E50*T50</f>
        <v>0</v>
      </c>
      <c r="J50" s="38">
        <f t="shared" ref="J50" si="39">F50*U50</f>
        <v>4.2100000000000002E-3</v>
      </c>
      <c r="K50" s="148">
        <f t="shared" ref="K50" si="40">SUM(H50:J50)</f>
        <v>4.2100000000000002E-3</v>
      </c>
      <c r="L50" s="7"/>
      <c r="M50">
        <f t="shared" ref="M50" si="41">D50*W50</f>
        <v>0</v>
      </c>
      <c r="N50">
        <f t="shared" ref="N50" si="42">E50*X50</f>
        <v>0</v>
      </c>
      <c r="O50">
        <f t="shared" ref="O50" si="43">F50*Y50</f>
        <v>0.14899999999999999</v>
      </c>
      <c r="P50" s="148">
        <f t="shared" ref="P50" si="44">SUM(M50:O50)</f>
        <v>0.14899999999999999</v>
      </c>
      <c r="R50" s="42" t="s">
        <v>562</v>
      </c>
      <c r="S50">
        <f>G385</f>
        <v>0</v>
      </c>
      <c r="T50" s="163">
        <f>G388</f>
        <v>1.2200000000000001E-2</v>
      </c>
      <c r="U50">
        <f>G391</f>
        <v>4.2100000000000002E-3</v>
      </c>
      <c r="V50" s="134"/>
      <c r="W50">
        <f>I385</f>
        <v>0</v>
      </c>
      <c r="X50" s="163">
        <f>I388</f>
        <v>0.27500000000000002</v>
      </c>
      <c r="Y50">
        <f>I391</f>
        <v>0.14899999999999999</v>
      </c>
    </row>
    <row r="51" spans="1:25" x14ac:dyDescent="0.3">
      <c r="A51" t="s">
        <v>2</v>
      </c>
      <c r="B51" t="s">
        <v>2</v>
      </c>
      <c r="D51" s="147">
        <f>D46</f>
        <v>0</v>
      </c>
      <c r="E51" s="147">
        <f t="shared" ref="E51:F51" si="45">E46</f>
        <v>0</v>
      </c>
      <c r="F51" s="147">
        <f t="shared" si="45"/>
        <v>1</v>
      </c>
      <c r="G51" s="7"/>
      <c r="H51" s="38">
        <f t="shared" si="3"/>
        <v>0</v>
      </c>
      <c r="I51" s="38">
        <f t="shared" si="4"/>
        <v>0</v>
      </c>
      <c r="J51" s="38">
        <f t="shared" si="5"/>
        <v>0.62</v>
      </c>
      <c r="K51" s="148">
        <f t="shared" si="6"/>
        <v>0.62</v>
      </c>
      <c r="L51" s="7"/>
      <c r="M51">
        <f t="shared" si="7"/>
        <v>0</v>
      </c>
      <c r="N51">
        <f t="shared" si="8"/>
        <v>0</v>
      </c>
      <c r="O51">
        <f t="shared" si="9"/>
        <v>0.31900000000000001</v>
      </c>
      <c r="P51" s="148">
        <f t="shared" si="10"/>
        <v>0.31900000000000001</v>
      </c>
      <c r="R51" s="42" t="s">
        <v>1323</v>
      </c>
      <c r="S51">
        <f>G405</f>
        <v>0</v>
      </c>
      <c r="T51">
        <f>G408</f>
        <v>0.51800000000000002</v>
      </c>
      <c r="U51">
        <f>G411</f>
        <v>0.62</v>
      </c>
      <c r="V51" s="134"/>
      <c r="W51">
        <f>I405</f>
        <v>0</v>
      </c>
      <c r="X51">
        <f>I408</f>
        <v>0.36199999999999999</v>
      </c>
      <c r="Y51">
        <f>I411</f>
        <v>0.31900000000000001</v>
      </c>
    </row>
    <row r="52" spans="1:25" x14ac:dyDescent="0.3">
      <c r="A52">
        <f t="shared" si="0"/>
        <v>0</v>
      </c>
      <c r="G52" s="7"/>
      <c r="H52" s="38">
        <f t="shared" si="3"/>
        <v>0</v>
      </c>
      <c r="I52" s="38">
        <f t="shared" si="4"/>
        <v>0</v>
      </c>
      <c r="J52" s="38">
        <f t="shared" si="5"/>
        <v>0</v>
      </c>
      <c r="K52" s="148">
        <f t="shared" si="6"/>
        <v>0</v>
      </c>
      <c r="L52" s="7"/>
      <c r="M52">
        <f t="shared" si="7"/>
        <v>0</v>
      </c>
      <c r="N52">
        <f t="shared" si="8"/>
        <v>0</v>
      </c>
      <c r="O52">
        <f t="shared" si="9"/>
        <v>0</v>
      </c>
      <c r="P52" s="148">
        <f t="shared" si="10"/>
        <v>0</v>
      </c>
      <c r="V52" s="134"/>
    </row>
    <row r="53" spans="1:25" x14ac:dyDescent="0.3">
      <c r="A53" t="str">
        <f t="shared" si="0"/>
        <v>Lubricant</v>
      </c>
      <c r="B53">
        <v>0</v>
      </c>
      <c r="D53" s="147">
        <f>T77</f>
        <v>0</v>
      </c>
      <c r="E53" s="147">
        <f>U77</f>
        <v>1</v>
      </c>
      <c r="F53" s="147">
        <f>V77</f>
        <v>0</v>
      </c>
      <c r="G53" s="7"/>
      <c r="H53" s="38">
        <f t="shared" si="3"/>
        <v>0</v>
      </c>
      <c r="I53" s="38">
        <f t="shared" si="4"/>
        <v>0.51800000000000002</v>
      </c>
      <c r="J53" s="38">
        <f t="shared" si="5"/>
        <v>0</v>
      </c>
      <c r="K53" s="148">
        <f t="shared" si="6"/>
        <v>0.51800000000000002</v>
      </c>
      <c r="L53" s="7"/>
      <c r="M53">
        <f t="shared" si="7"/>
        <v>0</v>
      </c>
      <c r="N53">
        <f t="shared" si="8"/>
        <v>0.36199999999999999</v>
      </c>
      <c r="O53">
        <f t="shared" si="9"/>
        <v>0</v>
      </c>
      <c r="P53" s="148">
        <f t="shared" si="10"/>
        <v>0.36199999999999999</v>
      </c>
      <c r="R53" s="42" t="str">
        <f>D545</f>
        <v>Lubricant</v>
      </c>
      <c r="S53">
        <f>G545</f>
        <v>0</v>
      </c>
      <c r="T53">
        <f>G548</f>
        <v>0.51800000000000002</v>
      </c>
      <c r="U53">
        <f>G551</f>
        <v>0.62</v>
      </c>
      <c r="V53" s="134"/>
      <c r="W53">
        <f>I545</f>
        <v>0</v>
      </c>
      <c r="X53">
        <f>I548</f>
        <v>0.36199999999999999</v>
      </c>
      <c r="Y53">
        <f>I551</f>
        <v>0.31900000000000001</v>
      </c>
    </row>
    <row r="54" spans="1:25" x14ac:dyDescent="0.3">
      <c r="A54" t="str">
        <f t="shared" si="0"/>
        <v>coolant</v>
      </c>
      <c r="B54">
        <v>0</v>
      </c>
      <c r="D54" s="1">
        <f>T77</f>
        <v>0</v>
      </c>
      <c r="E54" s="1">
        <f>U77</f>
        <v>1</v>
      </c>
      <c r="F54" s="1">
        <f>V77</f>
        <v>0</v>
      </c>
      <c r="G54" s="7"/>
      <c r="H54" s="38">
        <f t="shared" si="3"/>
        <v>0</v>
      </c>
      <c r="I54" s="38">
        <f t="shared" si="4"/>
        <v>0.51800000000000002</v>
      </c>
      <c r="J54" s="38">
        <f t="shared" si="5"/>
        <v>0</v>
      </c>
      <c r="K54" s="148">
        <f t="shared" si="6"/>
        <v>0.51800000000000002</v>
      </c>
      <c r="L54" s="7"/>
      <c r="M54">
        <f t="shared" si="7"/>
        <v>0</v>
      </c>
      <c r="N54">
        <f t="shared" si="8"/>
        <v>0.36199999999999999</v>
      </c>
      <c r="O54">
        <f t="shared" si="9"/>
        <v>0</v>
      </c>
      <c r="P54" s="148">
        <f t="shared" si="10"/>
        <v>0.36199999999999999</v>
      </c>
      <c r="R54" s="42" t="str">
        <f>D556</f>
        <v>coolant</v>
      </c>
      <c r="S54">
        <f>G556</f>
        <v>0</v>
      </c>
      <c r="T54">
        <f>G559</f>
        <v>0.51800000000000002</v>
      </c>
      <c r="U54">
        <f>G562</f>
        <v>0.62</v>
      </c>
      <c r="V54" s="134"/>
      <c r="W54">
        <f>I556</f>
        <v>0</v>
      </c>
      <c r="X54">
        <f>I559</f>
        <v>0.36199999999999999</v>
      </c>
      <c r="Y54">
        <f>I562</f>
        <v>0.31900000000000001</v>
      </c>
    </row>
    <row r="55" spans="1:25" x14ac:dyDescent="0.3">
      <c r="M55">
        <f t="shared" si="7"/>
        <v>0</v>
      </c>
      <c r="N55">
        <f t="shared" si="8"/>
        <v>0</v>
      </c>
      <c r="O55">
        <f t="shared" si="9"/>
        <v>0</v>
      </c>
    </row>
    <row r="62" spans="1:25" x14ac:dyDescent="0.3">
      <c r="B62" s="379" t="s">
        <v>385</v>
      </c>
      <c r="C62" s="379"/>
      <c r="D62" s="379"/>
      <c r="E62" s="379"/>
      <c r="F62" s="379"/>
      <c r="G62" s="379"/>
      <c r="H62" s="379"/>
      <c r="I62" s="379"/>
      <c r="J62" s="379"/>
      <c r="K62" s="379"/>
    </row>
    <row r="63" spans="1:25" x14ac:dyDescent="0.3">
      <c r="G63" t="s">
        <v>32</v>
      </c>
      <c r="N63" t="s">
        <v>388</v>
      </c>
    </row>
    <row r="64" spans="1:25" x14ac:dyDescent="0.3">
      <c r="D64" t="s">
        <v>382</v>
      </c>
      <c r="E64" t="s">
        <v>381</v>
      </c>
      <c r="F64" t="s">
        <v>380</v>
      </c>
      <c r="G64">
        <v>0.62</v>
      </c>
    </row>
    <row r="65" spans="2:29" x14ac:dyDescent="0.3">
      <c r="N65" s="26" t="s">
        <v>387</v>
      </c>
      <c r="O65" s="146"/>
      <c r="P65" s="146"/>
    </row>
    <row r="66" spans="2:29" x14ac:dyDescent="0.3">
      <c r="N66" s="9" t="s">
        <v>386</v>
      </c>
    </row>
    <row r="67" spans="2:29" x14ac:dyDescent="0.3">
      <c r="N67" s="31" t="s">
        <v>384</v>
      </c>
      <c r="S67" s="259" t="s">
        <v>396</v>
      </c>
      <c r="T67" s="153"/>
      <c r="U67" s="153"/>
      <c r="V67" s="153"/>
      <c r="W67" s="153"/>
    </row>
    <row r="68" spans="2:29" x14ac:dyDescent="0.3">
      <c r="N68" s="44" t="s">
        <v>383</v>
      </c>
      <c r="S68" s="71">
        <v>0</v>
      </c>
      <c r="T68" s="71" t="s">
        <v>316</v>
      </c>
      <c r="U68" s="71" t="s">
        <v>945</v>
      </c>
      <c r="V68" s="71" t="s">
        <v>314</v>
      </c>
    </row>
    <row r="69" spans="2:29" x14ac:dyDescent="0.3">
      <c r="N69" s="79" t="s">
        <v>379</v>
      </c>
      <c r="Q69" s="42"/>
      <c r="S69" s="71" t="s">
        <v>946</v>
      </c>
      <c r="T69" s="149">
        <v>0.92</v>
      </c>
      <c r="U69" s="149">
        <v>0</v>
      </c>
      <c r="V69" s="149">
        <v>0.08</v>
      </c>
      <c r="W69" t="s">
        <v>395</v>
      </c>
    </row>
    <row r="70" spans="2:29" x14ac:dyDescent="0.3">
      <c r="B70" s="379" t="s">
        <v>377</v>
      </c>
      <c r="C70" s="379"/>
      <c r="D70" s="379"/>
      <c r="E70" s="379"/>
      <c r="F70" s="379"/>
      <c r="G70" s="379"/>
      <c r="H70" s="379"/>
      <c r="I70" s="379"/>
      <c r="J70" s="379"/>
      <c r="K70" s="379"/>
      <c r="N70" s="146" t="s">
        <v>378</v>
      </c>
      <c r="S70" s="71" t="s">
        <v>678</v>
      </c>
      <c r="T70" s="149">
        <v>0.92</v>
      </c>
      <c r="U70" s="149">
        <v>0</v>
      </c>
      <c r="V70" s="149">
        <v>0.08</v>
      </c>
      <c r="W70" t="s">
        <v>394</v>
      </c>
    </row>
    <row r="71" spans="2:29" x14ac:dyDescent="0.3">
      <c r="Q71" s="42"/>
      <c r="S71" s="71" t="s">
        <v>947</v>
      </c>
      <c r="T71" s="149">
        <v>0.92</v>
      </c>
      <c r="U71" s="149">
        <v>0</v>
      </c>
      <c r="V71" s="149">
        <v>0.08</v>
      </c>
      <c r="W71" t="s">
        <v>141</v>
      </c>
    </row>
    <row r="72" spans="2:29" x14ac:dyDescent="0.3">
      <c r="Q72" s="42"/>
      <c r="S72" s="71" t="s">
        <v>6</v>
      </c>
      <c r="T72" s="149">
        <v>0</v>
      </c>
      <c r="U72" s="149">
        <v>0</v>
      </c>
      <c r="V72" s="149">
        <v>1</v>
      </c>
      <c r="X72" t="s">
        <v>1324</v>
      </c>
      <c r="AB72" t="s">
        <v>1048</v>
      </c>
      <c r="AC72" t="s">
        <v>1325</v>
      </c>
    </row>
    <row r="73" spans="2:29" x14ac:dyDescent="0.3">
      <c r="E73" s="42"/>
      <c r="F73" s="140"/>
      <c r="G73" s="140" t="s">
        <v>32</v>
      </c>
      <c r="H73" s="140"/>
      <c r="I73" s="139" t="s">
        <v>162</v>
      </c>
      <c r="J73" s="139"/>
      <c r="M73" s="42" t="s">
        <v>376</v>
      </c>
      <c r="N73" s="42" t="s">
        <v>375</v>
      </c>
      <c r="O73" s="42" t="s">
        <v>374</v>
      </c>
      <c r="Q73" s="42"/>
      <c r="S73" s="71" t="s">
        <v>148</v>
      </c>
      <c r="T73" s="149">
        <v>0</v>
      </c>
      <c r="U73" s="149">
        <v>0.5</v>
      </c>
      <c r="V73" s="149">
        <v>0.5</v>
      </c>
    </row>
    <row r="74" spans="2:29" x14ac:dyDescent="0.3">
      <c r="B74" s="391" t="s">
        <v>1602</v>
      </c>
      <c r="D74" s="387" t="s">
        <v>373</v>
      </c>
      <c r="E74" s="101" t="s">
        <v>316</v>
      </c>
      <c r="F74" s="99"/>
      <c r="G74" s="126"/>
      <c r="H74" s="99"/>
      <c r="I74" s="98"/>
      <c r="J74" s="97"/>
      <c r="K74" s="96"/>
      <c r="M74" s="105"/>
      <c r="O74" s="4"/>
      <c r="Q74" s="42"/>
      <c r="S74" s="71" t="s">
        <v>133</v>
      </c>
      <c r="T74" s="149">
        <v>0.5</v>
      </c>
      <c r="U74" s="149">
        <v>0</v>
      </c>
      <c r="V74" s="149">
        <v>0.5</v>
      </c>
      <c r="W74" t="s">
        <v>328</v>
      </c>
    </row>
    <row r="75" spans="2:29" x14ac:dyDescent="0.3">
      <c r="B75" s="391"/>
      <c r="D75" s="388"/>
      <c r="E75" s="95"/>
      <c r="F75" s="88"/>
      <c r="G75" s="88"/>
      <c r="H75" s="88"/>
      <c r="I75" s="86"/>
      <c r="J75" s="86"/>
      <c r="K75" s="85"/>
      <c r="M75" s="102"/>
      <c r="O75" s="5"/>
      <c r="Q75" s="42"/>
      <c r="S75" s="71" t="s">
        <v>73</v>
      </c>
      <c r="T75" s="321">
        <v>0</v>
      </c>
      <c r="U75" s="321">
        <v>0</v>
      </c>
      <c r="V75" s="321">
        <v>1</v>
      </c>
    </row>
    <row r="76" spans="2:29" x14ac:dyDescent="0.3">
      <c r="B76" s="391"/>
      <c r="D76" s="388"/>
      <c r="E76" s="95"/>
      <c r="F76" s="88"/>
      <c r="G76" s="88"/>
      <c r="H76" s="88"/>
      <c r="I76" s="86"/>
      <c r="J76" s="86"/>
      <c r="K76" s="85"/>
      <c r="M76" s="102"/>
      <c r="O76" s="5"/>
      <c r="Q76" s="42"/>
      <c r="S76" s="71" t="s">
        <v>298</v>
      </c>
      <c r="T76" s="149">
        <v>0</v>
      </c>
      <c r="U76" s="149">
        <v>0</v>
      </c>
      <c r="V76" s="149">
        <v>1</v>
      </c>
    </row>
    <row r="77" spans="2:29" x14ac:dyDescent="0.3">
      <c r="B77" s="391"/>
      <c r="D77" s="388"/>
      <c r="E77" s="94" t="s">
        <v>315</v>
      </c>
      <c r="F77" s="93"/>
      <c r="G77" s="119"/>
      <c r="H77" s="119"/>
      <c r="I77" s="119"/>
      <c r="J77" s="90"/>
      <c r="K77" s="89"/>
      <c r="M77" s="102"/>
      <c r="O77" s="5"/>
      <c r="Q77" s="42"/>
      <c r="S77" s="71" t="s">
        <v>948</v>
      </c>
      <c r="T77" s="149">
        <v>0</v>
      </c>
      <c r="U77" s="149">
        <v>1</v>
      </c>
      <c r="V77" s="149">
        <v>0</v>
      </c>
    </row>
    <row r="78" spans="2:29" x14ac:dyDescent="0.3">
      <c r="B78" s="391"/>
      <c r="D78" s="388"/>
      <c r="E78" s="86"/>
      <c r="F78" s="88"/>
      <c r="G78" s="115">
        <v>0.5312298620689655</v>
      </c>
      <c r="H78" s="87"/>
      <c r="I78" s="114">
        <v>-41.136538999999999</v>
      </c>
      <c r="J78" s="112" t="s">
        <v>919</v>
      </c>
      <c r="K78" s="85"/>
      <c r="M78" s="102"/>
      <c r="O78" s="5"/>
      <c r="Q78" s="42"/>
      <c r="S78" s="71" t="s">
        <v>949</v>
      </c>
      <c r="T78" s="149">
        <v>0</v>
      </c>
      <c r="U78" s="149">
        <v>0</v>
      </c>
      <c r="V78" s="149">
        <v>1</v>
      </c>
    </row>
    <row r="79" spans="2:29" x14ac:dyDescent="0.3">
      <c r="B79" s="391"/>
      <c r="D79" s="388"/>
      <c r="E79" s="86"/>
      <c r="F79" s="88"/>
      <c r="G79" s="87"/>
      <c r="H79" s="87"/>
      <c r="I79" s="86"/>
      <c r="J79" s="86"/>
      <c r="K79" s="85"/>
      <c r="M79" s="102"/>
      <c r="O79" s="5"/>
      <c r="S79" s="71" t="s">
        <v>130</v>
      </c>
      <c r="T79" s="149">
        <v>0</v>
      </c>
      <c r="U79" s="149">
        <v>0</v>
      </c>
      <c r="V79" s="149">
        <v>1</v>
      </c>
    </row>
    <row r="80" spans="2:29" x14ac:dyDescent="0.3">
      <c r="B80" s="391"/>
      <c r="D80" s="388"/>
      <c r="E80" s="94" t="s">
        <v>314</v>
      </c>
      <c r="F80" s="93"/>
      <c r="G80" s="15"/>
      <c r="H80" s="92"/>
      <c r="I80" s="91"/>
      <c r="J80" s="90"/>
      <c r="K80" s="89"/>
      <c r="M80" s="102"/>
      <c r="O80" s="5"/>
      <c r="S80" s="71" t="s">
        <v>330</v>
      </c>
      <c r="T80" s="149">
        <v>0.85</v>
      </c>
      <c r="U80" s="149">
        <v>0</v>
      </c>
      <c r="V80" s="149">
        <v>0.15</v>
      </c>
      <c r="X80" t="s">
        <v>1324</v>
      </c>
    </row>
    <row r="81" spans="2:24" x14ac:dyDescent="0.3">
      <c r="B81" s="391"/>
      <c r="D81" s="388"/>
      <c r="E81" s="88"/>
      <c r="F81" s="88"/>
      <c r="G81" s="87"/>
      <c r="H81" s="87"/>
      <c r="I81" s="86"/>
      <c r="J81" s="86"/>
      <c r="K81" s="85"/>
      <c r="M81" s="102"/>
      <c r="O81" s="5"/>
      <c r="S81" s="71" t="s">
        <v>19</v>
      </c>
      <c r="T81" s="149">
        <v>0.9</v>
      </c>
      <c r="U81" s="149">
        <v>0</v>
      </c>
      <c r="V81" s="149">
        <v>0.1</v>
      </c>
      <c r="X81" t="s">
        <v>1324</v>
      </c>
    </row>
    <row r="82" spans="2:24" x14ac:dyDescent="0.3">
      <c r="B82" s="391"/>
      <c r="D82" s="389"/>
      <c r="E82" s="84"/>
      <c r="F82" s="84"/>
      <c r="G82" s="83"/>
      <c r="H82" s="83"/>
      <c r="I82" s="82"/>
      <c r="J82" s="82"/>
      <c r="K82" s="81"/>
      <c r="M82" s="102"/>
      <c r="O82" s="5"/>
      <c r="S82" s="71" t="s">
        <v>950</v>
      </c>
      <c r="T82" s="149">
        <v>0.5</v>
      </c>
      <c r="U82" s="149">
        <v>0</v>
      </c>
      <c r="V82" s="149">
        <v>0.5</v>
      </c>
    </row>
    <row r="83" spans="2:24" x14ac:dyDescent="0.3">
      <c r="B83" s="391"/>
      <c r="M83" s="5"/>
      <c r="O83" s="5"/>
      <c r="S83" s="71" t="s">
        <v>14</v>
      </c>
      <c r="T83" s="149">
        <v>0</v>
      </c>
      <c r="U83" s="149">
        <v>0.5</v>
      </c>
      <c r="V83" s="149">
        <v>0.5</v>
      </c>
      <c r="W83" t="s">
        <v>393</v>
      </c>
    </row>
    <row r="84" spans="2:24" x14ac:dyDescent="0.3">
      <c r="B84" s="391"/>
      <c r="M84" s="5"/>
      <c r="O84" s="5"/>
      <c r="S84" s="71">
        <v>0</v>
      </c>
      <c r="T84" s="149">
        <v>0</v>
      </c>
      <c r="U84" s="149">
        <v>0</v>
      </c>
      <c r="V84" s="149">
        <v>0</v>
      </c>
    </row>
    <row r="85" spans="2:24" x14ac:dyDescent="0.3">
      <c r="B85" s="391"/>
      <c r="D85" s="387" t="s">
        <v>372</v>
      </c>
      <c r="E85" s="101" t="s">
        <v>316</v>
      </c>
      <c r="F85" s="99"/>
      <c r="G85" s="100"/>
      <c r="H85" s="99"/>
      <c r="I85" s="98"/>
      <c r="J85" s="97"/>
      <c r="K85" s="96"/>
      <c r="M85" s="102"/>
      <c r="O85" s="5"/>
    </row>
    <row r="86" spans="2:24" x14ac:dyDescent="0.3">
      <c r="B86" s="391"/>
      <c r="D86" s="388"/>
      <c r="E86" s="95"/>
      <c r="F86" s="88"/>
      <c r="G86" s="88"/>
      <c r="H86" s="88"/>
      <c r="I86" s="86"/>
      <c r="J86" s="86"/>
      <c r="K86" s="85"/>
      <c r="M86" s="102"/>
      <c r="O86" s="5"/>
    </row>
    <row r="87" spans="2:24" x14ac:dyDescent="0.3">
      <c r="B87" s="391"/>
      <c r="D87" s="388"/>
      <c r="E87" s="95"/>
      <c r="F87" s="88"/>
      <c r="G87" s="88"/>
      <c r="H87" s="88"/>
      <c r="I87" s="86"/>
      <c r="J87" s="86"/>
      <c r="K87" s="85"/>
      <c r="M87" s="102"/>
      <c r="O87" s="5"/>
    </row>
    <row r="88" spans="2:24" x14ac:dyDescent="0.3">
      <c r="B88" s="391"/>
      <c r="D88" s="388"/>
      <c r="E88" s="94" t="s">
        <v>315</v>
      </c>
      <c r="F88" s="93"/>
      <c r="G88" s="15"/>
      <c r="H88" s="92"/>
      <c r="I88" s="91"/>
      <c r="J88" s="90"/>
      <c r="K88" s="89"/>
      <c r="M88" s="102"/>
      <c r="O88" s="5"/>
    </row>
    <row r="89" spans="2:24" x14ac:dyDescent="0.3">
      <c r="B89" s="391"/>
      <c r="D89" s="388"/>
      <c r="E89" s="86"/>
      <c r="F89" s="88"/>
      <c r="G89" s="115">
        <v>-0.13613489655172412</v>
      </c>
      <c r="H89" s="87"/>
      <c r="I89" s="114">
        <v>-59.664703000000003</v>
      </c>
      <c r="J89" s="112" t="s">
        <v>920</v>
      </c>
      <c r="K89" s="85"/>
      <c r="M89" s="102"/>
      <c r="O89" s="5"/>
    </row>
    <row r="90" spans="2:24" x14ac:dyDescent="0.3">
      <c r="B90" s="391"/>
      <c r="D90" s="388"/>
      <c r="E90" s="86"/>
      <c r="F90" s="88"/>
      <c r="G90" s="104">
        <f>3.02</f>
        <v>3.02</v>
      </c>
      <c r="H90" s="87"/>
      <c r="I90" s="86"/>
      <c r="J90" s="86"/>
      <c r="K90" s="85"/>
      <c r="M90" s="102"/>
      <c r="O90" s="5"/>
    </row>
    <row r="91" spans="2:24" x14ac:dyDescent="0.3">
      <c r="B91" s="391"/>
      <c r="D91" s="388"/>
      <c r="E91" s="94" t="s">
        <v>314</v>
      </c>
      <c r="F91" s="93"/>
      <c r="G91" s="15"/>
      <c r="H91" s="92"/>
      <c r="I91" s="91"/>
      <c r="J91" s="90"/>
      <c r="K91" s="89"/>
      <c r="M91" s="102"/>
      <c r="O91" s="5"/>
    </row>
    <row r="92" spans="2:24" x14ac:dyDescent="0.3">
      <c r="B92" s="391"/>
      <c r="D92" s="388"/>
      <c r="E92" s="88"/>
      <c r="F92" s="88"/>
      <c r="G92" s="87"/>
      <c r="H92" s="87"/>
      <c r="I92" s="86"/>
      <c r="J92" s="86"/>
      <c r="K92" s="85"/>
      <c r="M92" s="102"/>
      <c r="O92" s="5"/>
    </row>
    <row r="93" spans="2:24" x14ac:dyDescent="0.3">
      <c r="B93" s="391"/>
      <c r="D93" s="389"/>
      <c r="E93" s="84"/>
      <c r="F93" s="84"/>
      <c r="G93" s="83"/>
      <c r="H93" s="83"/>
      <c r="I93" s="82"/>
      <c r="J93" s="82"/>
      <c r="K93" s="81"/>
      <c r="M93" s="102"/>
      <c r="O93" s="5"/>
    </row>
    <row r="94" spans="2:24" x14ac:dyDescent="0.3">
      <c r="B94" s="391"/>
      <c r="D94" s="145"/>
      <c r="E94" s="88"/>
      <c r="F94" s="88"/>
      <c r="G94" s="87"/>
      <c r="H94" s="87"/>
      <c r="I94" s="86"/>
      <c r="J94" s="86"/>
      <c r="M94" s="5"/>
      <c r="O94" s="5"/>
    </row>
    <row r="95" spans="2:24" x14ac:dyDescent="0.3">
      <c r="B95" s="391"/>
      <c r="M95" s="5"/>
      <c r="O95" s="5"/>
    </row>
    <row r="96" spans="2:24" x14ac:dyDescent="0.3">
      <c r="B96" s="391"/>
      <c r="D96" s="387" t="s">
        <v>371</v>
      </c>
      <c r="E96" s="101" t="s">
        <v>316</v>
      </c>
      <c r="F96" s="99"/>
      <c r="G96" s="100"/>
      <c r="H96" s="99"/>
      <c r="I96" s="98"/>
      <c r="J96" s="97"/>
      <c r="K96" s="96"/>
      <c r="M96" s="102"/>
      <c r="O96" s="5"/>
    </row>
    <row r="97" spans="2:15" x14ac:dyDescent="0.3">
      <c r="B97" s="391"/>
      <c r="D97" s="388"/>
      <c r="E97" s="95"/>
      <c r="F97" s="88"/>
      <c r="G97" s="88"/>
      <c r="H97" s="88"/>
      <c r="I97" s="86"/>
      <c r="J97" s="86"/>
      <c r="K97" s="85"/>
      <c r="M97" s="102"/>
      <c r="O97" s="5"/>
    </row>
    <row r="98" spans="2:15" x14ac:dyDescent="0.3">
      <c r="B98" s="391"/>
      <c r="D98" s="388"/>
      <c r="E98" s="95"/>
      <c r="F98" s="88"/>
      <c r="G98" s="88"/>
      <c r="H98" s="88"/>
      <c r="I98" s="86"/>
      <c r="J98" s="86"/>
      <c r="K98" s="85"/>
      <c r="M98" s="102"/>
      <c r="O98" s="5"/>
    </row>
    <row r="99" spans="2:15" x14ac:dyDescent="0.3">
      <c r="B99" s="391"/>
      <c r="D99" s="388"/>
      <c r="E99" s="94" t="s">
        <v>315</v>
      </c>
      <c r="F99" s="93"/>
      <c r="G99" s="119"/>
      <c r="H99" s="119"/>
      <c r="I99" s="119"/>
      <c r="J99" s="90"/>
      <c r="K99" s="89"/>
      <c r="M99" s="102"/>
      <c r="O99" s="5"/>
    </row>
    <row r="100" spans="2:15" x14ac:dyDescent="0.3">
      <c r="B100" s="391"/>
      <c r="D100" s="388"/>
      <c r="E100" s="86"/>
      <c r="F100" s="88"/>
      <c r="G100" s="115">
        <v>1.7864919827586205</v>
      </c>
      <c r="H100" s="87"/>
      <c r="I100" s="114">
        <v>-16.454615</v>
      </c>
      <c r="J100" s="112" t="s">
        <v>921</v>
      </c>
      <c r="K100" s="85"/>
      <c r="M100" s="102"/>
      <c r="O100" s="5"/>
    </row>
    <row r="101" spans="2:15" x14ac:dyDescent="0.3">
      <c r="B101" s="391"/>
      <c r="D101" s="388"/>
      <c r="E101" s="86"/>
      <c r="F101" s="88"/>
      <c r="G101" s="87"/>
      <c r="H101" s="87"/>
      <c r="I101" s="86"/>
      <c r="J101" s="86"/>
      <c r="K101" s="85"/>
      <c r="M101" s="102"/>
      <c r="O101" s="5"/>
    </row>
    <row r="102" spans="2:15" x14ac:dyDescent="0.3">
      <c r="B102" s="391"/>
      <c r="D102" s="388"/>
      <c r="E102" s="94" t="s">
        <v>314</v>
      </c>
      <c r="F102" s="93"/>
      <c r="G102" s="15"/>
      <c r="H102" s="92"/>
      <c r="I102" s="91"/>
      <c r="J102" s="90"/>
      <c r="K102" s="89"/>
      <c r="M102" s="102"/>
      <c r="O102" s="5"/>
    </row>
    <row r="103" spans="2:15" x14ac:dyDescent="0.3">
      <c r="B103" s="391"/>
      <c r="D103" s="388"/>
      <c r="E103" s="88"/>
      <c r="F103" s="88"/>
      <c r="G103" s="87"/>
      <c r="H103" s="87"/>
      <c r="I103" s="86"/>
      <c r="J103" s="86"/>
      <c r="K103" s="85"/>
      <c r="M103" s="102"/>
      <c r="O103" s="5"/>
    </row>
    <row r="104" spans="2:15" x14ac:dyDescent="0.3">
      <c r="B104" s="391"/>
      <c r="D104" s="389"/>
      <c r="E104" s="84"/>
      <c r="F104" s="84"/>
      <c r="G104" s="83"/>
      <c r="H104" s="83"/>
      <c r="I104" s="82"/>
      <c r="J104" s="82"/>
      <c r="K104" s="81"/>
      <c r="M104" s="102"/>
      <c r="O104" s="5"/>
    </row>
    <row r="105" spans="2:15" x14ac:dyDescent="0.3">
      <c r="C105" s="88"/>
      <c r="E105" s="42"/>
      <c r="F105" s="140"/>
      <c r="G105" s="140" t="s">
        <v>32</v>
      </c>
      <c r="H105" s="140"/>
      <c r="I105" s="139" t="s">
        <v>162</v>
      </c>
      <c r="J105" s="139"/>
      <c r="M105" s="5"/>
      <c r="O105" s="5"/>
    </row>
    <row r="106" spans="2:15" s="70" customFormat="1" x14ac:dyDescent="0.3">
      <c r="C106" s="144"/>
      <c r="E106" s="143"/>
      <c r="F106" s="142"/>
      <c r="G106" s="142"/>
      <c r="H106" s="142"/>
      <c r="I106" s="141"/>
      <c r="J106" s="141"/>
      <c r="M106" s="120"/>
      <c r="O106" s="120"/>
    </row>
    <row r="107" spans="2:15" s="70" customFormat="1" x14ac:dyDescent="0.3">
      <c r="C107" s="144"/>
      <c r="E107" s="143"/>
      <c r="F107" s="142"/>
      <c r="G107" s="142"/>
      <c r="H107" s="142"/>
      <c r="I107" s="141"/>
      <c r="J107" s="141"/>
      <c r="M107" s="120"/>
      <c r="O107" s="120"/>
    </row>
    <row r="108" spans="2:15" x14ac:dyDescent="0.3">
      <c r="C108" s="88"/>
      <c r="E108" s="42"/>
      <c r="F108" s="140"/>
      <c r="G108" s="140"/>
      <c r="H108" s="140"/>
      <c r="I108" s="139"/>
      <c r="J108" s="139"/>
      <c r="M108" s="5"/>
      <c r="O108" s="5"/>
    </row>
    <row r="109" spans="2:15" x14ac:dyDescent="0.3">
      <c r="B109" s="390" t="s">
        <v>370</v>
      </c>
      <c r="C109" s="110"/>
      <c r="D109" s="387" t="s">
        <v>369</v>
      </c>
      <c r="E109" s="101" t="s">
        <v>316</v>
      </c>
      <c r="F109" s="99"/>
      <c r="G109" s="100"/>
      <c r="H109" s="100"/>
      <c r="I109" s="100"/>
      <c r="J109" s="97"/>
      <c r="K109" s="96"/>
      <c r="M109" s="102"/>
      <c r="O109" s="5"/>
    </row>
    <row r="110" spans="2:15" x14ac:dyDescent="0.3">
      <c r="B110" s="390"/>
      <c r="C110" s="110"/>
      <c r="D110" s="388"/>
      <c r="E110" s="95"/>
      <c r="F110" s="88"/>
      <c r="G110" s="88"/>
      <c r="H110" s="88"/>
      <c r="I110" s="86"/>
      <c r="J110" s="86"/>
      <c r="K110" s="85"/>
      <c r="M110" s="102"/>
      <c r="O110" s="5"/>
    </row>
    <row r="111" spans="2:15" x14ac:dyDescent="0.3">
      <c r="B111" s="390"/>
      <c r="C111" s="110"/>
      <c r="D111" s="388"/>
      <c r="E111" s="95"/>
      <c r="F111" s="88"/>
      <c r="G111" s="88"/>
      <c r="H111" s="88"/>
      <c r="I111" s="86"/>
      <c r="J111" s="86"/>
      <c r="K111" s="85"/>
      <c r="M111" s="102"/>
      <c r="O111" s="5"/>
    </row>
    <row r="112" spans="2:15" x14ac:dyDescent="0.3">
      <c r="B112" s="390"/>
      <c r="C112" s="110"/>
      <c r="D112" s="388"/>
      <c r="E112" s="94" t="s">
        <v>315</v>
      </c>
      <c r="F112" s="93"/>
      <c r="G112" s="15">
        <f>G113</f>
        <v>9.8099999999999993E-3</v>
      </c>
      <c r="H112" s="92"/>
      <c r="I112" s="91">
        <f>I113</f>
        <v>0.19</v>
      </c>
      <c r="J112" s="90"/>
      <c r="K112" s="89"/>
      <c r="M112" s="102"/>
      <c r="O112" s="5"/>
    </row>
    <row r="113" spans="2:24" x14ac:dyDescent="0.3">
      <c r="B113" s="390"/>
      <c r="C113" s="110"/>
      <c r="D113" s="388"/>
      <c r="E113" s="86"/>
      <c r="F113" s="88"/>
      <c r="G113" s="104">
        <v>9.8099999999999993E-3</v>
      </c>
      <c r="H113" s="87"/>
      <c r="I113" s="103">
        <v>0.19</v>
      </c>
      <c r="J113" s="86" t="s">
        <v>933</v>
      </c>
      <c r="K113" s="85"/>
      <c r="M113" s="102" t="s">
        <v>12</v>
      </c>
      <c r="O113" s="5"/>
    </row>
    <row r="114" spans="2:24" x14ac:dyDescent="0.3">
      <c r="B114" s="390"/>
      <c r="C114" s="110"/>
      <c r="D114" s="388"/>
      <c r="E114" s="86"/>
      <c r="F114" s="88"/>
      <c r="G114" s="87"/>
      <c r="H114" s="87"/>
      <c r="I114" s="86"/>
      <c r="J114" s="86"/>
      <c r="K114" s="85"/>
      <c r="M114" s="102"/>
      <c r="O114" s="5"/>
    </row>
    <row r="115" spans="2:24" x14ac:dyDescent="0.3">
      <c r="B115" s="390"/>
      <c r="C115" s="110"/>
      <c r="D115" s="388"/>
      <c r="E115" s="94" t="s">
        <v>314</v>
      </c>
      <c r="F115" s="93"/>
      <c r="G115" s="15">
        <f>G116</f>
        <v>4.2100000000000002E-3</v>
      </c>
      <c r="H115" s="92"/>
      <c r="I115" s="91">
        <f>I116</f>
        <v>0.14899999999999999</v>
      </c>
      <c r="J115" s="90"/>
      <c r="K115" s="89"/>
      <c r="M115" s="102"/>
      <c r="O115" s="5"/>
    </row>
    <row r="116" spans="2:24" x14ac:dyDescent="0.3">
      <c r="B116" s="390"/>
      <c r="C116" s="110"/>
      <c r="D116" s="388"/>
      <c r="E116" s="88"/>
      <c r="F116" s="88"/>
      <c r="G116" s="104">
        <v>4.2100000000000002E-3</v>
      </c>
      <c r="H116" s="87"/>
      <c r="I116" s="103">
        <v>0.14899999999999999</v>
      </c>
      <c r="J116" s="86" t="s">
        <v>931</v>
      </c>
      <c r="K116" s="85" t="s">
        <v>932</v>
      </c>
      <c r="M116" s="102"/>
      <c r="O116" s="5"/>
    </row>
    <row r="117" spans="2:24" x14ac:dyDescent="0.3">
      <c r="B117" s="390"/>
      <c r="C117" s="110"/>
      <c r="D117" s="389"/>
      <c r="E117" s="84"/>
      <c r="F117" s="84"/>
      <c r="G117" s="83"/>
      <c r="H117" s="83"/>
      <c r="I117" s="82"/>
      <c r="J117" s="82"/>
      <c r="K117" s="81"/>
      <c r="M117" s="102"/>
      <c r="O117" s="5"/>
    </row>
    <row r="118" spans="2:24" x14ac:dyDescent="0.3">
      <c r="B118" s="390"/>
      <c r="C118" s="88"/>
      <c r="D118" s="88"/>
      <c r="E118" s="88"/>
      <c r="F118" s="88"/>
      <c r="G118" s="87"/>
      <c r="H118" s="87"/>
      <c r="I118" s="86"/>
      <c r="J118" s="86"/>
      <c r="M118" s="5"/>
      <c r="O118" s="5"/>
    </row>
    <row r="119" spans="2:24" x14ac:dyDescent="0.3">
      <c r="B119" s="390"/>
      <c r="C119" s="88"/>
      <c r="D119" s="88"/>
      <c r="E119" s="88"/>
      <c r="F119" s="88"/>
      <c r="G119" s="88"/>
      <c r="H119" s="88"/>
      <c r="I119" s="86"/>
      <c r="J119" s="86"/>
      <c r="M119" s="5"/>
      <c r="O119" s="5"/>
    </row>
    <row r="120" spans="2:24" x14ac:dyDescent="0.3">
      <c r="B120" s="390"/>
      <c r="C120" s="107"/>
      <c r="D120" s="387" t="s">
        <v>23</v>
      </c>
      <c r="E120" s="101" t="s">
        <v>316</v>
      </c>
      <c r="F120" s="99"/>
      <c r="G120" s="126"/>
      <c r="H120" s="99"/>
      <c r="I120" s="98"/>
      <c r="J120" s="97"/>
      <c r="K120" s="96"/>
      <c r="M120" s="102"/>
      <c r="O120" s="5"/>
    </row>
    <row r="121" spans="2:24" x14ac:dyDescent="0.3">
      <c r="B121" s="390"/>
      <c r="C121" s="107"/>
      <c r="D121" s="388"/>
      <c r="E121" s="95"/>
      <c r="F121" s="88"/>
      <c r="G121" s="88"/>
      <c r="H121" s="88"/>
      <c r="I121" s="86"/>
      <c r="J121" s="86"/>
      <c r="K121" s="85"/>
      <c r="M121" s="102"/>
      <c r="O121" s="5"/>
    </row>
    <row r="122" spans="2:24" x14ac:dyDescent="0.3">
      <c r="B122" s="390"/>
      <c r="C122" s="107"/>
      <c r="D122" s="388"/>
      <c r="E122" s="95"/>
      <c r="F122" s="88"/>
      <c r="G122" s="88"/>
      <c r="H122" s="88"/>
      <c r="I122" s="86"/>
      <c r="J122" s="86"/>
      <c r="K122" s="85"/>
      <c r="M122" s="102"/>
      <c r="O122" s="5"/>
    </row>
    <row r="123" spans="2:24" x14ac:dyDescent="0.3">
      <c r="B123" s="390"/>
      <c r="C123" s="107"/>
      <c r="D123" s="388"/>
      <c r="E123" s="94" t="s">
        <v>315</v>
      </c>
      <c r="F123" s="93"/>
      <c r="G123" s="15">
        <f>G124</f>
        <v>0.51800000000000002</v>
      </c>
      <c r="H123" s="92"/>
      <c r="I123" s="91">
        <f>I124</f>
        <v>0.36199999999999999</v>
      </c>
      <c r="J123" s="90"/>
      <c r="K123" s="89"/>
      <c r="M123" s="102"/>
      <c r="O123" s="5"/>
    </row>
    <row r="124" spans="2:24" x14ac:dyDescent="0.3">
      <c r="B124" s="390"/>
      <c r="C124" s="107"/>
      <c r="D124" s="388"/>
      <c r="E124" s="86"/>
      <c r="F124" s="88"/>
      <c r="G124" s="104">
        <v>0.51800000000000002</v>
      </c>
      <c r="H124" s="87"/>
      <c r="I124" s="103">
        <v>0.36199999999999999</v>
      </c>
      <c r="J124" s="86"/>
      <c r="K124" s="85"/>
      <c r="M124" s="102" t="s">
        <v>362</v>
      </c>
      <c r="O124" s="5"/>
      <c r="X124" s="135" t="s">
        <v>361</v>
      </c>
    </row>
    <row r="125" spans="2:24" x14ac:dyDescent="0.3">
      <c r="B125" s="390"/>
      <c r="C125" s="107"/>
      <c r="D125" s="388"/>
      <c r="E125" s="86"/>
      <c r="F125" s="88"/>
      <c r="G125" s="87"/>
      <c r="H125" s="87"/>
      <c r="I125" s="86"/>
      <c r="J125" s="86"/>
      <c r="K125" s="85"/>
      <c r="M125" s="102"/>
      <c r="O125" s="5"/>
      <c r="X125" s="135" t="s">
        <v>360</v>
      </c>
    </row>
    <row r="126" spans="2:24" x14ac:dyDescent="0.3">
      <c r="B126" s="390"/>
      <c r="C126" s="107"/>
      <c r="D126" s="388"/>
      <c r="E126" s="94" t="s">
        <v>314</v>
      </c>
      <c r="F126" s="93"/>
      <c r="G126" s="15">
        <f>G127</f>
        <v>0.62</v>
      </c>
      <c r="H126" s="92"/>
      <c r="I126" s="91">
        <f>I127</f>
        <v>0.31900000000000001</v>
      </c>
      <c r="J126" s="90"/>
      <c r="K126" s="89"/>
      <c r="L126" s="39"/>
      <c r="M126" s="102"/>
      <c r="O126" s="5"/>
    </row>
    <row r="127" spans="2:24" x14ac:dyDescent="0.3">
      <c r="B127" s="390"/>
      <c r="C127" s="107"/>
      <c r="D127" s="388"/>
      <c r="E127" s="88"/>
      <c r="F127" s="88"/>
      <c r="G127" s="104">
        <v>0.62</v>
      </c>
      <c r="H127" s="87"/>
      <c r="I127" s="103">
        <v>0.31900000000000001</v>
      </c>
      <c r="J127" s="257" t="s">
        <v>935</v>
      </c>
      <c r="K127" s="85"/>
      <c r="L127" s="39"/>
      <c r="M127" s="102"/>
      <c r="O127" s="5"/>
    </row>
    <row r="128" spans="2:24" x14ac:dyDescent="0.3">
      <c r="B128" s="390"/>
      <c r="C128" s="107"/>
      <c r="D128" s="389"/>
      <c r="E128" s="84"/>
      <c r="F128" s="84"/>
      <c r="G128" s="83"/>
      <c r="H128" s="83"/>
      <c r="I128" s="82"/>
      <c r="J128" s="82"/>
      <c r="K128" s="81"/>
      <c r="L128" s="39"/>
      <c r="M128" s="102"/>
      <c r="O128" s="5"/>
    </row>
    <row r="129" spans="2:15" x14ac:dyDescent="0.3">
      <c r="B129" s="390"/>
      <c r="C129" s="38"/>
      <c r="D129" s="38"/>
      <c r="E129" s="38"/>
      <c r="F129" s="38"/>
      <c r="G129" s="38"/>
      <c r="H129" s="38"/>
      <c r="I129" s="38"/>
      <c r="J129" s="86"/>
      <c r="M129" s="5"/>
      <c r="O129" s="5"/>
    </row>
    <row r="130" spans="2:15" x14ac:dyDescent="0.3">
      <c r="B130" s="390"/>
      <c r="C130" s="38"/>
      <c r="D130" s="38"/>
      <c r="E130" s="38"/>
      <c r="F130" s="38"/>
      <c r="G130" s="38"/>
      <c r="H130" s="38"/>
      <c r="I130" s="38"/>
      <c r="J130" s="86"/>
      <c r="M130" s="5"/>
      <c r="O130" s="5"/>
    </row>
    <row r="131" spans="2:15" x14ac:dyDescent="0.3">
      <c r="B131" s="390"/>
      <c r="C131" s="107"/>
      <c r="D131" s="387" t="s">
        <v>24</v>
      </c>
      <c r="E131" s="101" t="s">
        <v>316</v>
      </c>
      <c r="F131" s="99"/>
      <c r="G131" s="100"/>
      <c r="H131" s="99"/>
      <c r="I131" s="98"/>
      <c r="J131" s="97"/>
      <c r="K131" s="96"/>
      <c r="M131" s="105"/>
      <c r="O131" s="5"/>
    </row>
    <row r="132" spans="2:15" x14ac:dyDescent="0.3">
      <c r="B132" s="390"/>
      <c r="C132" s="107"/>
      <c r="D132" s="388"/>
      <c r="E132" s="95"/>
      <c r="F132" s="88"/>
      <c r="G132" s="88"/>
      <c r="H132" s="88"/>
      <c r="I132" s="86"/>
      <c r="J132" s="86"/>
      <c r="K132" s="85"/>
      <c r="M132" s="102"/>
      <c r="O132" s="5"/>
    </row>
    <row r="133" spans="2:15" x14ac:dyDescent="0.3">
      <c r="B133" s="390"/>
      <c r="C133" s="107"/>
      <c r="D133" s="388"/>
      <c r="E133" s="95"/>
      <c r="F133" s="88"/>
      <c r="G133" s="88"/>
      <c r="H133" s="88"/>
      <c r="I133" s="86"/>
      <c r="J133" s="86"/>
      <c r="K133" s="85"/>
      <c r="M133" s="102"/>
      <c r="O133" s="5"/>
    </row>
    <row r="134" spans="2:15" x14ac:dyDescent="0.3">
      <c r="B134" s="390"/>
      <c r="C134" s="107"/>
      <c r="D134" s="388"/>
      <c r="E134" s="94" t="s">
        <v>315</v>
      </c>
      <c r="F134" s="93"/>
      <c r="G134" s="15">
        <f>G135</f>
        <v>9.8099999999999993E-3</v>
      </c>
      <c r="H134" s="92"/>
      <c r="I134" s="91">
        <f>I135</f>
        <v>0.19</v>
      </c>
      <c r="J134" s="90"/>
      <c r="K134" s="89"/>
      <c r="M134" s="102"/>
      <c r="O134" s="5"/>
    </row>
    <row r="135" spans="2:15" x14ac:dyDescent="0.3">
      <c r="B135" s="390"/>
      <c r="C135" s="107"/>
      <c r="D135" s="388"/>
      <c r="E135" s="86"/>
      <c r="F135" s="88"/>
      <c r="G135" s="104">
        <v>9.8099999999999993E-3</v>
      </c>
      <c r="H135" s="87"/>
      <c r="I135" s="103">
        <v>0.19</v>
      </c>
      <c r="J135" s="86" t="s">
        <v>933</v>
      </c>
      <c r="K135" s="85"/>
      <c r="M135" s="102"/>
      <c r="O135" s="5"/>
    </row>
    <row r="136" spans="2:15" x14ac:dyDescent="0.3">
      <c r="B136" s="390"/>
      <c r="C136" s="107"/>
      <c r="D136" s="388"/>
      <c r="E136" s="86"/>
      <c r="F136" s="88"/>
      <c r="G136" s="87"/>
      <c r="H136" s="87"/>
      <c r="I136" s="86"/>
      <c r="J136" s="86"/>
      <c r="K136" s="85"/>
      <c r="M136" s="102" t="s">
        <v>12</v>
      </c>
      <c r="O136" s="5"/>
    </row>
    <row r="137" spans="2:15" x14ac:dyDescent="0.3">
      <c r="B137" s="390"/>
      <c r="C137" s="107"/>
      <c r="D137" s="388"/>
      <c r="E137" s="94" t="s">
        <v>314</v>
      </c>
      <c r="F137" s="93"/>
      <c r="G137" s="15">
        <f>G138</f>
        <v>4.2100000000000002E-3</v>
      </c>
      <c r="H137" s="92"/>
      <c r="I137" s="91">
        <f>I138</f>
        <v>0.14899999999999999</v>
      </c>
      <c r="J137" s="90"/>
      <c r="K137" s="89"/>
      <c r="M137" s="102"/>
      <c r="O137" s="5"/>
    </row>
    <row r="138" spans="2:15" x14ac:dyDescent="0.3">
      <c r="B138" s="390"/>
      <c r="C138" s="107"/>
      <c r="D138" s="388"/>
      <c r="E138" s="88"/>
      <c r="F138" s="88"/>
      <c r="G138" s="104">
        <v>4.2100000000000002E-3</v>
      </c>
      <c r="H138" s="87"/>
      <c r="I138" s="103">
        <v>0.14899999999999999</v>
      </c>
      <c r="J138" s="86" t="s">
        <v>931</v>
      </c>
      <c r="K138" s="85"/>
      <c r="M138" s="102"/>
      <c r="O138" s="5"/>
    </row>
    <row r="139" spans="2:15" x14ac:dyDescent="0.3">
      <c r="B139" s="390"/>
      <c r="C139" s="107"/>
      <c r="D139" s="389"/>
      <c r="E139" s="84"/>
      <c r="F139" s="84"/>
      <c r="G139" s="83"/>
      <c r="H139" s="83"/>
      <c r="I139" s="82"/>
      <c r="J139" s="82"/>
      <c r="K139" s="81"/>
      <c r="M139" s="102"/>
      <c r="O139" s="5"/>
    </row>
    <row r="140" spans="2:15" x14ac:dyDescent="0.3">
      <c r="B140" s="390"/>
      <c r="C140" s="38"/>
      <c r="D140" s="38"/>
      <c r="E140" s="38"/>
      <c r="F140" s="38"/>
      <c r="G140" s="38"/>
      <c r="H140" s="38"/>
      <c r="I140" s="38"/>
      <c r="J140" s="86"/>
      <c r="M140" s="5"/>
      <c r="O140" s="5"/>
    </row>
    <row r="141" spans="2:15" x14ac:dyDescent="0.3">
      <c r="B141" s="390"/>
      <c r="C141" s="38"/>
      <c r="D141" s="38"/>
      <c r="E141" s="38"/>
      <c r="F141" s="38"/>
      <c r="G141" s="38"/>
      <c r="H141" s="38"/>
      <c r="I141" s="38"/>
      <c r="J141" s="86"/>
      <c r="M141" s="5"/>
      <c r="O141" s="5"/>
    </row>
    <row r="142" spans="2:15" x14ac:dyDescent="0.3">
      <c r="B142" s="390"/>
      <c r="C142" s="110"/>
      <c r="D142" s="387" t="s">
        <v>113</v>
      </c>
      <c r="E142" s="101" t="s">
        <v>316</v>
      </c>
      <c r="F142" s="99"/>
      <c r="G142" s="126"/>
      <c r="H142" s="99"/>
      <c r="I142" s="98"/>
      <c r="J142" s="97"/>
      <c r="K142" s="96"/>
      <c r="M142" s="102"/>
      <c r="O142" s="5"/>
    </row>
    <row r="143" spans="2:15" x14ac:dyDescent="0.3">
      <c r="B143" s="390"/>
      <c r="C143" s="110"/>
      <c r="D143" s="388"/>
      <c r="E143" s="95"/>
      <c r="F143" s="88"/>
      <c r="G143" s="88"/>
      <c r="H143" s="88"/>
      <c r="I143" s="86"/>
      <c r="J143" s="86"/>
      <c r="K143" s="85"/>
      <c r="M143" s="102"/>
      <c r="O143" s="5"/>
    </row>
    <row r="144" spans="2:15" x14ac:dyDescent="0.3">
      <c r="B144" s="390"/>
      <c r="C144" s="110"/>
      <c r="D144" s="388"/>
      <c r="E144" s="95"/>
      <c r="F144" s="88"/>
      <c r="G144" s="88"/>
      <c r="H144" s="88"/>
      <c r="I144" s="86"/>
      <c r="J144" s="86"/>
      <c r="K144" s="85"/>
      <c r="M144" s="102"/>
      <c r="O144" s="5"/>
    </row>
    <row r="145" spans="2:15" x14ac:dyDescent="0.3">
      <c r="B145" s="390"/>
      <c r="C145" s="110"/>
      <c r="D145" s="388"/>
      <c r="E145" s="94" t="s">
        <v>315</v>
      </c>
      <c r="F145" s="93"/>
      <c r="G145" s="15">
        <f>G147</f>
        <v>1.41E-2</v>
      </c>
      <c r="H145" s="92"/>
      <c r="I145" s="91">
        <f>I147</f>
        <v>0.28599999999999998</v>
      </c>
      <c r="J145" s="90"/>
      <c r="K145" s="89"/>
      <c r="M145" s="102"/>
      <c r="O145" s="5"/>
    </row>
    <row r="146" spans="2:15" x14ac:dyDescent="0.3">
      <c r="B146" s="390"/>
      <c r="C146" s="110"/>
      <c r="D146" s="388"/>
      <c r="E146" s="86"/>
      <c r="F146" s="88"/>
      <c r="G146" s="87"/>
      <c r="H146" s="87"/>
      <c r="I146" s="86"/>
      <c r="J146" s="86"/>
      <c r="K146" s="85"/>
      <c r="M146" s="102"/>
      <c r="O146" s="5"/>
    </row>
    <row r="147" spans="2:15" x14ac:dyDescent="0.3">
      <c r="B147" s="390"/>
      <c r="C147" s="110"/>
      <c r="D147" s="388"/>
      <c r="E147" s="86"/>
      <c r="F147" s="88"/>
      <c r="G147" s="104">
        <v>1.41E-2</v>
      </c>
      <c r="H147" s="87"/>
      <c r="I147" s="103">
        <v>0.28599999999999998</v>
      </c>
      <c r="J147" s="86" t="s">
        <v>941</v>
      </c>
      <c r="K147" s="85"/>
      <c r="M147" s="102"/>
      <c r="O147" s="5"/>
    </row>
    <row r="148" spans="2:15" x14ac:dyDescent="0.3">
      <c r="B148" s="390"/>
      <c r="C148" s="110"/>
      <c r="D148" s="388"/>
      <c r="E148" s="94" t="s">
        <v>314</v>
      </c>
      <c r="F148" s="93"/>
      <c r="G148" s="15">
        <f>G149</f>
        <v>0.62</v>
      </c>
      <c r="H148" s="92"/>
      <c r="I148" s="91">
        <f>I149</f>
        <v>0.31900000000000001</v>
      </c>
      <c r="J148" s="90"/>
      <c r="K148" s="89"/>
      <c r="L148" s="39"/>
      <c r="M148" s="102"/>
      <c r="O148" s="5"/>
    </row>
    <row r="149" spans="2:15" x14ac:dyDescent="0.3">
      <c r="B149" s="390"/>
      <c r="C149" s="110"/>
      <c r="D149" s="388"/>
      <c r="E149" s="88"/>
      <c r="F149" s="88"/>
      <c r="G149" s="104">
        <v>0.62</v>
      </c>
      <c r="H149" s="87"/>
      <c r="I149" s="103">
        <v>0.31900000000000001</v>
      </c>
      <c r="J149" s="257" t="s">
        <v>935</v>
      </c>
      <c r="K149" s="85"/>
      <c r="L149" s="39"/>
      <c r="M149" s="102"/>
      <c r="O149" s="5"/>
    </row>
    <row r="150" spans="2:15" x14ac:dyDescent="0.3">
      <c r="B150" s="390"/>
      <c r="C150" s="110"/>
      <c r="D150" s="389"/>
      <c r="E150" s="84"/>
      <c r="F150" s="84"/>
      <c r="G150" s="83"/>
      <c r="H150" s="83"/>
      <c r="I150" s="82"/>
      <c r="J150" s="82"/>
      <c r="K150" s="81"/>
      <c r="L150" s="39"/>
      <c r="M150" s="102"/>
      <c r="O150" s="5"/>
    </row>
    <row r="151" spans="2:15" x14ac:dyDescent="0.3">
      <c r="B151" s="390"/>
      <c r="C151" s="88"/>
      <c r="D151" s="38"/>
      <c r="E151" s="38"/>
      <c r="F151" s="38"/>
      <c r="G151" s="38"/>
      <c r="H151" s="38"/>
      <c r="I151" s="38"/>
      <c r="J151" s="86"/>
      <c r="M151" s="5"/>
      <c r="O151" s="5"/>
    </row>
    <row r="152" spans="2:15" x14ac:dyDescent="0.3">
      <c r="B152" s="390"/>
      <c r="C152" s="88"/>
      <c r="D152" s="38"/>
      <c r="E152" s="38"/>
      <c r="F152" s="38"/>
      <c r="G152" s="38"/>
      <c r="H152" s="38"/>
      <c r="I152" s="38"/>
      <c r="J152" s="86"/>
      <c r="M152" s="5"/>
      <c r="O152" s="5"/>
    </row>
    <row r="153" spans="2:15" x14ac:dyDescent="0.3">
      <c r="B153" s="390"/>
      <c r="C153" s="107"/>
      <c r="D153" s="387" t="s">
        <v>357</v>
      </c>
      <c r="E153" s="101" t="s">
        <v>316</v>
      </c>
      <c r="F153" s="99"/>
      <c r="G153" s="126"/>
      <c r="H153" s="99"/>
      <c r="I153" s="98"/>
      <c r="J153" s="97"/>
      <c r="K153" s="96"/>
      <c r="M153" s="102"/>
      <c r="O153" s="5"/>
    </row>
    <row r="154" spans="2:15" x14ac:dyDescent="0.3">
      <c r="B154" s="390"/>
      <c r="C154" s="107"/>
      <c r="D154" s="388"/>
      <c r="E154" s="95"/>
      <c r="F154" s="88"/>
      <c r="G154" s="88"/>
      <c r="H154" s="88"/>
      <c r="I154" s="86"/>
      <c r="J154" s="86"/>
      <c r="K154" s="85"/>
      <c r="M154" s="102"/>
      <c r="O154" s="5"/>
    </row>
    <row r="155" spans="2:15" x14ac:dyDescent="0.3">
      <c r="B155" s="390"/>
      <c r="C155" s="107"/>
      <c r="D155" s="388"/>
      <c r="E155" s="95"/>
      <c r="F155" s="88"/>
      <c r="G155" s="88"/>
      <c r="H155" s="88"/>
      <c r="I155" s="86"/>
      <c r="J155" s="86"/>
      <c r="K155" s="85"/>
      <c r="M155" s="102"/>
      <c r="O155" s="5"/>
    </row>
    <row r="156" spans="2:15" x14ac:dyDescent="0.3">
      <c r="B156" s="390"/>
      <c r="C156" s="107"/>
      <c r="D156" s="388"/>
      <c r="E156" s="94" t="s">
        <v>315</v>
      </c>
      <c r="F156" s="93"/>
      <c r="G156" s="15">
        <f>G160</f>
        <v>1.4200000000000001E-2</v>
      </c>
      <c r="H156" s="92"/>
      <c r="I156" s="91">
        <f>I160</f>
        <v>0.28699999999999998</v>
      </c>
      <c r="J156" s="90"/>
      <c r="K156" s="89"/>
      <c r="M156" s="102"/>
      <c r="O156" s="5"/>
    </row>
    <row r="157" spans="2:15" x14ac:dyDescent="0.3">
      <c r="B157" s="390"/>
      <c r="C157" s="107"/>
      <c r="D157" s="388"/>
      <c r="E157" s="86"/>
      <c r="F157" s="88"/>
      <c r="G157" s="104">
        <v>1.37E-2</v>
      </c>
      <c r="H157" s="87"/>
      <c r="I157" s="86"/>
      <c r="J157" s="86" t="s">
        <v>355</v>
      </c>
      <c r="K157" s="85"/>
      <c r="M157" s="102"/>
      <c r="O157" s="5"/>
    </row>
    <row r="158" spans="2:15" x14ac:dyDescent="0.3">
      <c r="B158" s="390"/>
      <c r="C158" s="107"/>
      <c r="D158" s="388"/>
      <c r="E158" s="86"/>
      <c r="F158" s="88"/>
      <c r="G158" s="104">
        <v>1.54E-2</v>
      </c>
      <c r="H158" s="87"/>
      <c r="I158" s="86"/>
      <c r="J158" s="86" t="s">
        <v>342</v>
      </c>
      <c r="K158" s="85"/>
      <c r="M158" s="102"/>
      <c r="O158" s="5"/>
    </row>
    <row r="159" spans="2:15" x14ac:dyDescent="0.3">
      <c r="B159" s="390"/>
      <c r="C159" s="107"/>
      <c r="D159" s="388"/>
      <c r="E159" s="86"/>
      <c r="F159" s="88"/>
      <c r="G159" s="104">
        <v>1.4200000000000001E-2</v>
      </c>
      <c r="H159" s="87"/>
      <c r="I159" s="86"/>
      <c r="J159" s="86" t="s">
        <v>354</v>
      </c>
      <c r="K159" s="85"/>
      <c r="M159" s="102"/>
      <c r="O159" s="5"/>
    </row>
    <row r="160" spans="2:15" x14ac:dyDescent="0.3">
      <c r="B160" s="390"/>
      <c r="C160" s="107"/>
      <c r="D160" s="388"/>
      <c r="E160" s="86"/>
      <c r="F160" s="88"/>
      <c r="G160" s="246">
        <v>1.4200000000000001E-2</v>
      </c>
      <c r="H160" s="87"/>
      <c r="I160" s="254">
        <v>0.28699999999999998</v>
      </c>
      <c r="J160" s="86" t="s">
        <v>353</v>
      </c>
      <c r="K160" s="85" t="s">
        <v>352</v>
      </c>
      <c r="M160" s="102"/>
      <c r="O160" s="5"/>
    </row>
    <row r="161" spans="2:15" x14ac:dyDescent="0.3">
      <c r="B161" s="390"/>
      <c r="C161" s="107"/>
      <c r="D161" s="388"/>
      <c r="E161" s="94" t="s">
        <v>314</v>
      </c>
      <c r="F161" s="93"/>
      <c r="G161" s="15">
        <f>G162</f>
        <v>1.41E-2</v>
      </c>
      <c r="H161" s="92"/>
      <c r="I161" s="91">
        <f>I162</f>
        <v>0.39700000000000002</v>
      </c>
      <c r="J161" s="90"/>
      <c r="K161" s="89"/>
      <c r="M161" s="102"/>
      <c r="O161" s="5"/>
    </row>
    <row r="162" spans="2:15" x14ac:dyDescent="0.3">
      <c r="B162" s="390"/>
      <c r="C162" s="107"/>
      <c r="D162" s="388"/>
      <c r="E162" s="88"/>
      <c r="F162" s="88"/>
      <c r="G162" s="246">
        <v>1.41E-2</v>
      </c>
      <c r="H162" s="87"/>
      <c r="I162" s="254">
        <v>0.39700000000000002</v>
      </c>
      <c r="J162" s="86" t="s">
        <v>936</v>
      </c>
      <c r="K162" s="85"/>
      <c r="M162" s="5"/>
      <c r="O162" s="5"/>
    </row>
    <row r="163" spans="2:15" x14ac:dyDescent="0.3">
      <c r="B163" s="390"/>
      <c r="C163" s="107"/>
      <c r="D163" s="389"/>
      <c r="E163" s="84"/>
      <c r="F163" s="84"/>
      <c r="G163" s="83"/>
      <c r="H163" s="83"/>
      <c r="I163" s="82"/>
      <c r="J163" s="82"/>
      <c r="K163" s="81"/>
      <c r="M163" s="5"/>
      <c r="O163" s="5"/>
    </row>
    <row r="164" spans="2:15" x14ac:dyDescent="0.3">
      <c r="B164" s="390"/>
      <c r="C164" s="38"/>
      <c r="D164" s="88"/>
      <c r="E164" s="88"/>
      <c r="F164" s="88"/>
      <c r="G164" s="87"/>
      <c r="H164" s="87"/>
      <c r="I164" s="86"/>
      <c r="J164" s="86"/>
      <c r="M164" s="102"/>
      <c r="O164" s="5"/>
    </row>
    <row r="165" spans="2:15" x14ac:dyDescent="0.3">
      <c r="B165" s="390"/>
      <c r="C165" s="107"/>
      <c r="D165" s="387" t="s">
        <v>114</v>
      </c>
      <c r="E165" s="101" t="s">
        <v>316</v>
      </c>
      <c r="F165" s="99"/>
      <c r="G165" s="100"/>
      <c r="H165" s="99"/>
      <c r="I165" s="98"/>
      <c r="J165" s="97"/>
      <c r="K165" s="96"/>
      <c r="M165" s="102"/>
      <c r="O165" s="5"/>
    </row>
    <row r="166" spans="2:15" x14ac:dyDescent="0.3">
      <c r="B166" s="390"/>
      <c r="C166" s="107"/>
      <c r="D166" s="388"/>
      <c r="E166" s="95"/>
      <c r="F166" s="88"/>
      <c r="G166" s="88"/>
      <c r="H166" s="88"/>
      <c r="I166" s="86"/>
      <c r="J166" s="86"/>
      <c r="K166" s="85"/>
      <c r="M166" s="102"/>
      <c r="O166" s="5"/>
    </row>
    <row r="167" spans="2:15" x14ac:dyDescent="0.3">
      <c r="B167" s="390"/>
      <c r="C167" s="107"/>
      <c r="D167" s="388"/>
      <c r="E167" s="95"/>
      <c r="F167" s="88"/>
      <c r="G167" s="88"/>
      <c r="H167" s="88"/>
      <c r="I167" s="86"/>
      <c r="J167" s="86"/>
      <c r="K167" s="85"/>
      <c r="M167" s="102"/>
      <c r="O167" s="5"/>
    </row>
    <row r="168" spans="2:15" x14ac:dyDescent="0.3">
      <c r="B168" s="390"/>
      <c r="C168" s="107"/>
      <c r="D168" s="388"/>
      <c r="E168" s="94" t="s">
        <v>315</v>
      </c>
      <c r="F168" s="93"/>
      <c r="G168" s="15">
        <f>G169</f>
        <v>9.8099999999999993E-3</v>
      </c>
      <c r="H168" s="92"/>
      <c r="I168" s="91">
        <f>I169</f>
        <v>0.19</v>
      </c>
      <c r="J168" s="90"/>
      <c r="K168" s="89"/>
      <c r="M168" s="102"/>
      <c r="O168" s="5"/>
    </row>
    <row r="169" spans="2:15" x14ac:dyDescent="0.3">
      <c r="B169" s="390"/>
      <c r="C169" s="107"/>
      <c r="D169" s="388"/>
      <c r="E169" s="86"/>
      <c r="F169" s="88"/>
      <c r="G169" s="246">
        <v>9.8099999999999993E-3</v>
      </c>
      <c r="H169" s="87"/>
      <c r="I169" s="254">
        <v>0.19</v>
      </c>
      <c r="J169" s="86" t="s">
        <v>933</v>
      </c>
      <c r="K169" s="85"/>
      <c r="M169" s="102"/>
      <c r="O169" s="5"/>
    </row>
    <row r="170" spans="2:15" x14ac:dyDescent="0.3">
      <c r="B170" s="390"/>
      <c r="C170" s="107"/>
      <c r="D170" s="388"/>
      <c r="E170" s="86"/>
      <c r="F170" s="88"/>
      <c r="G170" s="87"/>
      <c r="H170" s="87"/>
      <c r="I170" s="86"/>
      <c r="J170" s="86"/>
      <c r="K170" s="85"/>
      <c r="M170" s="102"/>
      <c r="O170" s="5"/>
    </row>
    <row r="171" spans="2:15" x14ac:dyDescent="0.3">
      <c r="B171" s="390"/>
      <c r="C171" s="107"/>
      <c r="D171" s="388"/>
      <c r="E171" s="94" t="s">
        <v>314</v>
      </c>
      <c r="F171" s="93"/>
      <c r="G171" s="15">
        <f>G172</f>
        <v>4.2100000000000002E-3</v>
      </c>
      <c r="H171" s="92"/>
      <c r="I171" s="91">
        <f>I172</f>
        <v>0.14899999999999999</v>
      </c>
      <c r="J171" s="90"/>
      <c r="K171" s="89"/>
      <c r="M171" s="102"/>
      <c r="O171" s="5"/>
    </row>
    <row r="172" spans="2:15" x14ac:dyDescent="0.3">
      <c r="B172" s="390"/>
      <c r="C172" s="107"/>
      <c r="D172" s="388"/>
      <c r="E172" s="88"/>
      <c r="F172" s="88"/>
      <c r="G172" s="246">
        <v>4.2100000000000002E-3</v>
      </c>
      <c r="H172" s="87"/>
      <c r="I172" s="254">
        <v>0.14899999999999999</v>
      </c>
      <c r="J172" s="86" t="s">
        <v>931</v>
      </c>
      <c r="K172" s="85"/>
      <c r="M172" s="102"/>
      <c r="O172" s="5"/>
    </row>
    <row r="173" spans="2:15" x14ac:dyDescent="0.3">
      <c r="B173" s="390"/>
      <c r="C173" s="107"/>
      <c r="D173" s="389"/>
      <c r="E173" s="84"/>
      <c r="F173" s="84"/>
      <c r="G173" s="83"/>
      <c r="H173" s="83"/>
      <c r="I173" s="82"/>
      <c r="J173" s="82"/>
      <c r="K173" s="81"/>
      <c r="M173" s="102"/>
      <c r="O173" s="5"/>
    </row>
    <row r="174" spans="2:15" x14ac:dyDescent="0.3">
      <c r="B174" s="390"/>
      <c r="C174" s="38"/>
      <c r="D174" s="88"/>
      <c r="E174" s="88"/>
      <c r="F174" s="88"/>
      <c r="G174" s="88"/>
      <c r="H174" s="88"/>
      <c r="I174" s="86"/>
      <c r="J174" s="86"/>
      <c r="M174" s="102"/>
      <c r="O174" s="5"/>
    </row>
    <row r="175" spans="2:15" x14ac:dyDescent="0.3">
      <c r="B175" s="390"/>
      <c r="C175" s="38"/>
      <c r="D175" s="88"/>
      <c r="E175" s="88"/>
      <c r="F175" s="88"/>
      <c r="G175" s="88"/>
      <c r="H175" s="88"/>
      <c r="I175" s="86"/>
      <c r="J175" s="86"/>
      <c r="M175" s="102"/>
      <c r="O175" s="5"/>
    </row>
    <row r="176" spans="2:15" x14ac:dyDescent="0.3">
      <c r="B176" s="390"/>
      <c r="C176" s="107"/>
      <c r="D176" s="387" t="s">
        <v>29</v>
      </c>
      <c r="E176" s="101" t="s">
        <v>316</v>
      </c>
      <c r="F176" s="99"/>
      <c r="G176" s="100"/>
      <c r="H176" s="99"/>
      <c r="I176" s="98"/>
      <c r="J176" s="97"/>
      <c r="K176" s="96"/>
      <c r="M176" s="102"/>
      <c r="O176" s="5"/>
    </row>
    <row r="177" spans="2:15" x14ac:dyDescent="0.3">
      <c r="B177" s="390"/>
      <c r="C177" s="107"/>
      <c r="D177" s="388"/>
      <c r="E177" s="95"/>
      <c r="F177" s="88"/>
      <c r="G177" s="88"/>
      <c r="H177" s="88"/>
      <c r="I177" s="86"/>
      <c r="J177" s="86"/>
      <c r="K177" s="85"/>
      <c r="M177" s="102"/>
      <c r="O177" s="5"/>
    </row>
    <row r="178" spans="2:15" x14ac:dyDescent="0.3">
      <c r="B178" s="390"/>
      <c r="C178" s="107"/>
      <c r="D178" s="388"/>
      <c r="E178" s="95"/>
      <c r="F178" s="88"/>
      <c r="G178" s="88"/>
      <c r="H178" s="88"/>
      <c r="I178" s="86"/>
      <c r="J178" s="86"/>
      <c r="K178" s="85"/>
      <c r="M178" s="102"/>
      <c r="O178" s="5"/>
    </row>
    <row r="179" spans="2:15" x14ac:dyDescent="0.3">
      <c r="B179" s="390"/>
      <c r="C179" s="107"/>
      <c r="D179" s="388"/>
      <c r="E179" s="94" t="s">
        <v>315</v>
      </c>
      <c r="F179" s="93"/>
      <c r="G179" s="15">
        <f>G180</f>
        <v>9.8099999999999993E-3</v>
      </c>
      <c r="H179" s="92"/>
      <c r="I179" s="91">
        <f>I180</f>
        <v>0.19</v>
      </c>
      <c r="J179" s="90"/>
      <c r="K179" s="89"/>
      <c r="M179" s="102"/>
      <c r="O179" s="5"/>
    </row>
    <row r="180" spans="2:15" x14ac:dyDescent="0.3">
      <c r="B180" s="390"/>
      <c r="C180" s="107"/>
      <c r="D180" s="388"/>
      <c r="E180" s="86"/>
      <c r="F180" s="88"/>
      <c r="G180" s="104">
        <v>9.8099999999999993E-3</v>
      </c>
      <c r="H180" s="87"/>
      <c r="I180" s="103">
        <v>0.19</v>
      </c>
      <c r="J180" s="86" t="s">
        <v>933</v>
      </c>
      <c r="K180" s="85" t="s">
        <v>342</v>
      </c>
      <c r="M180" s="102"/>
      <c r="O180" s="5"/>
    </row>
    <row r="181" spans="2:15" x14ac:dyDescent="0.3">
      <c r="B181" s="390"/>
      <c r="C181" s="107"/>
      <c r="D181" s="388"/>
      <c r="E181" s="86"/>
      <c r="F181" s="88"/>
      <c r="G181" s="87"/>
      <c r="H181" s="87"/>
      <c r="I181" s="86"/>
      <c r="J181" s="86"/>
      <c r="K181" s="85"/>
      <c r="M181" s="102"/>
      <c r="O181" s="5"/>
    </row>
    <row r="182" spans="2:15" x14ac:dyDescent="0.3">
      <c r="B182" s="390"/>
      <c r="C182" s="107"/>
      <c r="D182" s="388"/>
      <c r="E182" s="94" t="s">
        <v>314</v>
      </c>
      <c r="F182" s="93"/>
      <c r="G182" s="15">
        <f>G183</f>
        <v>4.2100000000000002E-3</v>
      </c>
      <c r="H182" s="92"/>
      <c r="I182" s="91">
        <f>I183</f>
        <v>0.14899999999999999</v>
      </c>
      <c r="J182" s="90"/>
      <c r="K182" s="89"/>
      <c r="M182" s="102"/>
      <c r="O182" s="5"/>
    </row>
    <row r="183" spans="2:15" x14ac:dyDescent="0.3">
      <c r="B183" s="390"/>
      <c r="C183" s="107"/>
      <c r="D183" s="388"/>
      <c r="E183" s="88"/>
      <c r="F183" s="88"/>
      <c r="G183" s="104">
        <v>4.2100000000000002E-3</v>
      </c>
      <c r="H183" s="87"/>
      <c r="I183" s="103">
        <v>0.14899999999999999</v>
      </c>
      <c r="J183" s="86" t="s">
        <v>931</v>
      </c>
      <c r="K183" s="85" t="s">
        <v>327</v>
      </c>
      <c r="M183" s="5"/>
      <c r="O183" s="5"/>
    </row>
    <row r="184" spans="2:15" x14ac:dyDescent="0.3">
      <c r="B184" s="390"/>
      <c r="C184" s="107"/>
      <c r="D184" s="389"/>
      <c r="E184" s="84"/>
      <c r="F184" s="84"/>
      <c r="G184" s="83"/>
      <c r="H184" s="83"/>
      <c r="I184" s="82"/>
      <c r="J184" s="82"/>
      <c r="K184" s="81"/>
      <c r="M184" s="5"/>
      <c r="O184" s="5"/>
    </row>
    <row r="185" spans="2:15" x14ac:dyDescent="0.3">
      <c r="C185" s="38"/>
      <c r="D185" s="38"/>
      <c r="E185" s="38"/>
      <c r="F185" s="38"/>
      <c r="G185" s="38"/>
      <c r="H185" s="38"/>
      <c r="I185" s="38"/>
      <c r="J185" s="86"/>
      <c r="M185" s="102"/>
      <c r="O185" s="5"/>
    </row>
    <row r="186" spans="2:15" x14ac:dyDescent="0.3">
      <c r="C186" s="110"/>
      <c r="D186" s="387" t="s">
        <v>351</v>
      </c>
      <c r="E186" s="101" t="s">
        <v>316</v>
      </c>
      <c r="F186" s="99"/>
      <c r="G186" s="100"/>
      <c r="H186" s="99"/>
      <c r="I186" s="98"/>
      <c r="J186" s="97"/>
      <c r="K186" s="96"/>
      <c r="L186" s="39"/>
      <c r="M186" s="102"/>
      <c r="O186" s="5"/>
    </row>
    <row r="187" spans="2:15" x14ac:dyDescent="0.3">
      <c r="C187" s="110"/>
      <c r="D187" s="388"/>
      <c r="E187" s="95"/>
      <c r="F187" s="88"/>
      <c r="G187" s="88"/>
      <c r="H187" s="88"/>
      <c r="I187" s="86"/>
      <c r="J187" s="86"/>
      <c r="K187" s="85"/>
      <c r="L187" s="39"/>
      <c r="M187" s="102"/>
      <c r="O187" s="5"/>
    </row>
    <row r="188" spans="2:15" x14ac:dyDescent="0.3">
      <c r="C188" s="110"/>
      <c r="D188" s="388"/>
      <c r="E188" s="95"/>
      <c r="F188" s="88"/>
      <c r="G188" s="88"/>
      <c r="H188" s="88"/>
      <c r="I188" s="86"/>
      <c r="J188" s="86"/>
      <c r="K188" s="85"/>
      <c r="L188" s="39"/>
      <c r="M188" s="102"/>
      <c r="O188" s="5"/>
    </row>
    <row r="189" spans="2:15" x14ac:dyDescent="0.3">
      <c r="C189" s="110"/>
      <c r="D189" s="388"/>
      <c r="E189" s="94" t="s">
        <v>315</v>
      </c>
      <c r="F189" s="93"/>
      <c r="G189" s="15">
        <f>G190</f>
        <v>0.51800000000000002</v>
      </c>
      <c r="H189" s="92"/>
      <c r="I189" s="91">
        <f>I190</f>
        <v>0.36199999999999999</v>
      </c>
      <c r="J189" s="90"/>
      <c r="K189" s="89"/>
      <c r="L189" s="39"/>
      <c r="M189" s="102"/>
      <c r="O189" s="5"/>
    </row>
    <row r="190" spans="2:15" x14ac:dyDescent="0.3">
      <c r="C190" s="110"/>
      <c r="D190" s="388"/>
      <c r="E190" s="86"/>
      <c r="F190" s="88"/>
      <c r="G190" s="246">
        <v>0.51800000000000002</v>
      </c>
      <c r="H190" s="87"/>
      <c r="I190" s="254">
        <v>0.36199999999999999</v>
      </c>
      <c r="J190" s="257" t="s">
        <v>934</v>
      </c>
      <c r="K190" s="85"/>
      <c r="L190" s="39"/>
      <c r="M190" s="102"/>
      <c r="O190" s="5"/>
    </row>
    <row r="191" spans="2:15" x14ac:dyDescent="0.3">
      <c r="C191" s="110"/>
      <c r="D191" s="388"/>
      <c r="E191" s="86"/>
      <c r="F191" s="88"/>
      <c r="G191" s="87"/>
      <c r="H191" s="87"/>
      <c r="I191" s="86"/>
      <c r="J191" s="86"/>
      <c r="K191" s="85"/>
      <c r="L191" s="39"/>
      <c r="M191" s="102"/>
      <c r="O191" s="5"/>
    </row>
    <row r="192" spans="2:15" x14ac:dyDescent="0.3">
      <c r="C192" s="110"/>
      <c r="D192" s="388"/>
      <c r="E192" s="94" t="s">
        <v>314</v>
      </c>
      <c r="F192" s="93"/>
      <c r="G192" s="15">
        <f>G193</f>
        <v>0.62</v>
      </c>
      <c r="H192" s="92"/>
      <c r="I192" s="91">
        <f>I193</f>
        <v>0.31900000000000001</v>
      </c>
      <c r="J192" s="90"/>
      <c r="K192" s="89"/>
      <c r="L192" s="39"/>
      <c r="M192" s="102"/>
      <c r="O192" s="5"/>
    </row>
    <row r="193" spans="3:15" x14ac:dyDescent="0.3">
      <c r="C193" s="110"/>
      <c r="D193" s="388"/>
      <c r="E193" s="88"/>
      <c r="F193" s="88"/>
      <c r="G193" s="246">
        <v>0.62</v>
      </c>
      <c r="H193" s="87"/>
      <c r="I193" s="254">
        <v>0.31900000000000001</v>
      </c>
      <c r="J193" s="257" t="s">
        <v>935</v>
      </c>
      <c r="K193" s="85"/>
      <c r="L193" s="39"/>
      <c r="M193" s="102"/>
      <c r="O193" s="5"/>
    </row>
    <row r="194" spans="3:15" x14ac:dyDescent="0.3">
      <c r="C194" s="110"/>
      <c r="D194" s="389"/>
      <c r="E194" s="84"/>
      <c r="F194" s="84"/>
      <c r="G194" s="83"/>
      <c r="H194" s="83"/>
      <c r="I194" s="82"/>
      <c r="J194" s="82"/>
      <c r="K194" s="81"/>
      <c r="L194" s="39"/>
      <c r="M194" s="102"/>
      <c r="O194" s="5"/>
    </row>
    <row r="195" spans="3:15" x14ac:dyDescent="0.3">
      <c r="C195" s="88"/>
      <c r="D195" s="38"/>
      <c r="E195" s="38"/>
      <c r="F195" s="38"/>
      <c r="G195" s="38"/>
      <c r="H195" s="38"/>
      <c r="I195" s="38"/>
      <c r="J195" s="86"/>
      <c r="M195" s="102"/>
      <c r="O195" s="5"/>
    </row>
    <row r="196" spans="3:15" x14ac:dyDescent="0.3">
      <c r="C196" s="110"/>
      <c r="D196" s="387" t="s">
        <v>350</v>
      </c>
      <c r="E196" s="101" t="s">
        <v>316</v>
      </c>
      <c r="F196" s="99"/>
      <c r="G196" s="100"/>
      <c r="H196" s="99"/>
      <c r="I196" s="98"/>
      <c r="J196" s="97"/>
      <c r="K196" s="96"/>
      <c r="M196" s="102"/>
      <c r="O196" s="5"/>
    </row>
    <row r="197" spans="3:15" x14ac:dyDescent="0.3">
      <c r="C197" s="110"/>
      <c r="D197" s="388"/>
      <c r="E197" s="95"/>
      <c r="F197" s="88"/>
      <c r="G197" s="88"/>
      <c r="H197" s="88"/>
      <c r="I197" s="86"/>
      <c r="J197" s="86"/>
      <c r="K197" s="85"/>
      <c r="M197" s="102"/>
      <c r="O197" s="5"/>
    </row>
    <row r="198" spans="3:15" x14ac:dyDescent="0.3">
      <c r="C198" s="110"/>
      <c r="D198" s="388"/>
      <c r="E198" s="95"/>
      <c r="F198" s="88"/>
      <c r="G198" s="88"/>
      <c r="H198" s="88"/>
      <c r="I198" s="86"/>
      <c r="J198" s="86"/>
      <c r="K198" s="85"/>
      <c r="M198" s="102"/>
      <c r="O198" s="5"/>
    </row>
    <row r="199" spans="3:15" x14ac:dyDescent="0.3">
      <c r="C199" s="110"/>
      <c r="D199" s="388"/>
      <c r="E199" s="94" t="s">
        <v>315</v>
      </c>
      <c r="F199" s="93"/>
      <c r="G199" s="15">
        <f>G200</f>
        <v>9.8099999999999993E-3</v>
      </c>
      <c r="H199" s="92"/>
      <c r="I199" s="91">
        <f>I200</f>
        <v>0.19</v>
      </c>
      <c r="J199" s="90"/>
      <c r="K199" s="89"/>
      <c r="M199" s="102"/>
      <c r="O199" s="5"/>
    </row>
    <row r="200" spans="3:15" x14ac:dyDescent="0.3">
      <c r="C200" s="110"/>
      <c r="D200" s="388"/>
      <c r="E200" s="86"/>
      <c r="F200" s="88"/>
      <c r="G200" s="246">
        <v>9.8099999999999993E-3</v>
      </c>
      <c r="H200" s="87"/>
      <c r="I200" s="254">
        <v>0.19</v>
      </c>
      <c r="J200" s="86" t="s">
        <v>933</v>
      </c>
      <c r="K200" s="85"/>
      <c r="M200" s="102"/>
      <c r="O200" s="5"/>
    </row>
    <row r="201" spans="3:15" x14ac:dyDescent="0.3">
      <c r="C201" s="110"/>
      <c r="D201" s="388"/>
      <c r="E201" s="86"/>
      <c r="F201" s="88"/>
      <c r="G201" s="87"/>
      <c r="H201" s="87"/>
      <c r="I201" s="86"/>
      <c r="J201" s="86"/>
      <c r="K201" s="85"/>
      <c r="M201" s="102"/>
      <c r="O201" s="5"/>
    </row>
    <row r="202" spans="3:15" x14ac:dyDescent="0.3">
      <c r="C202" s="110"/>
      <c r="D202" s="388"/>
      <c r="E202" s="94" t="s">
        <v>314</v>
      </c>
      <c r="F202" s="93"/>
      <c r="G202" s="15">
        <f>G203</f>
        <v>4.2100000000000002E-3</v>
      </c>
      <c r="H202" s="92"/>
      <c r="I202" s="91">
        <f>I203</f>
        <v>0.14899999999999999</v>
      </c>
      <c r="J202" s="90"/>
      <c r="K202" s="89"/>
      <c r="M202" s="102"/>
      <c r="O202" s="5"/>
    </row>
    <row r="203" spans="3:15" x14ac:dyDescent="0.3">
      <c r="C203" s="110"/>
      <c r="D203" s="388"/>
      <c r="E203" s="88"/>
      <c r="F203" s="88"/>
      <c r="G203" s="246">
        <v>4.2100000000000002E-3</v>
      </c>
      <c r="H203" s="87"/>
      <c r="I203" s="254">
        <v>0.14899999999999999</v>
      </c>
      <c r="J203" s="86" t="s">
        <v>931</v>
      </c>
      <c r="K203" s="85"/>
      <c r="M203" s="102"/>
      <c r="O203" s="5"/>
    </row>
    <row r="204" spans="3:15" x14ac:dyDescent="0.3">
      <c r="C204" s="110"/>
      <c r="D204" s="389"/>
      <c r="E204" s="84"/>
      <c r="F204" s="84"/>
      <c r="G204" s="83"/>
      <c r="H204" s="83"/>
      <c r="I204" s="82"/>
      <c r="J204" s="82"/>
      <c r="K204" s="81"/>
      <c r="M204" s="102"/>
      <c r="O204" s="5"/>
    </row>
    <row r="205" spans="3:15" x14ac:dyDescent="0.3">
      <c r="C205" s="88"/>
      <c r="D205" s="38"/>
      <c r="E205" s="38"/>
      <c r="F205" s="38"/>
      <c r="G205" s="38"/>
      <c r="H205" s="38"/>
      <c r="I205" s="38"/>
      <c r="J205" s="86"/>
      <c r="M205" s="102"/>
      <c r="O205" s="5"/>
    </row>
    <row r="206" spans="3:15" x14ac:dyDescent="0.3">
      <c r="C206" s="88"/>
      <c r="D206" s="38"/>
      <c r="E206" s="38"/>
      <c r="F206" s="38"/>
      <c r="G206" s="38"/>
      <c r="H206" s="38"/>
      <c r="I206" s="38"/>
      <c r="J206" s="86"/>
      <c r="M206" s="102"/>
      <c r="O206" s="5"/>
    </row>
    <row r="207" spans="3:15" x14ac:dyDescent="0.3">
      <c r="C207" s="88"/>
      <c r="D207" s="38"/>
      <c r="E207" s="38"/>
      <c r="F207" s="38"/>
      <c r="G207" s="38"/>
      <c r="H207" s="38"/>
      <c r="I207" s="38"/>
      <c r="J207" s="86"/>
      <c r="M207" s="102"/>
      <c r="O207" s="5"/>
    </row>
    <row r="208" spans="3:15" x14ac:dyDescent="0.3">
      <c r="C208" s="107"/>
      <c r="D208" s="387" t="s">
        <v>349</v>
      </c>
      <c r="E208" s="101" t="s">
        <v>316</v>
      </c>
      <c r="F208" s="99"/>
      <c r="G208" s="126"/>
      <c r="H208" s="99"/>
      <c r="I208" s="98"/>
      <c r="J208" s="97"/>
      <c r="K208" s="96"/>
      <c r="M208" s="102"/>
      <c r="O208" s="5"/>
    </row>
    <row r="209" spans="3:15" x14ac:dyDescent="0.3">
      <c r="C209" s="107"/>
      <c r="D209" s="388"/>
      <c r="E209" s="95"/>
      <c r="F209" s="88"/>
      <c r="G209" s="88"/>
      <c r="H209" s="88"/>
      <c r="I209" s="86"/>
      <c r="J209" s="86"/>
      <c r="K209" s="85"/>
      <c r="M209" s="102"/>
      <c r="O209" s="5"/>
    </row>
    <row r="210" spans="3:15" x14ac:dyDescent="0.3">
      <c r="C210" s="107"/>
      <c r="D210" s="388"/>
      <c r="E210" s="95"/>
      <c r="F210" s="88"/>
      <c r="G210" s="88"/>
      <c r="H210" s="88"/>
      <c r="I210" s="86"/>
      <c r="J210" s="86"/>
      <c r="K210" s="85"/>
      <c r="M210" s="102"/>
      <c r="O210" s="5"/>
    </row>
    <row r="211" spans="3:15" x14ac:dyDescent="0.3">
      <c r="C211" s="107"/>
      <c r="D211" s="388"/>
      <c r="E211" s="94" t="s">
        <v>315</v>
      </c>
      <c r="F211" s="93"/>
      <c r="G211" s="15">
        <f>G212</f>
        <v>9.8099999999999993E-3</v>
      </c>
      <c r="H211" s="92"/>
      <c r="I211" s="91">
        <f>I212</f>
        <v>0.19</v>
      </c>
      <c r="J211" s="90"/>
      <c r="K211" s="89"/>
      <c r="M211" s="102"/>
      <c r="O211" s="5"/>
    </row>
    <row r="212" spans="3:15" x14ac:dyDescent="0.3">
      <c r="C212" s="107"/>
      <c r="D212" s="388"/>
      <c r="E212" s="86"/>
      <c r="F212" s="88"/>
      <c r="G212" s="246">
        <v>9.8099999999999993E-3</v>
      </c>
      <c r="H212" s="87"/>
      <c r="I212" s="254">
        <v>0.19</v>
      </c>
      <c r="J212" s="86" t="s">
        <v>933</v>
      </c>
      <c r="K212" s="85"/>
      <c r="M212" s="102"/>
      <c r="O212" s="5"/>
    </row>
    <row r="213" spans="3:15" x14ac:dyDescent="0.3">
      <c r="C213" s="107"/>
      <c r="D213" s="388"/>
      <c r="E213" s="86"/>
      <c r="F213" s="88"/>
      <c r="G213" s="87"/>
      <c r="H213" s="87"/>
      <c r="I213" s="86"/>
      <c r="J213" s="86"/>
      <c r="K213" s="85"/>
      <c r="M213" s="102"/>
      <c r="O213" s="5"/>
    </row>
    <row r="214" spans="3:15" x14ac:dyDescent="0.3">
      <c r="C214" s="107"/>
      <c r="D214" s="388"/>
      <c r="E214" s="86"/>
      <c r="F214" s="88"/>
      <c r="G214" s="87"/>
      <c r="H214" s="87"/>
      <c r="I214" s="86"/>
      <c r="J214" s="86"/>
      <c r="K214" s="85"/>
      <c r="M214" s="102"/>
      <c r="O214" s="5"/>
    </row>
    <row r="215" spans="3:15" x14ac:dyDescent="0.3">
      <c r="C215" s="107"/>
      <c r="D215" s="388"/>
      <c r="E215" s="86"/>
      <c r="F215" s="88"/>
      <c r="G215" s="87"/>
      <c r="H215" s="87"/>
      <c r="I215" s="86"/>
      <c r="J215" s="86"/>
      <c r="K215" s="85"/>
      <c r="M215" s="102"/>
      <c r="O215" s="5"/>
    </row>
    <row r="216" spans="3:15" x14ac:dyDescent="0.3">
      <c r="C216" s="107"/>
      <c r="D216" s="388"/>
      <c r="E216" s="94" t="s">
        <v>314</v>
      </c>
      <c r="F216" s="93"/>
      <c r="G216" s="15">
        <f>G217</f>
        <v>4.2100000000000002E-3</v>
      </c>
      <c r="H216" s="92"/>
      <c r="I216" s="91">
        <f>I217</f>
        <v>0.14899999999999999</v>
      </c>
      <c r="J216" s="90"/>
      <c r="K216" s="89"/>
      <c r="M216" s="102"/>
      <c r="O216" s="5"/>
    </row>
    <row r="217" spans="3:15" x14ac:dyDescent="0.3">
      <c r="C217" s="107"/>
      <c r="D217" s="388"/>
      <c r="E217" s="88"/>
      <c r="F217" s="88"/>
      <c r="G217" s="246">
        <v>4.2100000000000002E-3</v>
      </c>
      <c r="H217" s="87"/>
      <c r="I217" s="254">
        <v>0.14899999999999999</v>
      </c>
      <c r="J217" s="86" t="s">
        <v>931</v>
      </c>
      <c r="K217" s="85"/>
      <c r="M217" s="102"/>
      <c r="O217" s="5"/>
    </row>
    <row r="218" spans="3:15" x14ac:dyDescent="0.3">
      <c r="C218" s="107"/>
      <c r="D218" s="389"/>
      <c r="E218" s="84"/>
      <c r="F218" s="84"/>
      <c r="G218" s="83"/>
      <c r="H218" s="83"/>
      <c r="I218" s="82"/>
      <c r="J218" s="82"/>
      <c r="K218" s="81"/>
      <c r="M218" s="102"/>
      <c r="O218" s="5"/>
    </row>
    <row r="219" spans="3:15" x14ac:dyDescent="0.3">
      <c r="C219" s="38"/>
      <c r="D219" s="88"/>
      <c r="E219" s="88"/>
      <c r="F219" s="88"/>
      <c r="G219" s="87"/>
      <c r="H219" s="87"/>
      <c r="I219" s="86"/>
      <c r="J219" s="86"/>
      <c r="M219" s="102"/>
      <c r="O219" s="5"/>
    </row>
    <row r="220" spans="3:15" x14ac:dyDescent="0.3">
      <c r="C220" s="38"/>
      <c r="D220" s="88"/>
      <c r="E220" s="88"/>
      <c r="F220" s="88"/>
      <c r="G220" s="88"/>
      <c r="H220" s="88"/>
      <c r="I220" s="86"/>
      <c r="J220" s="86"/>
      <c r="M220" s="102"/>
      <c r="O220" s="5"/>
    </row>
    <row r="221" spans="3:15" x14ac:dyDescent="0.3">
      <c r="C221" s="107"/>
      <c r="D221" s="387" t="s">
        <v>323</v>
      </c>
      <c r="E221" s="101" t="s">
        <v>316</v>
      </c>
      <c r="F221" s="99"/>
      <c r="G221" s="100"/>
      <c r="H221" s="99"/>
      <c r="I221" s="98"/>
      <c r="J221" s="97"/>
      <c r="K221" s="96"/>
      <c r="M221" s="102"/>
      <c r="O221" s="5"/>
    </row>
    <row r="222" spans="3:15" x14ac:dyDescent="0.3">
      <c r="C222" s="107"/>
      <c r="D222" s="388"/>
      <c r="E222" s="95"/>
      <c r="F222" s="88"/>
      <c r="G222" s="88"/>
      <c r="H222" s="88"/>
      <c r="I222" s="86"/>
      <c r="J222" s="86"/>
      <c r="K222" s="85"/>
      <c r="M222" s="102"/>
      <c r="O222" s="5"/>
    </row>
    <row r="223" spans="3:15" x14ac:dyDescent="0.3">
      <c r="C223" s="107"/>
      <c r="D223" s="388"/>
      <c r="E223" s="95"/>
      <c r="F223" s="88"/>
      <c r="G223" s="88"/>
      <c r="H223" s="88"/>
      <c r="I223" s="86"/>
      <c r="J223" s="86"/>
      <c r="K223" s="85"/>
      <c r="M223" s="102"/>
      <c r="O223" s="5"/>
    </row>
    <row r="224" spans="3:15" x14ac:dyDescent="0.3">
      <c r="C224" s="107"/>
      <c r="D224" s="388"/>
      <c r="E224" s="94" t="s">
        <v>315</v>
      </c>
      <c r="F224" s="93"/>
      <c r="G224" s="15">
        <f>G225</f>
        <v>9.8099999999999993E-3</v>
      </c>
      <c r="H224" s="92"/>
      <c r="I224" s="91">
        <f>I225</f>
        <v>0.19</v>
      </c>
      <c r="J224" s="90"/>
      <c r="K224" s="89"/>
      <c r="M224" s="102"/>
      <c r="O224" s="5"/>
    </row>
    <row r="225" spans="3:15" x14ac:dyDescent="0.3">
      <c r="C225" s="107"/>
      <c r="D225" s="388"/>
      <c r="E225" s="86"/>
      <c r="F225" s="88"/>
      <c r="G225" s="246">
        <v>9.8099999999999993E-3</v>
      </c>
      <c r="H225" s="87"/>
      <c r="I225" s="254">
        <v>0.19</v>
      </c>
      <c r="J225" s="86" t="s">
        <v>933</v>
      </c>
      <c r="K225" s="85"/>
      <c r="M225" s="102"/>
      <c r="O225" s="5"/>
    </row>
    <row r="226" spans="3:15" x14ac:dyDescent="0.3">
      <c r="C226" s="107"/>
      <c r="D226" s="388"/>
      <c r="E226" s="86"/>
      <c r="F226" s="88"/>
      <c r="G226" s="87"/>
      <c r="H226" s="87"/>
      <c r="I226" s="86"/>
      <c r="J226" s="86"/>
      <c r="K226" s="85"/>
      <c r="M226" s="102"/>
      <c r="O226" s="5"/>
    </row>
    <row r="227" spans="3:15" x14ac:dyDescent="0.3">
      <c r="C227" s="107"/>
      <c r="D227" s="388"/>
      <c r="E227" s="94" t="s">
        <v>314</v>
      </c>
      <c r="F227" s="93"/>
      <c r="G227" s="15">
        <f>G228</f>
        <v>4.2100000000000002E-3</v>
      </c>
      <c r="H227" s="92"/>
      <c r="I227" s="91">
        <f>I228</f>
        <v>0.14899999999999999</v>
      </c>
      <c r="J227" s="90"/>
      <c r="K227" s="89"/>
      <c r="M227" s="102"/>
      <c r="O227" s="5"/>
    </row>
    <row r="228" spans="3:15" x14ac:dyDescent="0.3">
      <c r="C228" s="107"/>
      <c r="D228" s="388"/>
      <c r="E228" s="88"/>
      <c r="F228" s="88"/>
      <c r="G228" s="246">
        <v>4.2100000000000002E-3</v>
      </c>
      <c r="H228" s="87"/>
      <c r="I228" s="254">
        <v>0.14899999999999999</v>
      </c>
      <c r="J228" s="86" t="s">
        <v>931</v>
      </c>
      <c r="K228" s="85"/>
      <c r="M228" s="102"/>
      <c r="O228" s="5"/>
    </row>
    <row r="229" spans="3:15" x14ac:dyDescent="0.3">
      <c r="C229" s="107"/>
      <c r="D229" s="389"/>
      <c r="E229" s="84"/>
      <c r="F229" s="84"/>
      <c r="G229" s="83"/>
      <c r="H229" s="83"/>
      <c r="I229" s="82"/>
      <c r="J229" s="82"/>
      <c r="K229" s="81"/>
      <c r="M229" s="102"/>
      <c r="O229" s="5"/>
    </row>
    <row r="230" spans="3:15" x14ac:dyDescent="0.3">
      <c r="C230" s="38"/>
      <c r="D230" s="128"/>
      <c r="E230" s="88"/>
      <c r="F230" s="88"/>
      <c r="G230" s="87"/>
      <c r="H230" s="87"/>
      <c r="I230" s="86"/>
      <c r="J230" s="86"/>
      <c r="M230" s="5"/>
      <c r="O230" s="5"/>
    </row>
    <row r="231" spans="3:15" x14ac:dyDescent="0.3">
      <c r="C231" s="38"/>
      <c r="D231" s="128"/>
      <c r="E231" s="88"/>
      <c r="F231" s="88"/>
      <c r="G231" s="87"/>
      <c r="H231" s="87"/>
      <c r="I231" s="86"/>
      <c r="J231" s="86"/>
      <c r="M231" s="5"/>
      <c r="O231" s="5"/>
    </row>
    <row r="232" spans="3:15" x14ac:dyDescent="0.3">
      <c r="C232" s="107"/>
      <c r="D232" s="387" t="s">
        <v>1095</v>
      </c>
      <c r="E232" s="101" t="s">
        <v>316</v>
      </c>
      <c r="F232" s="99"/>
      <c r="G232" s="100"/>
      <c r="H232" s="99"/>
      <c r="I232" s="98"/>
      <c r="J232" s="97"/>
      <c r="K232" s="96"/>
      <c r="M232" s="5"/>
      <c r="O232" s="5"/>
    </row>
    <row r="233" spans="3:15" x14ac:dyDescent="0.3">
      <c r="C233" s="107"/>
      <c r="D233" s="388"/>
      <c r="E233" s="95"/>
      <c r="F233" s="88"/>
      <c r="G233" s="88"/>
      <c r="H233" s="88"/>
      <c r="I233" s="86"/>
      <c r="J233" s="86"/>
      <c r="K233" s="85"/>
      <c r="M233" s="5"/>
      <c r="O233" s="5"/>
    </row>
    <row r="234" spans="3:15" x14ac:dyDescent="0.3">
      <c r="C234" s="107"/>
      <c r="D234" s="388"/>
      <c r="E234" s="95"/>
      <c r="F234" s="88"/>
      <c r="G234" s="88"/>
      <c r="H234" s="88"/>
      <c r="I234" s="86"/>
      <c r="J234" s="86"/>
      <c r="K234" s="85"/>
      <c r="M234" s="5"/>
      <c r="O234" s="5"/>
    </row>
    <row r="235" spans="3:15" x14ac:dyDescent="0.3">
      <c r="C235" s="107"/>
      <c r="D235" s="388"/>
      <c r="E235" s="94" t="s">
        <v>315</v>
      </c>
      <c r="F235" s="93"/>
      <c r="G235" s="15">
        <f>G236</f>
        <v>9.8099999999999993E-3</v>
      </c>
      <c r="H235" s="92"/>
      <c r="I235" s="91">
        <f>I236</f>
        <v>0.19</v>
      </c>
      <c r="J235" s="90"/>
      <c r="K235" s="89"/>
      <c r="M235" s="5"/>
      <c r="O235" s="5"/>
    </row>
    <row r="236" spans="3:15" x14ac:dyDescent="0.3">
      <c r="C236" s="107"/>
      <c r="D236" s="388"/>
      <c r="E236" s="86"/>
      <c r="F236" s="88"/>
      <c r="G236" s="246">
        <v>9.8099999999999993E-3</v>
      </c>
      <c r="H236" s="87"/>
      <c r="I236" s="254">
        <v>0.19</v>
      </c>
      <c r="J236" s="86" t="s">
        <v>933</v>
      </c>
      <c r="K236" s="85"/>
      <c r="M236" s="5"/>
      <c r="O236" s="5"/>
    </row>
    <row r="237" spans="3:15" x14ac:dyDescent="0.3">
      <c r="C237" s="107"/>
      <c r="D237" s="388"/>
      <c r="E237" s="86"/>
      <c r="F237" s="88"/>
      <c r="G237" s="87"/>
      <c r="H237" s="87"/>
      <c r="I237" s="86"/>
      <c r="J237" s="86"/>
      <c r="K237" s="85"/>
      <c r="M237" s="5"/>
      <c r="O237" s="5"/>
    </row>
    <row r="238" spans="3:15" x14ac:dyDescent="0.3">
      <c r="C238" s="107"/>
      <c r="D238" s="388"/>
      <c r="E238" s="94" t="s">
        <v>314</v>
      </c>
      <c r="F238" s="93"/>
      <c r="G238" s="15">
        <f>G239</f>
        <v>4.2100000000000002E-3</v>
      </c>
      <c r="H238" s="92"/>
      <c r="I238" s="91">
        <f>I239</f>
        <v>0.14899999999999999</v>
      </c>
      <c r="J238" s="90"/>
      <c r="K238" s="89"/>
      <c r="M238" s="5"/>
      <c r="O238" s="5"/>
    </row>
    <row r="239" spans="3:15" x14ac:dyDescent="0.3">
      <c r="C239" s="107"/>
      <c r="D239" s="388"/>
      <c r="E239" s="88"/>
      <c r="F239" s="88"/>
      <c r="G239" s="246">
        <v>4.2100000000000002E-3</v>
      </c>
      <c r="H239" s="87"/>
      <c r="I239" s="254">
        <v>0.14899999999999999</v>
      </c>
      <c r="J239" s="86" t="s">
        <v>931</v>
      </c>
      <c r="K239" s="85"/>
      <c r="M239" s="5"/>
      <c r="O239" s="5"/>
    </row>
    <row r="240" spans="3:15" x14ac:dyDescent="0.3">
      <c r="C240" s="107"/>
      <c r="D240" s="389"/>
      <c r="E240" s="84"/>
      <c r="F240" s="84"/>
      <c r="G240" s="83"/>
      <c r="H240" s="83"/>
      <c r="I240" s="82"/>
      <c r="J240" s="82"/>
      <c r="K240" s="81"/>
      <c r="M240" s="5"/>
      <c r="O240" s="5"/>
    </row>
    <row r="241" spans="3:15" x14ac:dyDescent="0.3">
      <c r="C241" s="38"/>
      <c r="D241" s="38"/>
      <c r="E241" s="38"/>
      <c r="F241" s="38"/>
      <c r="G241" s="38"/>
      <c r="H241" s="38"/>
      <c r="I241" s="38"/>
      <c r="J241" s="86"/>
      <c r="M241" s="5"/>
      <c r="O241" s="5"/>
    </row>
    <row r="242" spans="3:15" x14ac:dyDescent="0.3">
      <c r="C242" s="110"/>
      <c r="D242" s="387"/>
      <c r="E242" s="101" t="s">
        <v>316</v>
      </c>
      <c r="F242" s="99"/>
      <c r="G242" s="100"/>
      <c r="H242" s="99"/>
      <c r="I242" s="98"/>
      <c r="J242" s="97"/>
      <c r="K242" s="96"/>
      <c r="M242" s="5"/>
      <c r="O242" s="5"/>
    </row>
    <row r="243" spans="3:15" x14ac:dyDescent="0.3">
      <c r="C243" s="110"/>
      <c r="D243" s="388"/>
      <c r="E243" s="95"/>
      <c r="F243" s="88"/>
      <c r="G243" s="88"/>
      <c r="H243" s="88"/>
      <c r="I243" s="86"/>
      <c r="J243" s="86"/>
      <c r="K243" s="85"/>
      <c r="M243" s="5"/>
      <c r="O243" s="5"/>
    </row>
    <row r="244" spans="3:15" x14ac:dyDescent="0.3">
      <c r="C244" s="110"/>
      <c r="D244" s="388"/>
      <c r="E244" s="95"/>
      <c r="F244" s="88"/>
      <c r="G244" s="88"/>
      <c r="H244" s="88"/>
      <c r="I244" s="86"/>
      <c r="J244" s="86"/>
      <c r="K244" s="85"/>
      <c r="M244" s="5"/>
      <c r="O244" s="5"/>
    </row>
    <row r="245" spans="3:15" x14ac:dyDescent="0.3">
      <c r="C245" s="110"/>
      <c r="D245" s="388"/>
      <c r="E245" s="94" t="s">
        <v>315</v>
      </c>
      <c r="F245" s="93"/>
      <c r="G245" s="15"/>
      <c r="H245" s="92"/>
      <c r="I245" s="91"/>
      <c r="J245" s="90"/>
      <c r="K245" s="89"/>
      <c r="M245" s="5"/>
      <c r="O245" s="5"/>
    </row>
    <row r="246" spans="3:15" x14ac:dyDescent="0.3">
      <c r="C246" s="110"/>
      <c r="D246" s="388"/>
      <c r="E246" s="86"/>
      <c r="F246" s="88"/>
      <c r="G246" s="87"/>
      <c r="H246" s="87"/>
      <c r="I246" s="86"/>
      <c r="J246" s="86"/>
      <c r="K246" s="85"/>
      <c r="M246" s="5"/>
      <c r="O246" s="5"/>
    </row>
    <row r="247" spans="3:15" x14ac:dyDescent="0.3">
      <c r="C247" s="110"/>
      <c r="D247" s="388"/>
      <c r="E247" s="86"/>
      <c r="F247" s="88"/>
      <c r="G247" s="87"/>
      <c r="H247" s="87"/>
      <c r="I247" s="86"/>
      <c r="J247" s="86"/>
      <c r="K247" s="85"/>
      <c r="M247" s="5"/>
      <c r="O247" s="5"/>
    </row>
    <row r="248" spans="3:15" x14ac:dyDescent="0.3">
      <c r="C248" s="110"/>
      <c r="D248" s="388"/>
      <c r="E248" s="94" t="s">
        <v>314</v>
      </c>
      <c r="F248" s="93"/>
      <c r="G248" s="15"/>
      <c r="H248" s="92"/>
      <c r="I248" s="91"/>
      <c r="J248" s="90"/>
      <c r="K248" s="89"/>
      <c r="M248" s="5"/>
      <c r="O248" s="5"/>
    </row>
    <row r="249" spans="3:15" x14ac:dyDescent="0.3">
      <c r="C249" s="110"/>
      <c r="D249" s="388"/>
      <c r="E249" s="88"/>
      <c r="F249" s="88"/>
      <c r="G249" s="87"/>
      <c r="H249" s="87"/>
      <c r="I249" s="86"/>
      <c r="J249" s="86"/>
      <c r="K249" s="85"/>
      <c r="M249" s="5"/>
      <c r="O249" s="5"/>
    </row>
    <row r="250" spans="3:15" x14ac:dyDescent="0.3">
      <c r="C250" s="110"/>
      <c r="D250" s="389"/>
      <c r="E250" s="84"/>
      <c r="F250" s="84"/>
      <c r="G250" s="83"/>
      <c r="H250" s="83"/>
      <c r="I250" s="82"/>
      <c r="J250" s="82"/>
      <c r="K250" s="81"/>
      <c r="M250" s="5"/>
      <c r="O250" s="5"/>
    </row>
    <row r="251" spans="3:15" x14ac:dyDescent="0.3">
      <c r="C251" s="88"/>
      <c r="D251" s="38"/>
      <c r="E251" s="38"/>
      <c r="F251" s="38"/>
      <c r="G251" s="38"/>
      <c r="H251" s="38"/>
      <c r="I251" s="38"/>
      <c r="J251" s="86"/>
      <c r="M251" s="5"/>
      <c r="O251" s="5"/>
    </row>
    <row r="252" spans="3:15" x14ac:dyDescent="0.3">
      <c r="C252" s="110"/>
      <c r="D252" s="387"/>
      <c r="E252" s="101" t="s">
        <v>316</v>
      </c>
      <c r="F252" s="99"/>
      <c r="G252" s="100"/>
      <c r="H252" s="99"/>
      <c r="I252" s="98"/>
      <c r="J252" s="97"/>
      <c r="K252" s="96"/>
      <c r="M252" s="5"/>
      <c r="O252" s="5"/>
    </row>
    <row r="253" spans="3:15" x14ac:dyDescent="0.3">
      <c r="C253" s="110"/>
      <c r="D253" s="388"/>
      <c r="E253" s="95"/>
      <c r="F253" s="88"/>
      <c r="G253" s="88"/>
      <c r="H253" s="88"/>
      <c r="I253" s="86"/>
      <c r="J253" s="86"/>
      <c r="K253" s="85"/>
      <c r="M253" s="5"/>
      <c r="O253" s="5"/>
    </row>
    <row r="254" spans="3:15" x14ac:dyDescent="0.3">
      <c r="C254" s="110"/>
      <c r="D254" s="388"/>
      <c r="E254" s="95"/>
      <c r="F254" s="88"/>
      <c r="G254" s="88"/>
      <c r="H254" s="88"/>
      <c r="I254" s="86"/>
      <c r="J254" s="86"/>
      <c r="K254" s="85"/>
      <c r="M254" s="5"/>
      <c r="O254" s="5"/>
    </row>
    <row r="255" spans="3:15" x14ac:dyDescent="0.3">
      <c r="C255" s="110"/>
      <c r="D255" s="388"/>
      <c r="E255" s="94" t="s">
        <v>315</v>
      </c>
      <c r="F255" s="93"/>
      <c r="G255" s="15"/>
      <c r="H255" s="92"/>
      <c r="I255" s="91"/>
      <c r="J255" s="90"/>
      <c r="K255" s="89"/>
      <c r="M255" s="5"/>
      <c r="O255" s="5"/>
    </row>
    <row r="256" spans="3:15" x14ac:dyDescent="0.3">
      <c r="C256" s="110"/>
      <c r="D256" s="388"/>
      <c r="E256" s="86"/>
      <c r="F256" s="88"/>
      <c r="G256" s="87"/>
      <c r="H256" s="87"/>
      <c r="I256" s="86"/>
      <c r="J256" s="86"/>
      <c r="K256" s="85"/>
      <c r="M256" s="5"/>
      <c r="O256" s="5"/>
    </row>
    <row r="257" spans="1:21" x14ac:dyDescent="0.3">
      <c r="C257" s="110"/>
      <c r="D257" s="388"/>
      <c r="E257" s="86"/>
      <c r="F257" s="88"/>
      <c r="G257" s="87"/>
      <c r="H257" s="87"/>
      <c r="I257" s="86"/>
      <c r="J257" s="86"/>
      <c r="K257" s="85"/>
      <c r="M257" s="5"/>
      <c r="O257" s="5"/>
    </row>
    <row r="258" spans="1:21" x14ac:dyDescent="0.3">
      <c r="C258" s="110"/>
      <c r="D258" s="388"/>
      <c r="E258" s="94" t="s">
        <v>314</v>
      </c>
      <c r="F258" s="93"/>
      <c r="G258" s="15"/>
      <c r="H258" s="92"/>
      <c r="I258" s="91"/>
      <c r="J258" s="90"/>
      <c r="K258" s="89"/>
      <c r="M258" s="5"/>
      <c r="O258" s="5"/>
    </row>
    <row r="259" spans="1:21" x14ac:dyDescent="0.3">
      <c r="C259" s="110"/>
      <c r="D259" s="388"/>
      <c r="E259" s="88"/>
      <c r="F259" s="88"/>
      <c r="G259" s="87"/>
      <c r="H259" s="87"/>
      <c r="I259" s="86"/>
      <c r="J259" s="86"/>
      <c r="K259" s="85"/>
      <c r="M259" s="5"/>
      <c r="O259" s="5"/>
    </row>
    <row r="260" spans="1:21" x14ac:dyDescent="0.3">
      <c r="C260" s="110"/>
      <c r="D260" s="389"/>
      <c r="E260" s="84"/>
      <c r="F260" s="84"/>
      <c r="G260" s="83"/>
      <c r="H260" s="83"/>
      <c r="I260" s="82"/>
      <c r="J260" s="82"/>
      <c r="K260" s="81"/>
      <c r="M260" s="5"/>
      <c r="O260" s="5"/>
    </row>
    <row r="261" spans="1:21" x14ac:dyDescent="0.3">
      <c r="C261" s="38"/>
      <c r="D261" s="128"/>
      <c r="E261" s="88"/>
      <c r="F261" s="88"/>
      <c r="G261" s="87"/>
      <c r="H261" s="87"/>
      <c r="I261" s="86"/>
      <c r="J261" s="86"/>
      <c r="M261" s="5"/>
      <c r="O261" s="5"/>
    </row>
    <row r="262" spans="1:21" x14ac:dyDescent="0.3">
      <c r="C262" s="38"/>
      <c r="D262" s="128"/>
      <c r="E262" s="88"/>
      <c r="F262" s="88"/>
      <c r="G262" s="87"/>
      <c r="H262" s="87"/>
      <c r="I262" s="86"/>
      <c r="J262" s="86"/>
      <c r="M262" s="5"/>
      <c r="O262" s="5"/>
    </row>
    <row r="263" spans="1:21" x14ac:dyDescent="0.3">
      <c r="C263" s="38"/>
      <c r="D263" s="128"/>
      <c r="E263" s="88"/>
      <c r="F263" s="88"/>
      <c r="G263" s="87"/>
      <c r="H263" s="87"/>
      <c r="I263" s="86"/>
      <c r="J263" s="86"/>
      <c r="M263" s="5"/>
      <c r="O263" s="5"/>
    </row>
    <row r="264" spans="1:21" x14ac:dyDescent="0.3">
      <c r="C264" s="38"/>
      <c r="D264" s="128"/>
      <c r="E264" s="88"/>
      <c r="F264" s="88"/>
      <c r="G264" s="87"/>
      <c r="H264" s="87"/>
      <c r="I264" s="86"/>
      <c r="J264" s="86"/>
      <c r="M264" s="5"/>
      <c r="O264" s="5"/>
    </row>
    <row r="265" spans="1:21" x14ac:dyDescent="0.3">
      <c r="C265" s="38"/>
      <c r="D265" s="128"/>
      <c r="E265" s="88"/>
      <c r="F265" s="88"/>
      <c r="G265" s="87"/>
      <c r="H265" s="87"/>
      <c r="I265" s="86"/>
      <c r="J265" s="86"/>
      <c r="M265" s="5"/>
      <c r="O265" s="5"/>
    </row>
    <row r="266" spans="1:21" x14ac:dyDescent="0.3">
      <c r="D266" s="38"/>
      <c r="E266" s="38"/>
      <c r="F266" s="38"/>
      <c r="G266" s="38"/>
      <c r="H266" s="38"/>
      <c r="I266" s="38"/>
      <c r="J266" s="86"/>
      <c r="M266" s="102"/>
      <c r="O266" s="5"/>
    </row>
    <row r="267" spans="1:21" x14ac:dyDescent="0.3">
      <c r="A267" s="70"/>
      <c r="B267" s="70"/>
      <c r="C267" s="70"/>
      <c r="D267" s="133"/>
      <c r="E267" s="133"/>
      <c r="F267" s="133"/>
      <c r="G267" s="133"/>
      <c r="H267" s="133"/>
      <c r="I267" s="133"/>
      <c r="J267" s="132"/>
      <c r="K267" s="70"/>
      <c r="L267" s="70"/>
      <c r="M267" s="120"/>
      <c r="N267" s="70"/>
      <c r="O267" s="120"/>
      <c r="P267" s="70"/>
      <c r="Q267" s="70"/>
      <c r="R267" s="70"/>
      <c r="S267" s="70"/>
      <c r="T267" s="70"/>
      <c r="U267" s="70"/>
    </row>
    <row r="268" spans="1:21" x14ac:dyDescent="0.3">
      <c r="A268" s="70"/>
      <c r="B268" s="70"/>
      <c r="C268" s="70"/>
      <c r="D268" s="133"/>
      <c r="E268" s="133"/>
      <c r="F268" s="133"/>
      <c r="G268" s="133"/>
      <c r="H268" s="133"/>
      <c r="I268" s="133"/>
      <c r="J268" s="132"/>
      <c r="K268" s="70"/>
      <c r="L268" s="70"/>
      <c r="M268" s="120"/>
      <c r="N268" s="70"/>
      <c r="O268" s="120"/>
      <c r="P268" s="70"/>
      <c r="Q268" s="70"/>
      <c r="R268" s="70"/>
      <c r="S268" s="70"/>
      <c r="T268" s="70"/>
      <c r="U268" s="70"/>
    </row>
    <row r="269" spans="1:21" x14ac:dyDescent="0.3">
      <c r="D269" s="38"/>
      <c r="E269" s="38"/>
      <c r="F269" s="38"/>
      <c r="G269" s="38"/>
      <c r="H269" s="38"/>
      <c r="I269" s="38"/>
      <c r="J269" s="86"/>
      <c r="M269" s="102"/>
      <c r="O269" s="5"/>
    </row>
    <row r="270" spans="1:21" x14ac:dyDescent="0.3">
      <c r="D270" s="38"/>
      <c r="E270" s="38"/>
      <c r="F270" s="38"/>
      <c r="G270" s="38"/>
      <c r="H270" s="38"/>
      <c r="I270" s="38"/>
      <c r="J270" s="86"/>
      <c r="M270" s="102"/>
      <c r="O270" s="5"/>
    </row>
    <row r="271" spans="1:21" x14ac:dyDescent="0.3">
      <c r="C271" s="107"/>
      <c r="D271" s="387" t="s">
        <v>129</v>
      </c>
      <c r="E271" s="101" t="s">
        <v>316</v>
      </c>
      <c r="F271" s="99"/>
      <c r="G271" s="100"/>
      <c r="H271" s="99"/>
      <c r="I271" s="98"/>
      <c r="J271" s="97"/>
      <c r="K271" s="96"/>
      <c r="M271" s="102"/>
      <c r="O271" s="5"/>
    </row>
    <row r="272" spans="1:21" x14ac:dyDescent="0.3">
      <c r="C272" s="107"/>
      <c r="D272" s="388"/>
      <c r="E272" s="95"/>
      <c r="F272" s="88"/>
      <c r="G272" s="88"/>
      <c r="H272" s="88"/>
      <c r="I272" s="86"/>
      <c r="J272" s="86"/>
      <c r="K272" s="85"/>
      <c r="M272" s="102"/>
      <c r="O272" s="5"/>
    </row>
    <row r="273" spans="3:15" x14ac:dyDescent="0.3">
      <c r="C273" s="107"/>
      <c r="D273" s="388"/>
      <c r="E273" s="95"/>
      <c r="F273" s="88"/>
      <c r="G273" s="88"/>
      <c r="H273" s="88"/>
      <c r="I273" s="86"/>
      <c r="J273" s="86"/>
      <c r="K273" s="85"/>
      <c r="M273" s="102"/>
      <c r="O273" s="5"/>
    </row>
    <row r="274" spans="3:15" x14ac:dyDescent="0.3">
      <c r="C274" s="107"/>
      <c r="D274" s="388"/>
      <c r="E274" s="94" t="s">
        <v>315</v>
      </c>
      <c r="F274" s="93"/>
      <c r="G274" s="131">
        <f>G276</f>
        <v>2.31</v>
      </c>
      <c r="H274" s="131"/>
      <c r="I274" s="131">
        <f>I276</f>
        <v>9.75</v>
      </c>
      <c r="J274" s="90"/>
      <c r="K274" s="89"/>
      <c r="M274" s="102"/>
      <c r="O274" s="5"/>
    </row>
    <row r="275" spans="3:15" x14ac:dyDescent="0.3">
      <c r="C275" s="107"/>
      <c r="D275" s="388"/>
      <c r="E275" s="86"/>
      <c r="F275" s="88"/>
      <c r="G275" s="115">
        <v>9.1465887931034467E-2</v>
      </c>
      <c r="H275" s="87"/>
      <c r="I275" s="114">
        <v>-24.013036</v>
      </c>
      <c r="J275" s="112" t="s">
        <v>922</v>
      </c>
      <c r="K275" s="85"/>
      <c r="M275" s="102"/>
      <c r="O275" s="5"/>
    </row>
    <row r="276" spans="3:15" x14ac:dyDescent="0.3">
      <c r="C276" s="107"/>
      <c r="D276" s="388"/>
      <c r="E276" s="86"/>
      <c r="F276" s="88"/>
      <c r="G276" s="104">
        <v>2.31</v>
      </c>
      <c r="H276" s="87"/>
      <c r="I276" s="103">
        <v>9.75</v>
      </c>
      <c r="J276" s="86" t="s">
        <v>938</v>
      </c>
      <c r="K276" s="85"/>
      <c r="M276" s="102"/>
      <c r="O276" s="5"/>
    </row>
    <row r="277" spans="3:15" x14ac:dyDescent="0.3">
      <c r="C277" s="107"/>
      <c r="D277" s="388"/>
      <c r="E277" s="94" t="s">
        <v>314</v>
      </c>
      <c r="F277" s="93"/>
      <c r="G277" s="15">
        <f>G278</f>
        <v>6.6799999999999998E-2</v>
      </c>
      <c r="H277" s="92"/>
      <c r="I277" s="91">
        <f>I278</f>
        <v>0.249</v>
      </c>
      <c r="J277" s="90"/>
      <c r="K277" s="89"/>
      <c r="M277" s="102"/>
      <c r="O277" s="5"/>
    </row>
    <row r="278" spans="3:15" x14ac:dyDescent="0.3">
      <c r="C278" s="107"/>
      <c r="D278" s="388"/>
      <c r="E278" s="88"/>
      <c r="F278" s="88"/>
      <c r="G278" s="104">
        <v>6.6799999999999998E-2</v>
      </c>
      <c r="H278" s="87"/>
      <c r="I278" s="103">
        <v>0.249</v>
      </c>
      <c r="J278" s="86" t="s">
        <v>939</v>
      </c>
      <c r="K278" s="85"/>
      <c r="M278" s="102"/>
      <c r="O278" s="5"/>
    </row>
    <row r="279" spans="3:15" x14ac:dyDescent="0.3">
      <c r="C279" s="107"/>
      <c r="D279" s="389"/>
      <c r="E279" s="84"/>
      <c r="F279" s="84"/>
      <c r="G279" s="83"/>
      <c r="H279" s="83"/>
      <c r="I279" s="82"/>
      <c r="J279" s="82"/>
      <c r="K279" s="81"/>
      <c r="M279" s="102"/>
      <c r="O279" s="5"/>
    </row>
    <row r="280" spans="3:15" x14ac:dyDescent="0.3">
      <c r="D280" s="38"/>
      <c r="E280" s="38"/>
      <c r="F280" s="38"/>
      <c r="G280" s="38"/>
      <c r="H280" s="38"/>
      <c r="I280" s="38"/>
      <c r="J280" s="86"/>
      <c r="M280" s="102"/>
      <c r="O280" s="5"/>
    </row>
    <row r="281" spans="3:15" x14ac:dyDescent="0.3">
      <c r="C281" s="110"/>
      <c r="D281" s="387" t="s">
        <v>125</v>
      </c>
      <c r="E281" s="101" t="s">
        <v>316</v>
      </c>
      <c r="F281" s="99"/>
      <c r="G281" s="100"/>
      <c r="H281" s="99"/>
      <c r="I281" s="98"/>
      <c r="J281" s="97"/>
      <c r="K281" s="96"/>
      <c r="M281" s="102"/>
      <c r="O281" s="5"/>
    </row>
    <row r="282" spans="3:15" x14ac:dyDescent="0.3">
      <c r="C282" s="110"/>
      <c r="D282" s="388"/>
      <c r="E282" s="95"/>
      <c r="F282" s="88"/>
      <c r="G282" s="88"/>
      <c r="H282" s="88"/>
      <c r="I282" s="86"/>
      <c r="J282" s="86"/>
      <c r="K282" s="85"/>
      <c r="M282" s="102"/>
      <c r="O282" s="5"/>
    </row>
    <row r="283" spans="3:15" x14ac:dyDescent="0.3">
      <c r="C283" s="110"/>
      <c r="D283" s="388"/>
      <c r="E283" s="95"/>
      <c r="F283" s="88"/>
      <c r="G283" s="88"/>
      <c r="H283" s="88"/>
      <c r="I283" s="86"/>
      <c r="J283" s="86"/>
      <c r="K283" s="85"/>
      <c r="M283" s="102"/>
      <c r="O283" s="5"/>
    </row>
    <row r="284" spans="3:15" x14ac:dyDescent="0.3">
      <c r="C284" s="110"/>
      <c r="D284" s="388"/>
      <c r="E284" s="94" t="s">
        <v>315</v>
      </c>
      <c r="F284" s="93"/>
      <c r="G284" s="15">
        <f>G286</f>
        <v>2.99</v>
      </c>
      <c r="H284" s="92"/>
      <c r="I284" s="91">
        <f>I286</f>
        <v>0.14699999999999999</v>
      </c>
      <c r="J284" s="90"/>
      <c r="K284" s="89"/>
      <c r="M284" s="102"/>
      <c r="O284" s="5"/>
    </row>
    <row r="285" spans="3:15" x14ac:dyDescent="0.3">
      <c r="C285" s="110"/>
      <c r="D285" s="388"/>
      <c r="E285" s="86"/>
      <c r="F285" s="88"/>
      <c r="G285" s="87">
        <f>G88</f>
        <v>0</v>
      </c>
      <c r="H285" s="87"/>
      <c r="I285" s="86"/>
      <c r="J285" s="86"/>
      <c r="K285" s="85"/>
      <c r="M285" s="102"/>
      <c r="O285" s="5"/>
    </row>
    <row r="286" spans="3:15" x14ac:dyDescent="0.3">
      <c r="C286" s="110"/>
      <c r="D286" s="388"/>
      <c r="E286" s="86"/>
      <c r="F286" s="88"/>
      <c r="G286" s="246">
        <v>2.99</v>
      </c>
      <c r="H286" s="87"/>
      <c r="I286" s="254">
        <v>0.14699999999999999</v>
      </c>
      <c r="J286" s="86" t="s">
        <v>880</v>
      </c>
      <c r="K286" s="85"/>
      <c r="M286" s="102"/>
      <c r="O286" s="5"/>
    </row>
    <row r="287" spans="3:15" x14ac:dyDescent="0.3">
      <c r="C287" s="110"/>
      <c r="D287" s="388"/>
      <c r="E287" s="94" t="s">
        <v>314</v>
      </c>
      <c r="F287" s="93"/>
      <c r="G287" s="15">
        <f>G288</f>
        <v>0.11799999999999999</v>
      </c>
      <c r="H287" s="92"/>
      <c r="I287" s="91">
        <f>I288</f>
        <v>0.23100000000000001</v>
      </c>
      <c r="J287" s="90"/>
      <c r="K287" s="89"/>
      <c r="M287" s="102"/>
      <c r="O287" s="5"/>
    </row>
    <row r="288" spans="3:15" x14ac:dyDescent="0.3">
      <c r="C288" s="110"/>
      <c r="D288" s="388"/>
      <c r="E288" s="88"/>
      <c r="F288" s="88"/>
      <c r="G288" s="246">
        <v>0.11799999999999999</v>
      </c>
      <c r="H288" s="87"/>
      <c r="I288" s="254">
        <v>0.23100000000000001</v>
      </c>
      <c r="J288" s="86" t="s">
        <v>937</v>
      </c>
      <c r="K288" s="85"/>
      <c r="M288" s="102"/>
      <c r="O288" s="5"/>
    </row>
    <row r="289" spans="3:15" x14ac:dyDescent="0.3">
      <c r="C289" s="110"/>
      <c r="D289" s="389"/>
      <c r="E289" s="84"/>
      <c r="F289" s="84"/>
      <c r="G289" s="83"/>
      <c r="H289" s="83"/>
      <c r="I289" s="82"/>
      <c r="J289" s="82"/>
      <c r="K289" s="81"/>
      <c r="M289" s="102"/>
      <c r="O289" s="5"/>
    </row>
    <row r="290" spans="3:15" x14ac:dyDescent="0.3">
      <c r="D290" t="s">
        <v>348</v>
      </c>
      <c r="E290" s="38"/>
      <c r="F290" s="38"/>
      <c r="G290" s="38"/>
      <c r="H290" s="38"/>
      <c r="I290" s="38"/>
      <c r="J290" s="86"/>
      <c r="M290" s="102"/>
      <c r="O290" s="5"/>
    </row>
    <row r="291" spans="3:15" x14ac:dyDescent="0.3">
      <c r="C291" s="107"/>
      <c r="D291" s="387" t="s">
        <v>127</v>
      </c>
      <c r="E291" s="101" t="s">
        <v>316</v>
      </c>
      <c r="F291" s="99"/>
      <c r="G291" s="100"/>
      <c r="H291" s="99"/>
      <c r="I291" s="98"/>
      <c r="J291" s="97"/>
      <c r="K291" s="96"/>
      <c r="M291" s="102"/>
      <c r="O291" s="5"/>
    </row>
    <row r="292" spans="3:15" x14ac:dyDescent="0.3">
      <c r="C292" s="107"/>
      <c r="D292" s="388"/>
      <c r="E292" s="95"/>
      <c r="F292" s="88"/>
      <c r="G292" s="88"/>
      <c r="H292" s="88"/>
      <c r="I292" s="86"/>
      <c r="J292" s="86"/>
      <c r="K292" s="85"/>
      <c r="M292" s="102"/>
      <c r="O292" s="5"/>
    </row>
    <row r="293" spans="3:15" x14ac:dyDescent="0.3">
      <c r="C293" s="107"/>
      <c r="D293" s="388"/>
      <c r="E293" s="95"/>
      <c r="F293" s="88"/>
      <c r="G293" s="88"/>
      <c r="H293" s="88"/>
      <c r="I293" s="86"/>
      <c r="J293" s="86"/>
      <c r="K293" s="85"/>
      <c r="M293" s="102"/>
      <c r="O293" s="5"/>
    </row>
    <row r="294" spans="3:15" x14ac:dyDescent="0.3">
      <c r="C294" s="107"/>
      <c r="D294" s="388"/>
      <c r="E294" s="94" t="s">
        <v>315</v>
      </c>
      <c r="F294" s="93"/>
      <c r="G294" s="15">
        <f>G295</f>
        <v>2.99</v>
      </c>
      <c r="H294" s="92"/>
      <c r="I294" s="91">
        <f>I295</f>
        <v>0.14699999999999999</v>
      </c>
      <c r="J294" s="90"/>
      <c r="K294" s="89"/>
      <c r="M294" s="102"/>
      <c r="O294" s="5"/>
    </row>
    <row r="295" spans="3:15" x14ac:dyDescent="0.3">
      <c r="C295" s="107"/>
      <c r="D295" s="388"/>
      <c r="E295" s="86"/>
      <c r="F295" s="88"/>
      <c r="G295" s="246">
        <v>2.99</v>
      </c>
      <c r="H295" s="87"/>
      <c r="I295" s="254">
        <v>0.14699999999999999</v>
      </c>
      <c r="J295" s="86" t="s">
        <v>880</v>
      </c>
      <c r="K295" s="85"/>
      <c r="M295" s="102"/>
      <c r="O295" s="5"/>
    </row>
    <row r="296" spans="3:15" x14ac:dyDescent="0.3">
      <c r="C296" s="107"/>
      <c r="D296" s="388"/>
      <c r="E296" s="86"/>
      <c r="F296" s="88"/>
      <c r="G296" s="87"/>
      <c r="H296" s="87"/>
      <c r="J296" s="86"/>
      <c r="K296" s="85"/>
      <c r="M296" s="102"/>
      <c r="O296" s="5"/>
    </row>
    <row r="297" spans="3:15" x14ac:dyDescent="0.3">
      <c r="C297" s="107"/>
      <c r="D297" s="388"/>
      <c r="E297" s="94" t="s">
        <v>314</v>
      </c>
      <c r="F297" s="93"/>
      <c r="G297" s="15">
        <f>G298</f>
        <v>0.11799999999999999</v>
      </c>
      <c r="H297" s="92"/>
      <c r="I297" s="91">
        <f>I298</f>
        <v>0.23100000000000001</v>
      </c>
      <c r="J297" s="90"/>
      <c r="K297" s="89"/>
      <c r="M297" s="102"/>
      <c r="O297" s="5"/>
    </row>
    <row r="298" spans="3:15" x14ac:dyDescent="0.3">
      <c r="C298" s="107"/>
      <c r="D298" s="388"/>
      <c r="E298" s="88"/>
      <c r="F298" s="88"/>
      <c r="G298" s="246">
        <v>0.11799999999999999</v>
      </c>
      <c r="H298" s="87"/>
      <c r="I298" s="254">
        <v>0.23100000000000001</v>
      </c>
      <c r="J298" s="86" t="s">
        <v>937</v>
      </c>
      <c r="K298" s="85"/>
      <c r="M298" s="102"/>
      <c r="O298" s="5"/>
    </row>
    <row r="299" spans="3:15" x14ac:dyDescent="0.3">
      <c r="C299" s="107"/>
      <c r="D299" s="389"/>
      <c r="E299" s="84"/>
      <c r="F299" s="84"/>
      <c r="G299" s="83"/>
      <c r="H299" s="83"/>
      <c r="I299" s="82"/>
      <c r="J299" s="82"/>
      <c r="K299" s="81"/>
      <c r="M299" s="102"/>
      <c r="O299" s="5"/>
    </row>
    <row r="300" spans="3:15" x14ac:dyDescent="0.3">
      <c r="D300" s="38"/>
      <c r="E300" s="38"/>
      <c r="F300" s="38"/>
      <c r="G300" s="38"/>
      <c r="H300" s="38"/>
      <c r="I300" s="38"/>
      <c r="J300" s="86"/>
      <c r="M300" s="102"/>
      <c r="O300" s="5"/>
    </row>
    <row r="301" spans="3:15" x14ac:dyDescent="0.3">
      <c r="C301" s="38"/>
      <c r="D301" s="387" t="s">
        <v>1080</v>
      </c>
      <c r="E301" s="101" t="s">
        <v>316</v>
      </c>
      <c r="F301" s="99"/>
      <c r="G301" s="100"/>
      <c r="H301" s="99"/>
      <c r="I301" s="98"/>
      <c r="J301" s="97"/>
      <c r="K301" s="96"/>
      <c r="M301" s="102"/>
      <c r="O301" s="5"/>
    </row>
    <row r="302" spans="3:15" x14ac:dyDescent="0.3">
      <c r="C302" s="38"/>
      <c r="D302" s="388"/>
      <c r="E302" s="95"/>
      <c r="F302" s="88"/>
      <c r="G302" s="88"/>
      <c r="H302" s="88"/>
      <c r="I302" s="86"/>
      <c r="J302" s="86"/>
      <c r="K302" s="85"/>
      <c r="M302" s="102"/>
      <c r="O302" s="5"/>
    </row>
    <row r="303" spans="3:15" x14ac:dyDescent="0.3">
      <c r="C303" s="38"/>
      <c r="D303" s="388"/>
      <c r="E303" s="95"/>
      <c r="F303" s="88"/>
      <c r="G303" s="88"/>
      <c r="H303" s="88"/>
      <c r="I303" s="86"/>
      <c r="J303" s="86"/>
      <c r="K303" s="85"/>
      <c r="M303" s="102"/>
      <c r="O303" s="5"/>
    </row>
    <row r="304" spans="3:15" x14ac:dyDescent="0.3">
      <c r="C304" s="38"/>
      <c r="D304" s="388"/>
      <c r="E304" s="94" t="s">
        <v>315</v>
      </c>
      <c r="F304" s="93"/>
      <c r="G304" s="15">
        <f>G305</f>
        <v>2.34</v>
      </c>
      <c r="H304" s="92"/>
      <c r="I304" s="91">
        <f>I305</f>
        <v>0.52400000000000002</v>
      </c>
      <c r="J304" s="90"/>
      <c r="K304" s="89"/>
      <c r="M304" s="102"/>
      <c r="O304" s="5"/>
    </row>
    <row r="305" spans="3:15" x14ac:dyDescent="0.3">
      <c r="C305" s="38"/>
      <c r="D305" s="388"/>
      <c r="E305" s="86"/>
      <c r="F305" s="88"/>
      <c r="G305" s="246">
        <v>2.34</v>
      </c>
      <c r="H305" s="87"/>
      <c r="I305" s="254">
        <v>0.52400000000000002</v>
      </c>
      <c r="J305" s="86" t="s">
        <v>1083</v>
      </c>
      <c r="K305" s="85"/>
      <c r="M305" s="102"/>
      <c r="O305" s="5"/>
    </row>
    <row r="306" spans="3:15" x14ac:dyDescent="0.3">
      <c r="C306" s="38"/>
      <c r="D306" s="388"/>
      <c r="E306" s="86"/>
      <c r="F306" s="88"/>
      <c r="G306" s="87"/>
      <c r="H306" s="87"/>
      <c r="J306" s="86"/>
      <c r="K306" s="85"/>
      <c r="M306" s="102"/>
      <c r="O306" s="5"/>
    </row>
    <row r="307" spans="3:15" x14ac:dyDescent="0.3">
      <c r="C307" s="38"/>
      <c r="D307" s="388"/>
      <c r="E307" s="94" t="s">
        <v>314</v>
      </c>
      <c r="F307" s="93"/>
      <c r="G307" s="15">
        <f>G308</f>
        <v>9.2799999999999994E-2</v>
      </c>
      <c r="H307" s="92"/>
      <c r="I307" s="91">
        <f>I308</f>
        <v>0.254</v>
      </c>
      <c r="J307" s="90"/>
      <c r="K307" s="89"/>
      <c r="M307" s="102"/>
      <c r="O307" s="5"/>
    </row>
    <row r="308" spans="3:15" x14ac:dyDescent="0.3">
      <c r="C308" s="38"/>
      <c r="D308" s="388"/>
      <c r="E308" s="88"/>
      <c r="F308" s="88"/>
      <c r="G308" s="246">
        <v>9.2799999999999994E-2</v>
      </c>
      <c r="H308" s="87"/>
      <c r="I308" s="254">
        <v>0.254</v>
      </c>
      <c r="J308" s="86" t="s">
        <v>1084</v>
      </c>
      <c r="K308" s="85"/>
      <c r="M308" s="102"/>
      <c r="O308" s="5"/>
    </row>
    <row r="309" spans="3:15" x14ac:dyDescent="0.3">
      <c r="C309" s="38"/>
      <c r="D309" s="389"/>
      <c r="E309" s="84"/>
      <c r="F309" s="84"/>
      <c r="G309" s="83"/>
      <c r="H309" s="83"/>
      <c r="I309" s="82"/>
      <c r="J309" s="82"/>
      <c r="K309" s="81"/>
      <c r="M309" s="102"/>
      <c r="O309" s="5"/>
    </row>
    <row r="310" spans="3:15" x14ac:dyDescent="0.3">
      <c r="D310" s="38"/>
      <c r="E310" s="38"/>
      <c r="F310" s="38"/>
      <c r="G310" s="38"/>
      <c r="H310" s="38"/>
      <c r="I310" s="38"/>
      <c r="J310" s="86"/>
      <c r="M310" s="102"/>
      <c r="O310" s="5"/>
    </row>
    <row r="311" spans="3:15" x14ac:dyDescent="0.3">
      <c r="D311" s="387" t="s">
        <v>1276</v>
      </c>
      <c r="E311" s="101" t="s">
        <v>316</v>
      </c>
      <c r="F311" s="99"/>
      <c r="G311" s="100"/>
      <c r="H311" s="99"/>
      <c r="I311" s="98"/>
      <c r="J311" s="97"/>
      <c r="K311" s="96"/>
      <c r="M311" s="102"/>
      <c r="O311" s="5"/>
    </row>
    <row r="312" spans="3:15" x14ac:dyDescent="0.3">
      <c r="D312" s="388"/>
      <c r="E312" s="95"/>
      <c r="F312" s="88"/>
      <c r="G312" s="88"/>
      <c r="H312" s="88"/>
      <c r="I312" s="86"/>
      <c r="J312" s="86"/>
      <c r="K312" s="85"/>
      <c r="M312" s="102"/>
      <c r="O312" s="5"/>
    </row>
    <row r="313" spans="3:15" x14ac:dyDescent="0.3">
      <c r="D313" s="388"/>
      <c r="E313" s="95"/>
      <c r="F313" s="88"/>
      <c r="G313" s="88"/>
      <c r="H313" s="88"/>
      <c r="I313" s="86"/>
      <c r="J313" s="86"/>
      <c r="K313" s="85"/>
      <c r="M313" s="102"/>
      <c r="O313" s="5"/>
    </row>
    <row r="314" spans="3:15" x14ac:dyDescent="0.3">
      <c r="D314" s="388"/>
      <c r="E314" s="94" t="s">
        <v>315</v>
      </c>
      <c r="F314" s="93"/>
      <c r="G314" s="15">
        <f>G315</f>
        <v>3.15</v>
      </c>
      <c r="H314" s="92"/>
      <c r="I314" s="91">
        <f>I315</f>
        <v>0.45400000000000001</v>
      </c>
      <c r="J314" s="90"/>
      <c r="K314" s="89"/>
      <c r="M314" s="102"/>
      <c r="O314" s="5"/>
    </row>
    <row r="315" spans="3:15" x14ac:dyDescent="0.3">
      <c r="D315" s="388"/>
      <c r="E315" s="86"/>
      <c r="F315" s="88"/>
      <c r="G315" s="246">
        <v>3.15</v>
      </c>
      <c r="H315" s="87"/>
      <c r="I315" s="254">
        <v>0.45400000000000001</v>
      </c>
      <c r="J315" s="86" t="s">
        <v>1278</v>
      </c>
      <c r="K315" s="85"/>
      <c r="M315" s="102"/>
      <c r="O315" s="5"/>
    </row>
    <row r="316" spans="3:15" x14ac:dyDescent="0.3">
      <c r="D316" s="388"/>
      <c r="E316" s="86"/>
      <c r="F316" s="88"/>
      <c r="G316" s="87"/>
      <c r="H316" s="87"/>
      <c r="J316" s="86"/>
      <c r="K316" s="85"/>
      <c r="M316" s="102"/>
      <c r="O316" s="5"/>
    </row>
    <row r="317" spans="3:15" x14ac:dyDescent="0.3">
      <c r="D317" s="388"/>
      <c r="E317" s="94" t="s">
        <v>314</v>
      </c>
      <c r="F317" s="93"/>
      <c r="G317" s="15">
        <f>G318</f>
        <v>0.62</v>
      </c>
      <c r="H317" s="92"/>
      <c r="I317" s="91">
        <f>I318</f>
        <v>0.31900000000000001</v>
      </c>
      <c r="J317" s="90"/>
      <c r="K317" s="89"/>
      <c r="M317" s="102"/>
      <c r="O317" s="5"/>
    </row>
    <row r="318" spans="3:15" x14ac:dyDescent="0.3">
      <c r="D318" s="388"/>
      <c r="E318" s="88"/>
      <c r="F318" s="88"/>
      <c r="G318" s="246">
        <v>0.62</v>
      </c>
      <c r="H318" s="87"/>
      <c r="I318" s="254">
        <v>0.31900000000000001</v>
      </c>
      <c r="J318" s="257" t="s">
        <v>935</v>
      </c>
      <c r="K318" s="85"/>
      <c r="M318" s="102"/>
      <c r="O318" s="5"/>
    </row>
    <row r="319" spans="3:15" x14ac:dyDescent="0.3">
      <c r="D319" s="389"/>
      <c r="E319" s="84"/>
      <c r="F319" s="84"/>
      <c r="G319" s="83"/>
      <c r="H319" s="83"/>
      <c r="I319" s="82"/>
      <c r="J319" s="82"/>
      <c r="K319" s="81"/>
      <c r="M319" s="102"/>
      <c r="O319" s="5"/>
    </row>
    <row r="320" spans="3:15" x14ac:dyDescent="0.3">
      <c r="D320" s="38"/>
      <c r="E320" s="38"/>
      <c r="F320" s="38"/>
      <c r="G320" s="38"/>
      <c r="H320" s="38"/>
      <c r="I320" s="38"/>
      <c r="J320" s="86"/>
      <c r="M320" s="102"/>
      <c r="O320" s="5"/>
    </row>
    <row r="321" spans="2:15" x14ac:dyDescent="0.3">
      <c r="D321" s="38"/>
      <c r="E321" s="38"/>
      <c r="F321" s="38"/>
      <c r="G321" s="38"/>
      <c r="H321" s="38"/>
      <c r="I321" s="38"/>
      <c r="J321" s="86"/>
      <c r="M321" s="102"/>
      <c r="O321" s="5"/>
    </row>
    <row r="322" spans="2:15" s="70" customFormat="1" x14ac:dyDescent="0.3">
      <c r="D322" s="133"/>
      <c r="E322" s="133"/>
      <c r="F322" s="133"/>
      <c r="G322" s="133"/>
      <c r="H322" s="133"/>
      <c r="I322" s="133"/>
      <c r="J322" s="132"/>
      <c r="M322" s="120"/>
      <c r="O322" s="120"/>
    </row>
    <row r="323" spans="2:15" s="70" customFormat="1" x14ac:dyDescent="0.3">
      <c r="D323" s="133"/>
      <c r="E323" s="133"/>
      <c r="F323" s="133"/>
      <c r="G323" s="133"/>
      <c r="H323" s="133"/>
      <c r="I323" s="133"/>
      <c r="J323" s="132"/>
      <c r="M323" s="120"/>
      <c r="O323" s="120"/>
    </row>
    <row r="324" spans="2:15" x14ac:dyDescent="0.3">
      <c r="D324" s="38"/>
      <c r="E324" s="38"/>
      <c r="F324" s="38"/>
      <c r="G324" s="38"/>
      <c r="H324" s="38"/>
      <c r="I324" s="38"/>
      <c r="J324" s="86"/>
      <c r="M324" s="102"/>
      <c r="O324" s="5"/>
    </row>
    <row r="325" spans="2:15" ht="14.4" customHeight="1" x14ac:dyDescent="0.3">
      <c r="B325" s="392" t="s">
        <v>347</v>
      </c>
      <c r="C325" s="110"/>
      <c r="D325" s="387" t="s">
        <v>346</v>
      </c>
      <c r="E325" s="101" t="s">
        <v>316</v>
      </c>
      <c r="F325" s="99"/>
      <c r="G325" s="126"/>
      <c r="H325" s="99"/>
      <c r="I325" s="98"/>
      <c r="J325" s="97"/>
      <c r="K325" s="96"/>
      <c r="M325" s="102"/>
      <c r="O325" s="5"/>
    </row>
    <row r="326" spans="2:15" x14ac:dyDescent="0.3">
      <c r="B326" s="392"/>
      <c r="C326" s="110"/>
      <c r="D326" s="388"/>
      <c r="E326" s="95"/>
      <c r="F326" s="88"/>
      <c r="G326" s="88"/>
      <c r="H326" s="88"/>
      <c r="I326" s="86"/>
      <c r="J326" s="86"/>
      <c r="K326" s="85"/>
      <c r="M326" s="102"/>
      <c r="O326" s="5"/>
    </row>
    <row r="327" spans="2:15" x14ac:dyDescent="0.3">
      <c r="B327" s="392"/>
      <c r="C327" s="110"/>
      <c r="D327" s="388"/>
      <c r="E327" s="95"/>
      <c r="F327" s="88"/>
      <c r="G327" s="88"/>
      <c r="H327" s="88"/>
      <c r="I327" s="86"/>
      <c r="J327" s="86"/>
      <c r="K327" s="85"/>
      <c r="M327" s="102"/>
      <c r="O327" s="5"/>
    </row>
    <row r="328" spans="2:15" x14ac:dyDescent="0.3">
      <c r="B328" s="392"/>
      <c r="C328" s="110"/>
      <c r="D328" s="388"/>
      <c r="E328" s="94" t="s">
        <v>315</v>
      </c>
      <c r="F328" s="93"/>
      <c r="G328" s="131">
        <f>G332</f>
        <v>0.51800000000000002</v>
      </c>
      <c r="H328" s="131"/>
      <c r="I328" s="131">
        <f>I332</f>
        <v>0.36199999999999999</v>
      </c>
      <c r="J328" s="90"/>
      <c r="K328" s="89"/>
      <c r="M328" s="102"/>
      <c r="O328" s="5"/>
    </row>
    <row r="329" spans="2:15" x14ac:dyDescent="0.3">
      <c r="B329" s="392"/>
      <c r="C329" s="110"/>
      <c r="D329" s="388"/>
      <c r="E329" s="86"/>
      <c r="F329" s="88"/>
      <c r="G329" s="118">
        <v>1.05</v>
      </c>
      <c r="H329" s="87"/>
      <c r="I329" s="117">
        <v>-29.9</v>
      </c>
      <c r="J329" t="s">
        <v>345</v>
      </c>
      <c r="K329" s="85"/>
      <c r="M329" s="102"/>
      <c r="O329" s="5"/>
    </row>
    <row r="330" spans="2:15" x14ac:dyDescent="0.3">
      <c r="B330" s="392"/>
      <c r="C330" s="110"/>
      <c r="D330" s="388"/>
      <c r="E330" s="86"/>
      <c r="F330" s="88"/>
      <c r="G330" s="115">
        <v>1.7864919827586205</v>
      </c>
      <c r="H330" s="87"/>
      <c r="I330" s="114">
        <v>-16.454615</v>
      </c>
      <c r="J330" s="112" t="s">
        <v>923</v>
      </c>
      <c r="K330" s="85"/>
      <c r="M330" s="102"/>
      <c r="O330" s="5"/>
    </row>
    <row r="331" spans="2:15" x14ac:dyDescent="0.3">
      <c r="B331" s="392"/>
      <c r="C331" s="110"/>
      <c r="D331" s="388"/>
      <c r="E331" s="86"/>
      <c r="F331" s="88"/>
      <c r="G331" s="130">
        <v>2.68</v>
      </c>
      <c r="H331" s="104"/>
      <c r="I331" s="129">
        <v>1.59</v>
      </c>
      <c r="J331" s="112" t="s">
        <v>344</v>
      </c>
      <c r="K331" s="85"/>
      <c r="M331" s="102"/>
      <c r="O331" s="5"/>
    </row>
    <row r="332" spans="2:15" x14ac:dyDescent="0.3">
      <c r="B332" s="392"/>
      <c r="C332" s="110"/>
      <c r="D332" s="388"/>
      <c r="E332" s="86"/>
      <c r="F332" s="88"/>
      <c r="G332" s="104">
        <v>0.51800000000000002</v>
      </c>
      <c r="H332" s="87"/>
      <c r="I332" s="103">
        <v>0.36199999999999999</v>
      </c>
      <c r="J332" s="257" t="s">
        <v>934</v>
      </c>
      <c r="K332" s="85"/>
      <c r="M332" s="102"/>
      <c r="O332" s="5"/>
    </row>
    <row r="333" spans="2:15" x14ac:dyDescent="0.3">
      <c r="B333" s="392"/>
      <c r="C333" s="110"/>
      <c r="D333" s="388"/>
      <c r="E333" s="94" t="s">
        <v>314</v>
      </c>
      <c r="F333" s="93"/>
      <c r="G333" s="15">
        <f>G335</f>
        <v>0.62</v>
      </c>
      <c r="H333" s="92"/>
      <c r="I333" s="15">
        <f>I335</f>
        <v>0.31900000000000001</v>
      </c>
      <c r="J333" s="90"/>
      <c r="K333" s="89"/>
      <c r="M333" s="5"/>
      <c r="O333" s="5"/>
    </row>
    <row r="334" spans="2:15" x14ac:dyDescent="0.3">
      <c r="B334" s="392"/>
      <c r="C334" s="110"/>
      <c r="D334" s="388"/>
      <c r="E334" s="88"/>
      <c r="F334" s="88"/>
      <c r="G334" s="104">
        <v>9.5299999999999996E-2</v>
      </c>
      <c r="H334" s="104"/>
      <c r="I334" s="103">
        <v>0.30599999999999999</v>
      </c>
      <c r="J334" s="86" t="s">
        <v>343</v>
      </c>
      <c r="K334" s="85"/>
      <c r="M334" s="5"/>
      <c r="O334" s="5"/>
    </row>
    <row r="335" spans="2:15" x14ac:dyDescent="0.3">
      <c r="B335" s="392"/>
      <c r="C335" s="110"/>
      <c r="D335" s="389"/>
      <c r="E335" s="84"/>
      <c r="F335" s="84"/>
      <c r="G335" s="104">
        <v>0.62</v>
      </c>
      <c r="H335" s="87"/>
      <c r="I335" s="103">
        <v>0.31900000000000001</v>
      </c>
      <c r="J335" s="257" t="s">
        <v>935</v>
      </c>
      <c r="K335" s="81"/>
      <c r="M335" s="5"/>
      <c r="O335" s="5"/>
    </row>
    <row r="336" spans="2:15" x14ac:dyDescent="0.3">
      <c r="B336" s="392"/>
      <c r="C336" s="88"/>
      <c r="D336" s="38"/>
      <c r="E336" s="38"/>
      <c r="F336" s="38"/>
      <c r="G336" s="38"/>
      <c r="H336" s="38"/>
      <c r="I336" s="38"/>
      <c r="J336" s="86"/>
      <c r="M336" s="5"/>
      <c r="O336" s="5"/>
    </row>
    <row r="337" spans="2:15" x14ac:dyDescent="0.3">
      <c r="B337" s="392"/>
      <c r="C337" s="107"/>
      <c r="D337" s="387" t="s">
        <v>14</v>
      </c>
      <c r="E337" s="101" t="s">
        <v>316</v>
      </c>
      <c r="F337" s="99"/>
      <c r="G337" s="100"/>
      <c r="H337" s="99"/>
      <c r="I337" s="98">
        <f>I338</f>
        <v>0</v>
      </c>
      <c r="J337" s="97"/>
      <c r="K337" s="96"/>
      <c r="M337" s="105"/>
      <c r="O337" s="5"/>
    </row>
    <row r="338" spans="2:15" x14ac:dyDescent="0.3">
      <c r="B338" s="392"/>
      <c r="C338" s="107"/>
      <c r="D338" s="388"/>
      <c r="E338" s="95"/>
      <c r="F338" s="88"/>
      <c r="G338" s="88"/>
      <c r="H338" s="88"/>
      <c r="I338" s="86">
        <v>0</v>
      </c>
      <c r="K338" s="85"/>
      <c r="M338" s="102"/>
      <c r="O338" s="5"/>
    </row>
    <row r="339" spans="2:15" x14ac:dyDescent="0.3">
      <c r="B339" s="392"/>
      <c r="C339" s="107"/>
      <c r="D339" s="388"/>
      <c r="E339" s="95"/>
      <c r="F339" s="88"/>
      <c r="G339" s="88"/>
      <c r="H339" s="88"/>
      <c r="I339" s="86"/>
      <c r="J339" s="86"/>
      <c r="K339" s="85"/>
      <c r="M339" s="102"/>
      <c r="O339" s="5"/>
    </row>
    <row r="340" spans="2:15" x14ac:dyDescent="0.3">
      <c r="B340" s="392"/>
      <c r="C340" s="107"/>
      <c r="D340" s="388"/>
      <c r="E340" s="94" t="s">
        <v>315</v>
      </c>
      <c r="F340" s="93"/>
      <c r="G340" s="15">
        <f>G341</f>
        <v>2.99</v>
      </c>
      <c r="H340" s="92"/>
      <c r="I340" s="91">
        <f>I341</f>
        <v>0.14699999999999999</v>
      </c>
      <c r="J340" s="90"/>
      <c r="K340" s="89"/>
      <c r="M340" s="102"/>
      <c r="O340" s="5"/>
    </row>
    <row r="341" spans="2:15" x14ac:dyDescent="0.3">
      <c r="B341" s="392"/>
      <c r="C341" s="107"/>
      <c r="D341" s="388"/>
      <c r="E341" s="86"/>
      <c r="F341" s="88"/>
      <c r="G341" s="246">
        <v>2.99</v>
      </c>
      <c r="H341" s="87"/>
      <c r="I341" s="254">
        <v>0.14699999999999999</v>
      </c>
      <c r="J341" s="86" t="s">
        <v>880</v>
      </c>
      <c r="K341" s="85"/>
      <c r="M341" s="102"/>
      <c r="O341" s="5"/>
    </row>
    <row r="342" spans="2:15" x14ac:dyDescent="0.3">
      <c r="B342" s="392"/>
      <c r="C342" s="107"/>
      <c r="D342" s="388"/>
      <c r="E342" s="86"/>
      <c r="F342" s="88"/>
      <c r="G342" s="87"/>
      <c r="H342" s="87"/>
      <c r="I342" s="86"/>
      <c r="J342" s="86"/>
      <c r="K342" s="85"/>
      <c r="M342" s="102"/>
      <c r="O342" s="5"/>
    </row>
    <row r="343" spans="2:15" x14ac:dyDescent="0.3">
      <c r="B343" s="392"/>
      <c r="C343" s="107"/>
      <c r="D343" s="388"/>
      <c r="E343" s="94" t="s">
        <v>314</v>
      </c>
      <c r="F343" s="93"/>
      <c r="G343" s="15">
        <f>G344</f>
        <v>0.11799999999999999</v>
      </c>
      <c r="H343" s="92"/>
      <c r="I343" s="91">
        <f>I344</f>
        <v>0.25</v>
      </c>
      <c r="J343" s="90"/>
      <c r="K343" s="89"/>
      <c r="M343" s="102"/>
      <c r="O343" s="5"/>
    </row>
    <row r="344" spans="2:15" x14ac:dyDescent="0.3">
      <c r="B344" s="392"/>
      <c r="C344" s="107"/>
      <c r="D344" s="388"/>
      <c r="E344" s="88"/>
      <c r="F344" s="88"/>
      <c r="G344" s="246">
        <v>0.11799999999999999</v>
      </c>
      <c r="H344" s="87"/>
      <c r="I344" s="254">
        <v>0.25</v>
      </c>
      <c r="J344" s="86" t="s">
        <v>937</v>
      </c>
      <c r="K344" s="85"/>
      <c r="M344" s="102"/>
      <c r="O344" s="5"/>
    </row>
    <row r="345" spans="2:15" x14ac:dyDescent="0.3">
      <c r="B345" s="392"/>
      <c r="C345" s="107"/>
      <c r="D345" s="389"/>
      <c r="E345" s="84"/>
      <c r="F345" s="84"/>
      <c r="G345" s="83"/>
      <c r="H345" s="83"/>
      <c r="I345" s="82"/>
      <c r="J345" s="82"/>
      <c r="K345" s="81"/>
      <c r="M345" s="102"/>
      <c r="O345" s="5"/>
    </row>
    <row r="346" spans="2:15" x14ac:dyDescent="0.3">
      <c r="B346" s="392"/>
      <c r="C346" s="38"/>
      <c r="J346" s="95"/>
      <c r="M346" s="5"/>
      <c r="O346" s="5"/>
    </row>
    <row r="347" spans="2:15" x14ac:dyDescent="0.3">
      <c r="B347" s="392"/>
      <c r="C347" s="38"/>
      <c r="J347" s="95"/>
      <c r="M347" s="5"/>
      <c r="O347" s="5"/>
    </row>
    <row r="348" spans="2:15" x14ac:dyDescent="0.3">
      <c r="B348" s="392"/>
      <c r="C348" s="107"/>
      <c r="D348" s="387" t="s">
        <v>6</v>
      </c>
      <c r="E348" s="101" t="s">
        <v>316</v>
      </c>
      <c r="F348" s="99"/>
      <c r="G348" s="126"/>
      <c r="H348" s="125"/>
      <c r="I348" s="124"/>
      <c r="J348" s="97"/>
      <c r="K348" s="96"/>
      <c r="L348" s="39"/>
      <c r="M348" s="102"/>
      <c r="O348" s="5"/>
    </row>
    <row r="349" spans="2:15" x14ac:dyDescent="0.3">
      <c r="B349" s="392"/>
      <c r="C349" s="107"/>
      <c r="D349" s="388"/>
      <c r="E349" s="95"/>
      <c r="F349" s="88"/>
      <c r="G349" s="88"/>
      <c r="H349" s="88"/>
      <c r="I349" s="86"/>
      <c r="J349" s="86"/>
      <c r="K349" s="85"/>
      <c r="L349" s="39"/>
      <c r="M349" s="102"/>
      <c r="O349" s="5"/>
    </row>
    <row r="350" spans="2:15" x14ac:dyDescent="0.3">
      <c r="B350" s="392"/>
      <c r="C350" s="107"/>
      <c r="D350" s="388"/>
      <c r="E350" s="95"/>
      <c r="F350" s="88"/>
      <c r="G350" s="88"/>
      <c r="H350" s="88"/>
      <c r="I350" s="86"/>
      <c r="J350" s="86"/>
      <c r="K350" s="85"/>
      <c r="L350" s="39"/>
      <c r="M350" s="102"/>
      <c r="O350" s="5"/>
    </row>
    <row r="351" spans="2:15" x14ac:dyDescent="0.3">
      <c r="B351" s="392"/>
      <c r="C351" s="107"/>
      <c r="D351" s="388"/>
      <c r="E351" s="94" t="s">
        <v>315</v>
      </c>
      <c r="F351" s="93"/>
      <c r="G351" s="131">
        <f>G355</f>
        <v>0.51800000000000002</v>
      </c>
      <c r="H351" s="131"/>
      <c r="I351" s="131">
        <f>I355</f>
        <v>0.36199999999999999</v>
      </c>
      <c r="J351" s="90"/>
      <c r="K351" s="89"/>
      <c r="L351" s="39"/>
      <c r="M351" s="102"/>
      <c r="O351" s="5"/>
    </row>
    <row r="352" spans="2:15" x14ac:dyDescent="0.3">
      <c r="B352" s="392"/>
      <c r="C352" s="107"/>
      <c r="D352" s="388"/>
      <c r="E352" s="86"/>
      <c r="F352" s="88"/>
      <c r="G352" s="118">
        <v>0.46</v>
      </c>
      <c r="H352" s="87"/>
      <c r="I352" s="117">
        <v>-23.01</v>
      </c>
      <c r="J352" s="112" t="s">
        <v>924</v>
      </c>
      <c r="K352" s="85"/>
      <c r="L352" s="39"/>
      <c r="M352" s="102"/>
      <c r="O352" s="5"/>
    </row>
    <row r="353" spans="2:15" x14ac:dyDescent="0.3">
      <c r="B353" s="392"/>
      <c r="C353" s="107"/>
      <c r="D353" s="388"/>
      <c r="E353" s="86"/>
      <c r="F353" s="88"/>
      <c r="G353" s="115">
        <v>1.0882788793103448</v>
      </c>
      <c r="H353" s="87"/>
      <c r="I353" s="114">
        <v>-11.504853000000001</v>
      </c>
      <c r="J353" s="112" t="s">
        <v>925</v>
      </c>
      <c r="K353" s="85"/>
      <c r="L353" s="39"/>
      <c r="M353" s="102"/>
      <c r="O353" s="5"/>
    </row>
    <row r="354" spans="2:15" x14ac:dyDescent="0.3">
      <c r="B354" s="392"/>
      <c r="C354" s="107"/>
      <c r="D354" s="388"/>
      <c r="E354" s="86"/>
      <c r="F354" s="88"/>
      <c r="G354" s="123">
        <v>0.51400000000000001</v>
      </c>
      <c r="H354" s="87"/>
      <c r="I354" s="112"/>
      <c r="J354" s="112" t="s">
        <v>341</v>
      </c>
      <c r="K354" s="85"/>
      <c r="L354" s="39"/>
      <c r="M354" s="102"/>
      <c r="O354" s="5"/>
    </row>
    <row r="355" spans="2:15" x14ac:dyDescent="0.3">
      <c r="B355" s="392"/>
      <c r="C355" s="107"/>
      <c r="D355" s="388"/>
      <c r="E355" s="86"/>
      <c r="F355" s="88"/>
      <c r="G355" s="104">
        <v>0.51800000000000002</v>
      </c>
      <c r="H355" s="87"/>
      <c r="I355" s="103">
        <v>0.36199999999999999</v>
      </c>
      <c r="J355" s="257" t="s">
        <v>934</v>
      </c>
      <c r="K355" s="85"/>
      <c r="L355" s="39"/>
      <c r="M355" s="102"/>
      <c r="O355" s="5"/>
    </row>
    <row r="356" spans="2:15" x14ac:dyDescent="0.3">
      <c r="B356" s="392"/>
      <c r="C356" s="107"/>
      <c r="D356" s="388"/>
      <c r="E356" s="94" t="s">
        <v>314</v>
      </c>
      <c r="F356" s="93"/>
      <c r="G356" s="203">
        <f>G357</f>
        <v>0.62</v>
      </c>
      <c r="H356" s="93"/>
      <c r="I356" s="91">
        <f>I357</f>
        <v>0.31900000000000001</v>
      </c>
      <c r="J356" s="90"/>
      <c r="K356" s="89"/>
      <c r="L356" s="39"/>
      <c r="M356" s="102"/>
      <c r="O356" s="5"/>
    </row>
    <row r="357" spans="2:15" x14ac:dyDescent="0.3">
      <c r="B357" s="392"/>
      <c r="C357" s="107"/>
      <c r="D357" s="388"/>
      <c r="E357" s="88"/>
      <c r="F357" s="88"/>
      <c r="G357" s="104">
        <v>0.62</v>
      </c>
      <c r="H357" s="87"/>
      <c r="I357" s="103">
        <v>0.31900000000000001</v>
      </c>
      <c r="J357" s="257" t="s">
        <v>935</v>
      </c>
      <c r="K357" s="85" t="s">
        <v>327</v>
      </c>
      <c r="L357" s="39"/>
      <c r="M357" s="5"/>
      <c r="O357" s="5"/>
    </row>
    <row r="358" spans="2:15" x14ac:dyDescent="0.3">
      <c r="B358" s="392"/>
      <c r="C358" s="107"/>
      <c r="D358" s="389"/>
      <c r="E358" s="84"/>
      <c r="F358" s="84"/>
      <c r="G358" s="83"/>
      <c r="H358" s="83"/>
      <c r="I358" s="82"/>
      <c r="J358" s="82"/>
      <c r="K358" s="81"/>
      <c r="L358" s="39"/>
      <c r="M358" s="5"/>
      <c r="O358" s="5"/>
    </row>
    <row r="359" spans="2:15" x14ac:dyDescent="0.3">
      <c r="B359" s="392"/>
      <c r="J359" s="95"/>
      <c r="L359" s="39"/>
      <c r="M359" s="102"/>
      <c r="O359" s="5"/>
    </row>
    <row r="360" spans="2:15" x14ac:dyDescent="0.3">
      <c r="B360" s="392"/>
      <c r="J360" s="95"/>
      <c r="M360" s="102"/>
      <c r="O360" s="5"/>
    </row>
    <row r="361" spans="2:15" x14ac:dyDescent="0.3">
      <c r="B361" s="392"/>
      <c r="C361" s="110"/>
      <c r="D361" s="387" t="s">
        <v>123</v>
      </c>
      <c r="E361" s="101" t="s">
        <v>316</v>
      </c>
      <c r="F361" s="99"/>
      <c r="G361" s="126"/>
      <c r="H361" s="125"/>
      <c r="I361" s="124"/>
      <c r="J361" s="97"/>
      <c r="K361" s="96"/>
      <c r="L361" s="39"/>
      <c r="M361" s="102"/>
      <c r="O361" s="5"/>
    </row>
    <row r="362" spans="2:15" x14ac:dyDescent="0.3">
      <c r="B362" s="392"/>
      <c r="C362" s="110"/>
      <c r="D362" s="388"/>
      <c r="E362" s="95"/>
      <c r="F362" s="88"/>
      <c r="G362" s="88"/>
      <c r="H362" s="88"/>
      <c r="I362" s="86"/>
      <c r="J362" s="86"/>
      <c r="K362" s="85"/>
      <c r="L362" s="39"/>
      <c r="M362" s="102"/>
      <c r="O362" s="5"/>
    </row>
    <row r="363" spans="2:15" x14ac:dyDescent="0.3">
      <c r="B363" s="392"/>
      <c r="C363" s="110"/>
      <c r="D363" s="388"/>
      <c r="E363" s="95"/>
      <c r="F363" s="88"/>
      <c r="G363" s="88"/>
      <c r="H363" s="88"/>
      <c r="I363" s="86"/>
      <c r="J363" s="86"/>
      <c r="K363" s="85"/>
      <c r="L363" s="39"/>
      <c r="M363" s="102"/>
      <c r="O363" s="5"/>
    </row>
    <row r="364" spans="2:15" x14ac:dyDescent="0.3">
      <c r="B364" s="392"/>
      <c r="C364" s="110"/>
      <c r="D364" s="388"/>
      <c r="E364" s="94" t="s">
        <v>315</v>
      </c>
      <c r="F364" s="93"/>
      <c r="G364" s="131">
        <f>G368</f>
        <v>0.51800000000000002</v>
      </c>
      <c r="H364" s="131"/>
      <c r="I364" s="131">
        <f>I368</f>
        <v>0.36199999999999999</v>
      </c>
      <c r="J364" s="90"/>
      <c r="K364" s="89"/>
      <c r="L364" s="39"/>
      <c r="M364" s="102"/>
      <c r="O364" s="5"/>
    </row>
    <row r="365" spans="2:15" x14ac:dyDescent="0.3">
      <c r="B365" s="392"/>
      <c r="C365" s="110"/>
      <c r="D365" s="388"/>
      <c r="E365" s="86"/>
      <c r="F365" s="88"/>
      <c r="G365" s="118">
        <v>0.46</v>
      </c>
      <c r="H365" s="87"/>
      <c r="I365" s="117">
        <v>-23.01</v>
      </c>
      <c r="J365" s="112" t="s">
        <v>926</v>
      </c>
      <c r="K365" s="85"/>
      <c r="L365" s="39"/>
      <c r="M365" s="102"/>
      <c r="O365" s="5"/>
    </row>
    <row r="366" spans="2:15" x14ac:dyDescent="0.3">
      <c r="B366" s="392"/>
      <c r="C366" s="110"/>
      <c r="D366" s="388"/>
      <c r="E366" s="86"/>
      <c r="F366" s="88"/>
      <c r="G366" s="115">
        <v>1.0882788793103448</v>
      </c>
      <c r="H366" s="87"/>
      <c r="I366" s="114">
        <v>-11.504853000000001</v>
      </c>
      <c r="J366" s="112" t="s">
        <v>927</v>
      </c>
      <c r="K366" s="85"/>
      <c r="L366" s="39"/>
      <c r="M366" s="102"/>
      <c r="O366" s="5"/>
    </row>
    <row r="367" spans="2:15" x14ac:dyDescent="0.3">
      <c r="B367" s="392"/>
      <c r="C367" s="110"/>
      <c r="D367" s="388"/>
      <c r="F367" s="88"/>
      <c r="G367" s="123"/>
      <c r="H367" s="87"/>
      <c r="I367" s="112"/>
      <c r="J367" s="112"/>
      <c r="K367" s="85"/>
      <c r="L367" s="39"/>
      <c r="M367" s="102"/>
      <c r="O367" s="5"/>
    </row>
    <row r="368" spans="2:15" x14ac:dyDescent="0.3">
      <c r="B368" s="392"/>
      <c r="C368" s="110"/>
      <c r="D368" s="388"/>
      <c r="E368" s="86" t="s">
        <v>339</v>
      </c>
      <c r="F368" s="88"/>
      <c r="G368" s="104">
        <v>0.51800000000000002</v>
      </c>
      <c r="H368" s="87"/>
      <c r="I368" s="103">
        <v>0.36199999999999999</v>
      </c>
      <c r="J368" s="257" t="s">
        <v>934</v>
      </c>
      <c r="K368" s="85"/>
      <c r="L368" s="39"/>
      <c r="M368" s="102"/>
      <c r="O368" s="5"/>
    </row>
    <row r="369" spans="2:15" x14ac:dyDescent="0.3">
      <c r="B369" s="392"/>
      <c r="C369" s="110"/>
      <c r="D369" s="388"/>
      <c r="E369" s="94" t="s">
        <v>314</v>
      </c>
      <c r="F369" s="93"/>
      <c r="G369" s="15">
        <f>G371</f>
        <v>0.62</v>
      </c>
      <c r="H369" s="92"/>
      <c r="I369" s="91">
        <f>I371</f>
        <v>0.31900000000000001</v>
      </c>
      <c r="J369" s="90"/>
      <c r="K369" s="89"/>
      <c r="L369" s="39"/>
      <c r="M369" s="5"/>
      <c r="O369" s="5"/>
    </row>
    <row r="370" spans="2:15" x14ac:dyDescent="0.3">
      <c r="B370" s="392"/>
      <c r="C370" s="110"/>
      <c r="D370" s="388"/>
      <c r="E370" s="88"/>
      <c r="F370" s="88"/>
      <c r="G370" s="87"/>
      <c r="H370" s="87"/>
      <c r="I370" s="86"/>
      <c r="J370" s="86"/>
      <c r="K370" s="85"/>
      <c r="L370" s="39"/>
      <c r="M370" s="5"/>
      <c r="O370" s="5"/>
    </row>
    <row r="371" spans="2:15" x14ac:dyDescent="0.3">
      <c r="B371" s="392"/>
      <c r="C371" s="110"/>
      <c r="D371" s="389"/>
      <c r="E371" s="84" t="s">
        <v>339</v>
      </c>
      <c r="F371" s="84"/>
      <c r="G371" s="104">
        <v>0.62</v>
      </c>
      <c r="H371" s="87"/>
      <c r="I371" s="103">
        <v>0.31900000000000001</v>
      </c>
      <c r="J371" s="257" t="s">
        <v>935</v>
      </c>
      <c r="K371" s="81"/>
      <c r="L371" s="39"/>
      <c r="M371" s="102"/>
      <c r="O371" s="5"/>
    </row>
    <row r="372" spans="2:15" x14ac:dyDescent="0.3">
      <c r="B372" s="392"/>
      <c r="C372" s="88"/>
      <c r="D372" s="128"/>
      <c r="E372" s="88"/>
      <c r="F372" s="88"/>
      <c r="G372" s="87"/>
      <c r="H372" s="87"/>
      <c r="I372" s="86"/>
      <c r="J372" s="127"/>
      <c r="M372" s="102"/>
      <c r="O372" s="5"/>
    </row>
    <row r="373" spans="2:15" x14ac:dyDescent="0.3">
      <c r="B373" s="392"/>
      <c r="C373" s="110"/>
      <c r="D373" s="387" t="s">
        <v>340</v>
      </c>
      <c r="E373" s="101" t="s">
        <v>316</v>
      </c>
      <c r="F373" s="99"/>
      <c r="G373" s="126"/>
      <c r="H373" s="125"/>
      <c r="I373" s="124"/>
      <c r="J373" s="97"/>
      <c r="K373" s="96"/>
      <c r="L373" s="39"/>
      <c r="M373" s="102"/>
      <c r="O373" s="5"/>
    </row>
    <row r="374" spans="2:15" x14ac:dyDescent="0.3">
      <c r="B374" s="392"/>
      <c r="C374" s="110"/>
      <c r="D374" s="388"/>
      <c r="E374" s="95"/>
      <c r="F374" s="88"/>
      <c r="G374" s="88"/>
      <c r="H374" s="88"/>
      <c r="I374" s="86"/>
      <c r="J374" s="86"/>
      <c r="K374" s="85"/>
      <c r="L374" s="39"/>
      <c r="M374" s="102"/>
      <c r="O374" s="5"/>
    </row>
    <row r="375" spans="2:15" x14ac:dyDescent="0.3">
      <c r="B375" s="392"/>
      <c r="C375" s="110"/>
      <c r="D375" s="388"/>
      <c r="E375" s="95"/>
      <c r="F375" s="88"/>
      <c r="G375" s="88"/>
      <c r="H375" s="88"/>
      <c r="I375" s="86"/>
      <c r="J375" s="86"/>
      <c r="K375" s="85"/>
      <c r="L375" s="39"/>
      <c r="M375" s="102"/>
      <c r="O375" s="5"/>
    </row>
    <row r="376" spans="2:15" x14ac:dyDescent="0.3">
      <c r="B376" s="392"/>
      <c r="C376" s="110"/>
      <c r="D376" s="388"/>
      <c r="E376" s="94" t="s">
        <v>315</v>
      </c>
      <c r="F376" s="93"/>
      <c r="G376" s="131">
        <f>G377</f>
        <v>0.51800000000000002</v>
      </c>
      <c r="H376" s="131"/>
      <c r="I376" s="131">
        <f>I377</f>
        <v>0.36199999999999999</v>
      </c>
      <c r="J376" s="90"/>
      <c r="K376" s="89"/>
      <c r="L376" s="39"/>
      <c r="M376" s="102"/>
      <c r="O376" s="5"/>
    </row>
    <row r="377" spans="2:15" x14ac:dyDescent="0.3">
      <c r="B377" s="392"/>
      <c r="C377" s="110"/>
      <c r="D377" s="388"/>
      <c r="E377" s="86"/>
      <c r="F377" s="88"/>
      <c r="G377" s="246">
        <v>0.51800000000000002</v>
      </c>
      <c r="H377" s="87"/>
      <c r="I377" s="254">
        <v>0.36199999999999999</v>
      </c>
      <c r="J377" s="257" t="s">
        <v>934</v>
      </c>
      <c r="K377" s="85" t="s">
        <v>940</v>
      </c>
      <c r="L377" s="39"/>
      <c r="M377" s="102"/>
      <c r="O377" s="5"/>
    </row>
    <row r="378" spans="2:15" x14ac:dyDescent="0.3">
      <c r="B378" s="392"/>
      <c r="C378" s="110"/>
      <c r="D378" s="388"/>
      <c r="E378" s="86"/>
      <c r="F378" s="88"/>
      <c r="G378" s="123"/>
      <c r="H378" s="87"/>
      <c r="I378" s="112"/>
      <c r="J378" s="112"/>
      <c r="K378" s="85"/>
      <c r="L378" s="39"/>
      <c r="M378" s="102"/>
      <c r="O378" s="5"/>
    </row>
    <row r="379" spans="2:15" x14ac:dyDescent="0.3">
      <c r="B379" s="392"/>
      <c r="C379" s="110"/>
      <c r="D379" s="388"/>
      <c r="F379" s="88"/>
      <c r="G379" s="123"/>
      <c r="H379" s="87"/>
      <c r="I379" s="112"/>
      <c r="J379" s="112"/>
      <c r="K379" s="85"/>
      <c r="L379" s="39"/>
      <c r="M379" s="102"/>
      <c r="O379" s="5"/>
    </row>
    <row r="380" spans="2:15" x14ac:dyDescent="0.3">
      <c r="B380" s="392"/>
      <c r="C380" s="110"/>
      <c r="D380" s="388"/>
      <c r="E380" s="86" t="s">
        <v>339</v>
      </c>
      <c r="F380" s="88"/>
      <c r="G380" s="122"/>
      <c r="H380" s="87"/>
      <c r="I380" s="112"/>
      <c r="J380" s="127"/>
      <c r="K380" s="85"/>
      <c r="L380" s="39"/>
      <c r="M380" s="102"/>
      <c r="O380" s="5"/>
    </row>
    <row r="381" spans="2:15" x14ac:dyDescent="0.3">
      <c r="B381" s="392"/>
      <c r="C381" s="110"/>
      <c r="D381" s="388"/>
      <c r="E381" s="94" t="s">
        <v>314</v>
      </c>
      <c r="F381" s="93"/>
      <c r="G381" s="15">
        <f>G382</f>
        <v>0.62</v>
      </c>
      <c r="H381" s="92"/>
      <c r="I381" s="91">
        <f>I382</f>
        <v>0.31900000000000001</v>
      </c>
      <c r="J381" s="90"/>
      <c r="K381" s="89"/>
      <c r="L381" s="39"/>
      <c r="M381" s="102"/>
      <c r="O381" s="5"/>
    </row>
    <row r="382" spans="2:15" x14ac:dyDescent="0.3">
      <c r="B382" s="392"/>
      <c r="C382" s="110"/>
      <c r="D382" s="388"/>
      <c r="E382" s="88"/>
      <c r="F382" s="88"/>
      <c r="G382" s="246">
        <v>0.62</v>
      </c>
      <c r="H382" s="87"/>
      <c r="I382" s="254">
        <v>0.31900000000000001</v>
      </c>
      <c r="J382" s="257" t="s">
        <v>935</v>
      </c>
      <c r="K382" s="85"/>
      <c r="L382" s="39"/>
      <c r="M382" s="102"/>
      <c r="O382" s="5"/>
    </row>
    <row r="383" spans="2:15" x14ac:dyDescent="0.3">
      <c r="B383" s="392"/>
      <c r="C383" s="110"/>
      <c r="D383" s="389"/>
      <c r="E383" s="84"/>
      <c r="F383" s="84"/>
      <c r="G383" s="83"/>
      <c r="H383" s="83"/>
      <c r="I383" s="82"/>
      <c r="J383" s="121"/>
      <c r="K383" s="81"/>
      <c r="L383" s="39"/>
      <c r="M383" s="102"/>
      <c r="O383" s="5"/>
    </row>
    <row r="384" spans="2:15" x14ac:dyDescent="0.3">
      <c r="B384" s="392"/>
      <c r="M384" s="102"/>
      <c r="O384" s="5"/>
    </row>
    <row r="385" spans="2:15" x14ac:dyDescent="0.3">
      <c r="B385" s="392"/>
      <c r="C385" s="107"/>
      <c r="D385" s="387" t="s">
        <v>1101</v>
      </c>
      <c r="E385" s="101" t="s">
        <v>316</v>
      </c>
      <c r="F385" s="99"/>
      <c r="G385" s="100"/>
      <c r="H385" s="99"/>
      <c r="I385" s="98"/>
      <c r="J385" s="97"/>
      <c r="K385" s="96"/>
      <c r="M385" s="102"/>
      <c r="O385" s="5"/>
    </row>
    <row r="386" spans="2:15" x14ac:dyDescent="0.3">
      <c r="B386" s="392"/>
      <c r="C386" s="107"/>
      <c r="D386" s="388"/>
      <c r="E386" s="95"/>
      <c r="F386" s="88"/>
      <c r="G386" s="88"/>
      <c r="H386" s="88"/>
      <c r="I386" s="86"/>
      <c r="J386" s="86"/>
      <c r="K386" s="85"/>
      <c r="M386" s="102"/>
      <c r="O386" s="5"/>
    </row>
    <row r="387" spans="2:15" x14ac:dyDescent="0.3">
      <c r="B387" s="392"/>
      <c r="C387" s="107"/>
      <c r="D387" s="388"/>
      <c r="E387" s="95"/>
      <c r="F387" s="88"/>
      <c r="G387" s="88"/>
      <c r="H387" s="88"/>
      <c r="I387" s="86"/>
      <c r="J387" s="86"/>
      <c r="K387" s="85"/>
      <c r="M387" s="102"/>
      <c r="O387" s="5"/>
    </row>
    <row r="388" spans="2:15" x14ac:dyDescent="0.3">
      <c r="B388" s="392"/>
      <c r="C388" s="107"/>
      <c r="D388" s="388"/>
      <c r="E388" s="94" t="s">
        <v>315</v>
      </c>
      <c r="F388" s="93"/>
      <c r="G388" s="15">
        <f>G389</f>
        <v>1.2200000000000001E-2</v>
      </c>
      <c r="H388" s="92"/>
      <c r="I388" s="91">
        <f>I389</f>
        <v>0.27500000000000002</v>
      </c>
      <c r="J388" s="90"/>
      <c r="K388" s="89"/>
      <c r="M388" s="102"/>
      <c r="O388" s="5"/>
    </row>
    <row r="389" spans="2:15" x14ac:dyDescent="0.3">
      <c r="B389" s="392"/>
      <c r="C389" s="107"/>
      <c r="D389" s="388"/>
      <c r="E389" s="86"/>
      <c r="F389" s="88"/>
      <c r="G389" s="104">
        <v>1.2200000000000001E-2</v>
      </c>
      <c r="H389" s="87"/>
      <c r="I389" s="103">
        <v>0.27500000000000002</v>
      </c>
      <c r="J389" s="86" t="s">
        <v>1102</v>
      </c>
      <c r="K389" s="85"/>
      <c r="M389" s="102"/>
      <c r="O389" s="5"/>
    </row>
    <row r="390" spans="2:15" x14ac:dyDescent="0.3">
      <c r="B390" s="392"/>
      <c r="C390" s="107"/>
      <c r="D390" s="388"/>
      <c r="E390" s="86"/>
      <c r="F390" s="88"/>
      <c r="G390" s="87"/>
      <c r="H390" s="87"/>
      <c r="I390" s="86"/>
      <c r="J390" s="86"/>
      <c r="K390" s="85"/>
      <c r="M390" s="102"/>
      <c r="O390" s="5"/>
    </row>
    <row r="391" spans="2:15" x14ac:dyDescent="0.3">
      <c r="B391" s="392"/>
      <c r="C391" s="107"/>
      <c r="D391" s="388"/>
      <c r="E391" s="94" t="s">
        <v>314</v>
      </c>
      <c r="F391" s="93"/>
      <c r="G391" s="15">
        <f>G392</f>
        <v>4.2100000000000002E-3</v>
      </c>
      <c r="H391" s="92"/>
      <c r="I391" s="91">
        <f>I392</f>
        <v>0.14899999999999999</v>
      </c>
      <c r="J391" s="90"/>
      <c r="K391" s="89"/>
      <c r="M391" s="102"/>
      <c r="O391" s="5"/>
    </row>
    <row r="392" spans="2:15" x14ac:dyDescent="0.3">
      <c r="B392" s="392"/>
      <c r="C392" s="107"/>
      <c r="D392" s="388"/>
      <c r="E392" s="88"/>
      <c r="F392" s="88"/>
      <c r="G392" s="104">
        <v>4.2100000000000002E-3</v>
      </c>
      <c r="H392" s="87"/>
      <c r="I392" s="103">
        <v>0.14899999999999999</v>
      </c>
      <c r="J392" s="86" t="s">
        <v>1103</v>
      </c>
      <c r="K392" s="85"/>
      <c r="M392" s="102"/>
      <c r="O392" s="5"/>
    </row>
    <row r="393" spans="2:15" x14ac:dyDescent="0.3">
      <c r="B393" s="392"/>
      <c r="C393" s="107"/>
      <c r="D393" s="389"/>
      <c r="E393" s="84"/>
      <c r="F393" s="84"/>
      <c r="G393" s="83"/>
      <c r="H393" s="83"/>
      <c r="I393" s="82"/>
      <c r="J393" s="82"/>
      <c r="K393" s="81"/>
      <c r="M393" s="102"/>
      <c r="O393" s="5"/>
    </row>
    <row r="394" spans="2:15" x14ac:dyDescent="0.3">
      <c r="B394" s="392"/>
      <c r="M394" s="102"/>
      <c r="O394" s="5"/>
    </row>
    <row r="395" spans="2:15" x14ac:dyDescent="0.3">
      <c r="B395" s="392"/>
      <c r="C395" s="107"/>
      <c r="D395" s="387" t="s">
        <v>796</v>
      </c>
      <c r="E395" s="101" t="s">
        <v>316</v>
      </c>
      <c r="F395" s="99"/>
      <c r="G395" s="100"/>
      <c r="H395" s="99"/>
      <c r="I395" s="98"/>
      <c r="J395" s="97"/>
      <c r="K395" s="96"/>
      <c r="M395" s="102"/>
      <c r="O395" s="5"/>
    </row>
    <row r="396" spans="2:15" x14ac:dyDescent="0.3">
      <c r="B396" s="392"/>
      <c r="C396" s="107"/>
      <c r="D396" s="388"/>
      <c r="E396" s="95"/>
      <c r="F396" s="88"/>
      <c r="G396" s="88"/>
      <c r="H396" s="88"/>
      <c r="I396" s="86"/>
      <c r="J396" s="86"/>
      <c r="K396" s="85"/>
      <c r="M396" s="102"/>
      <c r="O396" s="5"/>
    </row>
    <row r="397" spans="2:15" x14ac:dyDescent="0.3">
      <c r="B397" s="392"/>
      <c r="C397" s="107"/>
      <c r="D397" s="388"/>
      <c r="E397" s="95"/>
      <c r="F397" s="88"/>
      <c r="G397" s="88"/>
      <c r="H397" s="88"/>
      <c r="I397" s="86"/>
      <c r="J397" s="86"/>
      <c r="K397" s="85"/>
      <c r="M397" s="102"/>
      <c r="O397" s="5"/>
    </row>
    <row r="398" spans="2:15" x14ac:dyDescent="0.3">
      <c r="B398" s="392"/>
      <c r="C398" s="107"/>
      <c r="D398" s="388"/>
      <c r="E398" s="94" t="s">
        <v>315</v>
      </c>
      <c r="F398" s="93"/>
      <c r="G398" s="15">
        <f>G399</f>
        <v>0.51800000000000002</v>
      </c>
      <c r="H398" s="92"/>
      <c r="I398" s="91">
        <f>I399</f>
        <v>0.36199999999999999</v>
      </c>
      <c r="J398" s="90"/>
      <c r="K398" s="89"/>
      <c r="M398" s="102"/>
      <c r="O398" s="5"/>
    </row>
    <row r="399" spans="2:15" x14ac:dyDescent="0.3">
      <c r="B399" s="392"/>
      <c r="C399" s="107"/>
      <c r="D399" s="388"/>
      <c r="E399" s="86"/>
      <c r="F399" s="88"/>
      <c r="G399" s="104">
        <v>0.51800000000000002</v>
      </c>
      <c r="H399" s="87"/>
      <c r="I399" s="103">
        <v>0.36199999999999999</v>
      </c>
      <c r="J399" s="257" t="s">
        <v>934</v>
      </c>
      <c r="K399" s="85"/>
      <c r="M399" s="102"/>
      <c r="O399" s="5"/>
    </row>
    <row r="400" spans="2:15" x14ac:dyDescent="0.3">
      <c r="B400" s="392"/>
      <c r="C400" s="107"/>
      <c r="D400" s="388"/>
      <c r="E400" s="86"/>
      <c r="F400" s="88"/>
      <c r="G400" s="87"/>
      <c r="H400" s="87"/>
      <c r="I400" s="86"/>
      <c r="J400" s="86"/>
      <c r="K400" s="85"/>
      <c r="M400" s="102"/>
      <c r="O400" s="5"/>
    </row>
    <row r="401" spans="2:15" x14ac:dyDescent="0.3">
      <c r="B401" s="392"/>
      <c r="C401" s="107"/>
      <c r="D401" s="388"/>
      <c r="E401" s="94" t="s">
        <v>314</v>
      </c>
      <c r="F401" s="93"/>
      <c r="G401" s="15">
        <f>G402</f>
        <v>0.62</v>
      </c>
      <c r="H401" s="92"/>
      <c r="I401" s="91">
        <f>I402</f>
        <v>0.31900000000000001</v>
      </c>
      <c r="J401" s="90"/>
      <c r="K401" s="89"/>
      <c r="M401" s="102"/>
      <c r="O401" s="5"/>
    </row>
    <row r="402" spans="2:15" x14ac:dyDescent="0.3">
      <c r="B402" s="392"/>
      <c r="C402" s="107"/>
      <c r="D402" s="388"/>
      <c r="E402" s="88"/>
      <c r="F402" s="88"/>
      <c r="G402" s="104">
        <v>0.62</v>
      </c>
      <c r="H402" s="87"/>
      <c r="I402" s="103">
        <v>0.31900000000000001</v>
      </c>
      <c r="J402" s="257" t="s">
        <v>935</v>
      </c>
      <c r="K402" s="85"/>
      <c r="M402" s="102"/>
      <c r="O402" s="5"/>
    </row>
    <row r="403" spans="2:15" x14ac:dyDescent="0.3">
      <c r="B403" s="392"/>
      <c r="C403" s="107"/>
      <c r="D403" s="389"/>
      <c r="E403" s="84"/>
      <c r="F403" s="84"/>
      <c r="G403" s="83"/>
      <c r="H403" s="83"/>
      <c r="I403" s="82"/>
      <c r="J403" s="82"/>
      <c r="K403" s="81"/>
      <c r="M403" s="102"/>
      <c r="O403" s="5"/>
    </row>
    <row r="404" spans="2:15" x14ac:dyDescent="0.3">
      <c r="B404" s="392"/>
      <c r="M404" s="102"/>
      <c r="O404" s="5"/>
    </row>
    <row r="405" spans="2:15" x14ac:dyDescent="0.3">
      <c r="B405" s="392"/>
      <c r="C405" s="107"/>
      <c r="D405" s="387" t="s">
        <v>1322</v>
      </c>
      <c r="E405" s="101" t="s">
        <v>316</v>
      </c>
      <c r="F405" s="99"/>
      <c r="G405" s="100"/>
      <c r="H405" s="99"/>
      <c r="I405" s="98"/>
      <c r="J405" s="97"/>
      <c r="K405" s="96"/>
      <c r="M405" s="102"/>
      <c r="O405" s="5"/>
    </row>
    <row r="406" spans="2:15" x14ac:dyDescent="0.3">
      <c r="B406" s="392"/>
      <c r="C406" s="107"/>
      <c r="D406" s="388"/>
      <c r="E406" s="95"/>
      <c r="F406" s="88"/>
      <c r="G406" s="88"/>
      <c r="H406" s="88"/>
      <c r="I406" s="86"/>
      <c r="J406" s="86"/>
      <c r="K406" s="85"/>
      <c r="M406" s="102"/>
      <c r="O406" s="5"/>
    </row>
    <row r="407" spans="2:15" x14ac:dyDescent="0.3">
      <c r="B407" s="392"/>
      <c r="C407" s="107"/>
      <c r="D407" s="388"/>
      <c r="E407" s="95"/>
      <c r="F407" s="88"/>
      <c r="G407" s="88"/>
      <c r="H407" s="88"/>
      <c r="I407" s="86"/>
      <c r="J407" s="86"/>
      <c r="K407" s="85"/>
      <c r="M407" s="102"/>
      <c r="O407" s="5"/>
    </row>
    <row r="408" spans="2:15" x14ac:dyDescent="0.3">
      <c r="B408" s="392"/>
      <c r="C408" s="107"/>
      <c r="D408" s="388"/>
      <c r="E408" s="94" t="s">
        <v>315</v>
      </c>
      <c r="F408" s="93"/>
      <c r="G408" s="15">
        <f>G409</f>
        <v>0.51800000000000002</v>
      </c>
      <c r="H408" s="92"/>
      <c r="I408" s="91">
        <f>I409</f>
        <v>0.36199999999999999</v>
      </c>
      <c r="J408" s="90"/>
      <c r="K408" s="89"/>
      <c r="M408" s="102"/>
      <c r="O408" s="5"/>
    </row>
    <row r="409" spans="2:15" x14ac:dyDescent="0.3">
      <c r="B409" s="392"/>
      <c r="C409" s="107"/>
      <c r="D409" s="388"/>
      <c r="E409" s="86"/>
      <c r="F409" s="88"/>
      <c r="G409" s="104">
        <v>0.51800000000000002</v>
      </c>
      <c r="H409" s="87"/>
      <c r="I409" s="103">
        <v>0.36199999999999999</v>
      </c>
      <c r="J409" s="257" t="s">
        <v>934</v>
      </c>
      <c r="K409" s="85"/>
      <c r="M409" s="102"/>
      <c r="O409" s="5"/>
    </row>
    <row r="410" spans="2:15" x14ac:dyDescent="0.3">
      <c r="B410" s="392"/>
      <c r="C410" s="107"/>
      <c r="D410" s="388"/>
      <c r="E410" s="86"/>
      <c r="F410" s="88"/>
      <c r="G410" s="87"/>
      <c r="H410" s="87"/>
      <c r="I410" s="86"/>
      <c r="J410" s="86"/>
      <c r="K410" s="85"/>
      <c r="M410" s="102"/>
      <c r="O410" s="5"/>
    </row>
    <row r="411" spans="2:15" x14ac:dyDescent="0.3">
      <c r="B411" s="392"/>
      <c r="C411" s="107"/>
      <c r="D411" s="388"/>
      <c r="E411" s="94" t="s">
        <v>314</v>
      </c>
      <c r="F411" s="93"/>
      <c r="G411" s="15">
        <f>G412</f>
        <v>0.62</v>
      </c>
      <c r="H411" s="92"/>
      <c r="I411" s="91">
        <f>I412</f>
        <v>0.31900000000000001</v>
      </c>
      <c r="J411" s="90"/>
      <c r="K411" s="89"/>
      <c r="M411" s="102"/>
      <c r="O411" s="5"/>
    </row>
    <row r="412" spans="2:15" x14ac:dyDescent="0.3">
      <c r="B412" s="392"/>
      <c r="C412" s="107"/>
      <c r="D412" s="388"/>
      <c r="E412" s="88"/>
      <c r="F412" s="88"/>
      <c r="G412" s="104">
        <v>0.62</v>
      </c>
      <c r="H412" s="87"/>
      <c r="I412" s="103">
        <v>0.31900000000000001</v>
      </c>
      <c r="J412" s="257" t="s">
        <v>935</v>
      </c>
      <c r="K412" s="85"/>
      <c r="M412" s="102"/>
      <c r="O412" s="5"/>
    </row>
    <row r="413" spans="2:15" x14ac:dyDescent="0.3">
      <c r="B413" s="392"/>
      <c r="C413" s="107"/>
      <c r="D413" s="389"/>
      <c r="E413" s="84"/>
      <c r="F413" s="84"/>
      <c r="G413" s="83"/>
      <c r="H413" s="83"/>
      <c r="I413" s="82"/>
      <c r="J413" s="82"/>
      <c r="K413" s="81"/>
      <c r="M413" s="102"/>
      <c r="O413" s="5"/>
    </row>
    <row r="414" spans="2:15" s="70" customFormat="1" x14ac:dyDescent="0.3">
      <c r="B414" s="392"/>
      <c r="M414" s="120"/>
      <c r="O414" s="120"/>
    </row>
    <row r="415" spans="2:15" s="70" customFormat="1" x14ac:dyDescent="0.3">
      <c r="B415" s="392"/>
      <c r="M415" s="120"/>
      <c r="O415" s="120"/>
    </row>
    <row r="416" spans="2:15" x14ac:dyDescent="0.3">
      <c r="B416" s="392"/>
      <c r="M416" s="102"/>
      <c r="O416" s="5"/>
    </row>
    <row r="417" spans="2:15" x14ac:dyDescent="0.3">
      <c r="B417" s="392"/>
      <c r="M417" s="102"/>
      <c r="O417" s="5"/>
    </row>
    <row r="418" spans="2:15" x14ac:dyDescent="0.3">
      <c r="B418" s="392"/>
      <c r="C418" s="107"/>
      <c r="D418" s="387" t="s">
        <v>298</v>
      </c>
      <c r="E418" s="101" t="s">
        <v>316</v>
      </c>
      <c r="F418" s="99"/>
      <c r="G418" s="100"/>
      <c r="H418" s="99"/>
      <c r="I418" s="98"/>
      <c r="J418" s="97"/>
      <c r="K418" s="96"/>
      <c r="M418" s="102"/>
      <c r="O418" s="5"/>
    </row>
    <row r="419" spans="2:15" x14ac:dyDescent="0.3">
      <c r="B419" s="392"/>
      <c r="C419" s="107"/>
      <c r="D419" s="388"/>
      <c r="E419" s="95"/>
      <c r="F419" s="88"/>
      <c r="G419" s="88"/>
      <c r="H419" s="88"/>
      <c r="I419" s="86"/>
      <c r="J419" s="86"/>
      <c r="K419" s="85"/>
      <c r="M419" s="102"/>
      <c r="O419" s="5"/>
    </row>
    <row r="420" spans="2:15" x14ac:dyDescent="0.3">
      <c r="B420" s="392"/>
      <c r="C420" s="107"/>
      <c r="D420" s="388"/>
      <c r="E420" s="95"/>
      <c r="F420" s="88"/>
      <c r="G420" s="88"/>
      <c r="H420" s="88"/>
      <c r="I420" s="86"/>
      <c r="J420" s="86"/>
      <c r="K420" s="85"/>
      <c r="M420" s="102"/>
      <c r="O420" s="5"/>
    </row>
    <row r="421" spans="2:15" x14ac:dyDescent="0.3">
      <c r="B421" s="392"/>
      <c r="C421" s="107"/>
      <c r="D421" s="388"/>
      <c r="E421" s="94" t="s">
        <v>315</v>
      </c>
      <c r="F421" s="93"/>
      <c r="G421" s="15">
        <f>G422</f>
        <v>2.38</v>
      </c>
      <c r="H421" s="92"/>
      <c r="I421" s="91">
        <f>I422</f>
        <v>0.17399999999999999</v>
      </c>
      <c r="J421" s="90"/>
      <c r="K421" s="89"/>
      <c r="M421" s="102"/>
      <c r="O421" s="5"/>
    </row>
    <row r="422" spans="2:15" x14ac:dyDescent="0.3">
      <c r="B422" s="392"/>
      <c r="C422" s="107"/>
      <c r="D422" s="388"/>
      <c r="E422" s="86"/>
      <c r="F422" s="88"/>
      <c r="G422" s="104">
        <v>2.38</v>
      </c>
      <c r="H422" s="87"/>
      <c r="I422" s="103">
        <v>0.17399999999999999</v>
      </c>
      <c r="J422" s="86" t="s">
        <v>338</v>
      </c>
      <c r="K422" s="85" t="s">
        <v>337</v>
      </c>
      <c r="M422" s="102"/>
      <c r="O422" s="5"/>
    </row>
    <row r="423" spans="2:15" x14ac:dyDescent="0.3">
      <c r="B423" s="392"/>
      <c r="C423" s="107"/>
      <c r="D423" s="388"/>
      <c r="E423" s="86"/>
      <c r="F423" s="88"/>
      <c r="G423" s="87"/>
      <c r="H423" s="87"/>
      <c r="I423" s="86"/>
      <c r="J423" s="86"/>
      <c r="K423" s="85"/>
      <c r="M423" s="102"/>
      <c r="O423" s="5"/>
    </row>
    <row r="424" spans="2:15" x14ac:dyDescent="0.3">
      <c r="B424" s="392"/>
      <c r="C424" s="107"/>
      <c r="D424" s="388"/>
      <c r="E424" s="94" t="s">
        <v>314</v>
      </c>
      <c r="F424" s="93"/>
      <c r="G424" s="15">
        <f>G425</f>
        <v>9.5000000000000001E-2</v>
      </c>
      <c r="H424" s="92"/>
      <c r="I424" s="91">
        <f>I425</f>
        <v>0.249</v>
      </c>
      <c r="J424" s="90"/>
      <c r="K424" s="89"/>
      <c r="M424" s="102"/>
      <c r="O424" s="5"/>
    </row>
    <row r="425" spans="2:15" x14ac:dyDescent="0.3">
      <c r="B425" s="392"/>
      <c r="C425" s="107"/>
      <c r="D425" s="388"/>
      <c r="E425" s="88"/>
      <c r="F425" s="88"/>
      <c r="G425" s="104">
        <v>9.5000000000000001E-2</v>
      </c>
      <c r="H425" s="87"/>
      <c r="I425" s="103">
        <v>0.249</v>
      </c>
      <c r="J425" s="86"/>
      <c r="K425" s="85"/>
      <c r="M425" s="102"/>
      <c r="O425" s="5"/>
    </row>
    <row r="426" spans="2:15" x14ac:dyDescent="0.3">
      <c r="B426" s="392"/>
      <c r="C426" s="107"/>
      <c r="D426" s="389"/>
      <c r="E426" s="84"/>
      <c r="F426" s="84"/>
      <c r="G426" s="83"/>
      <c r="H426" s="83"/>
      <c r="I426" s="82"/>
      <c r="J426" s="82"/>
      <c r="K426" s="81"/>
      <c r="M426" s="102"/>
      <c r="O426" s="5"/>
    </row>
    <row r="427" spans="2:15" x14ac:dyDescent="0.3">
      <c r="B427" s="392"/>
      <c r="M427" s="102"/>
      <c r="O427" s="5"/>
    </row>
    <row r="428" spans="2:15" x14ac:dyDescent="0.3">
      <c r="B428" s="392"/>
      <c r="M428" s="102"/>
      <c r="O428" s="5"/>
    </row>
    <row r="429" spans="2:15" x14ac:dyDescent="0.3">
      <c r="B429" s="392"/>
      <c r="M429" s="102"/>
      <c r="O429" s="5"/>
    </row>
    <row r="430" spans="2:15" x14ac:dyDescent="0.3">
      <c r="B430" s="392"/>
      <c r="M430" s="102"/>
      <c r="O430" s="5"/>
    </row>
    <row r="431" spans="2:15" x14ac:dyDescent="0.3">
      <c r="B431" s="392"/>
      <c r="C431" s="107"/>
      <c r="D431" s="387" t="s">
        <v>130</v>
      </c>
      <c r="E431" s="101" t="s">
        <v>316</v>
      </c>
      <c r="F431" s="99"/>
      <c r="G431" s="100"/>
      <c r="H431" s="99"/>
      <c r="I431" s="98"/>
      <c r="J431" s="97"/>
      <c r="K431" s="96"/>
      <c r="M431" s="102"/>
      <c r="O431" s="5"/>
    </row>
    <row r="432" spans="2:15" x14ac:dyDescent="0.3">
      <c r="B432" s="392"/>
      <c r="C432" s="107"/>
      <c r="D432" s="388"/>
      <c r="E432" s="95"/>
      <c r="F432" s="88"/>
      <c r="G432" s="88"/>
      <c r="H432" s="88"/>
      <c r="I432" s="86"/>
      <c r="J432" s="86"/>
      <c r="K432" s="85"/>
      <c r="M432" s="102"/>
      <c r="O432" s="5"/>
    </row>
    <row r="433" spans="2:17" x14ac:dyDescent="0.3">
      <c r="B433" s="392"/>
      <c r="C433" s="107"/>
      <c r="D433" s="388"/>
      <c r="E433" s="95"/>
      <c r="F433" s="88"/>
      <c r="G433" s="88"/>
      <c r="H433" s="88"/>
      <c r="I433" s="86"/>
      <c r="J433" s="86"/>
      <c r="K433" s="85"/>
      <c r="M433" s="102"/>
      <c r="O433" s="5"/>
    </row>
    <row r="434" spans="2:17" x14ac:dyDescent="0.3">
      <c r="B434" s="392"/>
      <c r="C434" s="107"/>
      <c r="D434" s="388"/>
      <c r="E434" s="94" t="s">
        <v>315</v>
      </c>
      <c r="F434" s="93"/>
      <c r="G434" s="131">
        <f>G440</f>
        <v>1.8363636363636364</v>
      </c>
      <c r="H434" s="131">
        <f>H437</f>
        <v>0</v>
      </c>
      <c r="I434" s="131">
        <f>I440</f>
        <v>0.48399999999999999</v>
      </c>
      <c r="J434" s="90"/>
      <c r="K434" s="89"/>
      <c r="M434" s="102"/>
      <c r="O434" s="5"/>
    </row>
    <row r="435" spans="2:17" x14ac:dyDescent="0.3">
      <c r="B435" s="392"/>
      <c r="C435" s="107"/>
      <c r="D435" s="388"/>
      <c r="E435" s="86"/>
      <c r="F435" s="88"/>
      <c r="G435" s="118">
        <v>0.2</v>
      </c>
      <c r="H435" s="87"/>
      <c r="I435" s="117">
        <v>-59.2</v>
      </c>
      <c r="J435" s="116" t="s">
        <v>928</v>
      </c>
      <c r="K435" s="85"/>
      <c r="M435" s="5"/>
      <c r="O435" s="5"/>
    </row>
    <row r="436" spans="2:17" x14ac:dyDescent="0.3">
      <c r="B436" s="392"/>
      <c r="C436" s="107"/>
      <c r="D436" s="388"/>
      <c r="E436" s="86"/>
      <c r="F436" s="88"/>
      <c r="G436" s="115">
        <v>0.29827353448275862</v>
      </c>
      <c r="H436" s="87"/>
      <c r="I436" s="114">
        <v>-51.571173000000002</v>
      </c>
      <c r="J436" s="112" t="s">
        <v>929</v>
      </c>
      <c r="K436" s="85"/>
      <c r="M436" s="5"/>
      <c r="O436" s="5"/>
    </row>
    <row r="437" spans="2:17" x14ac:dyDescent="0.3">
      <c r="B437" s="392"/>
      <c r="C437" s="107"/>
      <c r="D437" s="388"/>
      <c r="E437" s="86"/>
      <c r="F437" s="88"/>
      <c r="G437" s="115">
        <v>1.6628169827586208</v>
      </c>
      <c r="H437" s="87"/>
      <c r="I437" s="114">
        <v>-32.548031999999999</v>
      </c>
      <c r="J437" s="112" t="s">
        <v>930</v>
      </c>
      <c r="K437" s="85"/>
      <c r="M437" s="102"/>
      <c r="O437" s="5"/>
    </row>
    <row r="438" spans="2:17" x14ac:dyDescent="0.3">
      <c r="B438" s="392"/>
      <c r="C438" s="107"/>
      <c r="D438" s="388"/>
      <c r="E438" s="86"/>
      <c r="F438" s="88"/>
      <c r="G438" s="113">
        <v>3.16</v>
      </c>
      <c r="H438" s="87"/>
      <c r="I438" s="112"/>
      <c r="J438" s="112" t="s">
        <v>336</v>
      </c>
      <c r="K438" s="85"/>
      <c r="M438" s="102"/>
      <c r="O438" s="5"/>
    </row>
    <row r="439" spans="2:17" x14ac:dyDescent="0.3">
      <c r="B439" s="392"/>
      <c r="C439" s="107"/>
      <c r="D439" s="388"/>
      <c r="E439" s="86"/>
      <c r="F439" s="88"/>
      <c r="G439" s="113">
        <v>3.15</v>
      </c>
      <c r="H439" s="87"/>
      <c r="I439" s="112"/>
      <c r="J439" s="112" t="s">
        <v>335</v>
      </c>
      <c r="K439" s="85"/>
      <c r="M439" s="102"/>
      <c r="O439" s="5"/>
    </row>
    <row r="440" spans="2:17" x14ac:dyDescent="0.3">
      <c r="B440" s="392"/>
      <c r="C440" s="107"/>
      <c r="D440" s="388"/>
      <c r="E440" s="86"/>
      <c r="F440" s="88"/>
      <c r="G440" s="313">
        <f>30.3/16.5</f>
        <v>1.8363636363636364</v>
      </c>
      <c r="H440" s="87"/>
      <c r="I440" s="314">
        <v>0.48399999999999999</v>
      </c>
      <c r="J440" s="86" t="s">
        <v>334</v>
      </c>
      <c r="K440" s="85" t="s">
        <v>1320</v>
      </c>
      <c r="M440" s="102"/>
      <c r="O440" s="5"/>
    </row>
    <row r="441" spans="2:17" x14ac:dyDescent="0.3">
      <c r="B441" s="392"/>
      <c r="C441" s="107"/>
      <c r="D441" s="388"/>
      <c r="E441" s="94" t="s">
        <v>314</v>
      </c>
      <c r="F441" s="93"/>
      <c r="G441" s="203">
        <f>G442</f>
        <v>0.75600000000000001</v>
      </c>
      <c r="H441" s="92"/>
      <c r="I441" s="91">
        <f>I442</f>
        <v>0.38900000000000001</v>
      </c>
      <c r="J441" s="90"/>
      <c r="K441" s="89"/>
      <c r="M441" s="102"/>
      <c r="O441" s="5"/>
    </row>
    <row r="442" spans="2:17" x14ac:dyDescent="0.3">
      <c r="B442" s="392"/>
      <c r="C442" s="107"/>
      <c r="D442" s="388"/>
      <c r="E442" s="88"/>
      <c r="F442" s="88"/>
      <c r="G442" s="316">
        <v>0.75600000000000001</v>
      </c>
      <c r="H442" s="87"/>
      <c r="I442" s="315">
        <v>0.38900000000000001</v>
      </c>
      <c r="J442" s="86" t="s">
        <v>334</v>
      </c>
      <c r="K442" s="85" t="s">
        <v>1320</v>
      </c>
      <c r="M442" s="102" t="s">
        <v>333</v>
      </c>
      <c r="N442" t="s">
        <v>332</v>
      </c>
      <c r="O442" s="5" t="s">
        <v>327</v>
      </c>
    </row>
    <row r="443" spans="2:17" x14ac:dyDescent="0.3">
      <c r="B443" s="392"/>
      <c r="C443" s="107"/>
      <c r="D443" s="389"/>
      <c r="E443" s="84"/>
      <c r="F443" s="84"/>
      <c r="G443" s="83"/>
      <c r="H443" s="83"/>
      <c r="I443" s="82"/>
      <c r="J443" s="82"/>
      <c r="K443" s="81"/>
      <c r="M443" s="102"/>
      <c r="O443" s="5"/>
    </row>
    <row r="444" spans="2:17" x14ac:dyDescent="0.3">
      <c r="B444" s="392"/>
      <c r="M444" s="102"/>
      <c r="O444" s="5"/>
    </row>
    <row r="445" spans="2:17" x14ac:dyDescent="0.3">
      <c r="B445" s="392"/>
      <c r="M445" s="102"/>
      <c r="O445" s="5"/>
    </row>
    <row r="446" spans="2:17" x14ac:dyDescent="0.3">
      <c r="B446" s="392"/>
      <c r="D446" s="387" t="s">
        <v>68</v>
      </c>
      <c r="E446" s="101" t="s">
        <v>316</v>
      </c>
      <c r="F446" s="99"/>
      <c r="G446" s="100"/>
      <c r="H446" s="99"/>
      <c r="I446" s="98"/>
      <c r="J446" s="97"/>
      <c r="K446" s="96"/>
      <c r="L446" s="39"/>
      <c r="M446" s="5"/>
      <c r="O446" s="5"/>
    </row>
    <row r="447" spans="2:17" x14ac:dyDescent="0.3">
      <c r="B447" s="392"/>
      <c r="D447" s="388"/>
      <c r="E447" s="95"/>
      <c r="F447" s="88"/>
      <c r="G447" s="88"/>
      <c r="H447" s="88"/>
      <c r="I447" s="86"/>
      <c r="J447" s="86"/>
      <c r="K447" s="85"/>
      <c r="L447" s="39"/>
      <c r="M447" s="5"/>
      <c r="O447" s="5"/>
    </row>
    <row r="448" spans="2:17" x14ac:dyDescent="0.3">
      <c r="B448" s="392"/>
      <c r="D448" s="388"/>
      <c r="E448" s="95"/>
      <c r="F448" s="88"/>
      <c r="G448" s="88"/>
      <c r="H448" s="88"/>
      <c r="I448" s="86"/>
      <c r="J448" s="86"/>
      <c r="K448" s="85"/>
      <c r="L448" s="39"/>
      <c r="M448" s="5"/>
      <c r="N448" s="42"/>
      <c r="O448" s="5"/>
      <c r="P448" s="42"/>
      <c r="Q448" s="42"/>
    </row>
    <row r="449" spans="2:17" x14ac:dyDescent="0.3">
      <c r="B449" s="392"/>
      <c r="D449" s="388"/>
      <c r="E449" s="94" t="s">
        <v>315</v>
      </c>
      <c r="F449" s="93"/>
      <c r="G449" s="15">
        <f>G450</f>
        <v>0.51800000000000002</v>
      </c>
      <c r="H449" s="92"/>
      <c r="I449" s="91">
        <f>I450</f>
        <v>0.36199999999999999</v>
      </c>
      <c r="J449" s="90"/>
      <c r="K449" s="89"/>
      <c r="L449" s="39"/>
      <c r="M449" s="5"/>
      <c r="N449" s="42"/>
      <c r="O449" s="5"/>
      <c r="P449" s="42"/>
      <c r="Q449" s="42"/>
    </row>
    <row r="450" spans="2:17" x14ac:dyDescent="0.3">
      <c r="B450" s="392"/>
      <c r="D450" s="388"/>
      <c r="E450" s="86"/>
      <c r="F450" s="88"/>
      <c r="G450" s="246">
        <v>0.51800000000000002</v>
      </c>
      <c r="H450" s="87"/>
      <c r="I450" s="254">
        <v>0.36199999999999999</v>
      </c>
      <c r="J450" s="257" t="s">
        <v>934</v>
      </c>
      <c r="K450" s="85"/>
      <c r="L450" s="39"/>
      <c r="M450" s="105"/>
      <c r="N450" s="42"/>
      <c r="O450" s="5"/>
      <c r="P450" s="42"/>
      <c r="Q450" s="42"/>
    </row>
    <row r="451" spans="2:17" x14ac:dyDescent="0.3">
      <c r="B451" s="392"/>
      <c r="D451" s="388"/>
      <c r="E451" s="86"/>
      <c r="F451" s="88"/>
      <c r="G451" s="87"/>
      <c r="H451" s="87"/>
      <c r="I451" s="86"/>
      <c r="J451" s="86"/>
      <c r="K451" s="85"/>
      <c r="L451" s="39"/>
      <c r="M451" s="102"/>
      <c r="N451" s="42"/>
      <c r="O451" s="5"/>
      <c r="P451" s="42"/>
      <c r="Q451" s="42"/>
    </row>
    <row r="452" spans="2:17" x14ac:dyDescent="0.3">
      <c r="B452" s="392"/>
      <c r="D452" s="388"/>
      <c r="E452" s="94" t="s">
        <v>314</v>
      </c>
      <c r="F452" s="93"/>
      <c r="G452" s="15">
        <f>G453</f>
        <v>0.62</v>
      </c>
      <c r="H452" s="92"/>
      <c r="I452" s="91">
        <f>I453</f>
        <v>0.31900000000000001</v>
      </c>
      <c r="J452" s="90"/>
      <c r="K452" s="89"/>
      <c r="L452" s="39"/>
      <c r="M452" s="102"/>
      <c r="N452" s="42"/>
      <c r="O452" s="5"/>
      <c r="P452" s="42"/>
      <c r="Q452" s="42"/>
    </row>
    <row r="453" spans="2:17" x14ac:dyDescent="0.3">
      <c r="B453" s="392"/>
      <c r="D453" s="388"/>
      <c r="E453" s="88"/>
      <c r="F453" s="88"/>
      <c r="G453" s="246">
        <v>0.62</v>
      </c>
      <c r="H453" s="87"/>
      <c r="I453" s="254">
        <v>0.31900000000000001</v>
      </c>
      <c r="J453" s="257" t="s">
        <v>935</v>
      </c>
      <c r="K453" s="85"/>
      <c r="L453" s="39"/>
      <c r="M453" s="102"/>
      <c r="N453" s="42"/>
      <c r="O453" s="5"/>
      <c r="P453" s="42"/>
      <c r="Q453" s="42"/>
    </row>
    <row r="454" spans="2:17" x14ac:dyDescent="0.3">
      <c r="B454" s="392"/>
      <c r="D454" s="389"/>
      <c r="E454" s="84"/>
      <c r="F454" s="84"/>
      <c r="G454" s="83"/>
      <c r="H454" s="83"/>
      <c r="I454" s="82"/>
      <c r="J454" s="82"/>
      <c r="K454" s="81"/>
      <c r="L454" s="39"/>
      <c r="M454" s="102"/>
      <c r="O454" s="5"/>
    </row>
    <row r="455" spans="2:17" x14ac:dyDescent="0.3">
      <c r="B455" s="392"/>
      <c r="M455" s="102"/>
      <c r="O455" s="5"/>
    </row>
    <row r="456" spans="2:17" x14ac:dyDescent="0.3">
      <c r="B456" s="392"/>
      <c r="M456" s="102"/>
      <c r="O456" s="5"/>
    </row>
    <row r="457" spans="2:17" x14ac:dyDescent="0.3">
      <c r="B457" s="392"/>
      <c r="M457" s="102"/>
      <c r="O457" s="5"/>
    </row>
    <row r="458" spans="2:17" x14ac:dyDescent="0.3">
      <c r="B458" s="392"/>
      <c r="D458" s="387" t="s">
        <v>331</v>
      </c>
      <c r="E458" s="101" t="s">
        <v>316</v>
      </c>
      <c r="F458" s="99"/>
      <c r="G458" s="100"/>
      <c r="H458" s="99"/>
      <c r="I458" s="98"/>
      <c r="J458" s="97"/>
      <c r="K458" s="96"/>
      <c r="L458" s="39"/>
      <c r="M458" s="102"/>
      <c r="O458" s="5"/>
    </row>
    <row r="459" spans="2:17" x14ac:dyDescent="0.3">
      <c r="B459" s="392"/>
      <c r="D459" s="388"/>
      <c r="E459" s="95"/>
      <c r="F459" s="88"/>
      <c r="G459" s="88"/>
      <c r="H459" s="88"/>
      <c r="I459" s="86"/>
      <c r="J459" s="86"/>
      <c r="K459" s="85"/>
      <c r="L459" s="39"/>
      <c r="M459" s="102"/>
      <c r="O459" s="5"/>
    </row>
    <row r="460" spans="2:17" x14ac:dyDescent="0.3">
      <c r="B460" s="392"/>
      <c r="D460" s="388"/>
      <c r="E460" s="95"/>
      <c r="F460" s="88"/>
      <c r="G460" s="88"/>
      <c r="H460" s="88"/>
      <c r="I460" s="86"/>
      <c r="J460" s="86"/>
      <c r="K460" s="85"/>
      <c r="L460" s="39"/>
      <c r="M460" s="102"/>
      <c r="O460" s="5"/>
    </row>
    <row r="461" spans="2:17" x14ac:dyDescent="0.3">
      <c r="B461" s="392"/>
      <c r="D461" s="388"/>
      <c r="E461" s="94" t="s">
        <v>315</v>
      </c>
      <c r="F461" s="93"/>
      <c r="G461" s="15">
        <f>G462</f>
        <v>0.51800000000000002</v>
      </c>
      <c r="H461" s="92"/>
      <c r="I461" s="91">
        <f>I462</f>
        <v>0.36199999999999999</v>
      </c>
      <c r="J461" s="90"/>
      <c r="K461" s="89"/>
      <c r="L461" s="39"/>
      <c r="M461" s="102"/>
      <c r="O461" s="5"/>
    </row>
    <row r="462" spans="2:17" x14ac:dyDescent="0.3">
      <c r="B462" s="392"/>
      <c r="D462" s="388"/>
      <c r="E462" s="86"/>
      <c r="F462" s="88"/>
      <c r="G462" s="246">
        <v>0.51800000000000002</v>
      </c>
      <c r="H462" s="87"/>
      <c r="I462" s="254">
        <v>0.36199999999999999</v>
      </c>
      <c r="J462" s="257" t="s">
        <v>934</v>
      </c>
      <c r="K462" s="85"/>
      <c r="L462" s="39"/>
      <c r="M462" s="102"/>
      <c r="O462" s="5"/>
    </row>
    <row r="463" spans="2:17" x14ac:dyDescent="0.3">
      <c r="B463" s="392"/>
      <c r="D463" s="388"/>
      <c r="E463" s="86"/>
      <c r="F463" s="88"/>
      <c r="G463" s="87"/>
      <c r="H463" s="87"/>
      <c r="I463" s="86"/>
      <c r="J463" s="86"/>
      <c r="K463" s="85"/>
      <c r="L463" s="39"/>
      <c r="M463" s="102"/>
      <c r="O463" s="5"/>
    </row>
    <row r="464" spans="2:17" x14ac:dyDescent="0.3">
      <c r="B464" s="392"/>
      <c r="D464" s="388"/>
      <c r="E464" s="94" t="s">
        <v>314</v>
      </c>
      <c r="F464" s="93"/>
      <c r="G464" s="15">
        <f>G465</f>
        <v>0.62</v>
      </c>
      <c r="H464" s="92"/>
      <c r="I464" s="91">
        <f>I465</f>
        <v>0.31900000000000001</v>
      </c>
      <c r="J464" s="90"/>
      <c r="K464" s="89"/>
      <c r="L464" s="39"/>
      <c r="M464" s="102"/>
      <c r="O464" s="5"/>
    </row>
    <row r="465" spans="2:15" x14ac:dyDescent="0.3">
      <c r="B465" s="392"/>
      <c r="D465" s="388"/>
      <c r="E465" s="88"/>
      <c r="F465" s="88"/>
      <c r="G465" s="246">
        <v>0.62</v>
      </c>
      <c r="H465" s="87"/>
      <c r="I465" s="254">
        <v>0.31900000000000001</v>
      </c>
      <c r="J465" s="257" t="s">
        <v>935</v>
      </c>
      <c r="K465" s="85"/>
      <c r="L465" s="39"/>
      <c r="M465" s="102"/>
      <c r="O465" s="5"/>
    </row>
    <row r="466" spans="2:15" x14ac:dyDescent="0.3">
      <c r="B466" s="392"/>
      <c r="D466" s="389"/>
      <c r="E466" s="84"/>
      <c r="F466" s="84"/>
      <c r="G466" s="83"/>
      <c r="H466" s="83"/>
      <c r="I466" s="82"/>
      <c r="J466" s="82"/>
      <c r="K466" s="81"/>
      <c r="L466" s="39"/>
      <c r="M466" s="102"/>
      <c r="O466" s="5"/>
    </row>
    <row r="467" spans="2:15" x14ac:dyDescent="0.3">
      <c r="B467" s="392"/>
      <c r="L467" s="39"/>
      <c r="M467" s="102"/>
      <c r="O467" s="5"/>
    </row>
    <row r="468" spans="2:15" x14ac:dyDescent="0.3">
      <c r="B468" s="392"/>
      <c r="C468" s="107"/>
      <c r="D468" s="387" t="s">
        <v>330</v>
      </c>
      <c r="E468" s="101" t="s">
        <v>316</v>
      </c>
      <c r="F468" s="99"/>
      <c r="G468" s="100"/>
      <c r="H468" s="99"/>
      <c r="I468" s="98"/>
      <c r="J468" s="97"/>
      <c r="K468" s="96"/>
      <c r="L468" s="39"/>
      <c r="M468" s="102"/>
      <c r="O468" s="5"/>
    </row>
    <row r="469" spans="2:15" x14ac:dyDescent="0.3">
      <c r="B469" s="392"/>
      <c r="C469" s="107"/>
      <c r="D469" s="388"/>
      <c r="E469" s="95"/>
      <c r="F469" s="88"/>
      <c r="G469" s="88"/>
      <c r="H469" s="88"/>
      <c r="I469" s="86"/>
      <c r="J469" s="86"/>
      <c r="K469" s="85"/>
      <c r="L469" s="39"/>
      <c r="M469" s="102"/>
      <c r="O469" s="5"/>
    </row>
    <row r="470" spans="2:15" x14ac:dyDescent="0.3">
      <c r="B470" s="392"/>
      <c r="C470" s="107"/>
      <c r="D470" s="388"/>
      <c r="E470" s="95"/>
      <c r="F470" s="88"/>
      <c r="G470" s="88"/>
      <c r="H470" s="88"/>
      <c r="I470" s="86"/>
      <c r="J470" s="86"/>
      <c r="K470" s="85"/>
      <c r="L470" s="39"/>
      <c r="M470" s="102"/>
      <c r="O470" s="5"/>
    </row>
    <row r="471" spans="2:15" x14ac:dyDescent="0.3">
      <c r="B471" s="392"/>
      <c r="C471" s="107"/>
      <c r="D471" s="388"/>
      <c r="E471" s="94" t="s">
        <v>315</v>
      </c>
      <c r="F471" s="93"/>
      <c r="G471" s="15">
        <f>G472</f>
        <v>0.51800000000000002</v>
      </c>
      <c r="H471" s="92"/>
      <c r="I471" s="91">
        <f>I472</f>
        <v>0.36199999999999999</v>
      </c>
      <c r="J471" s="90"/>
      <c r="K471" s="89"/>
      <c r="L471" s="39"/>
      <c r="M471" s="102"/>
      <c r="O471" s="5"/>
    </row>
    <row r="472" spans="2:15" x14ac:dyDescent="0.3">
      <c r="B472" s="392"/>
      <c r="C472" s="107"/>
      <c r="D472" s="388"/>
      <c r="E472" s="86"/>
      <c r="F472" s="88"/>
      <c r="G472" s="246">
        <v>0.51800000000000002</v>
      </c>
      <c r="H472" s="87"/>
      <c r="I472" s="254">
        <v>0.36199999999999999</v>
      </c>
      <c r="J472" s="257" t="s">
        <v>934</v>
      </c>
      <c r="K472" s="85"/>
      <c r="L472" s="39"/>
      <c r="M472" s="102"/>
      <c r="O472" s="5"/>
    </row>
    <row r="473" spans="2:15" x14ac:dyDescent="0.3">
      <c r="B473" s="392"/>
      <c r="C473" s="107"/>
      <c r="D473" s="388"/>
      <c r="E473" s="86"/>
      <c r="F473" s="88"/>
      <c r="G473" s="87"/>
      <c r="H473" s="87"/>
      <c r="I473" s="86"/>
      <c r="J473" s="86"/>
      <c r="K473" s="85"/>
      <c r="L473" s="39"/>
      <c r="M473" s="102"/>
      <c r="O473" s="5"/>
    </row>
    <row r="474" spans="2:15" x14ac:dyDescent="0.3">
      <c r="B474" s="392"/>
      <c r="C474" s="107"/>
      <c r="D474" s="388"/>
      <c r="E474" s="94" t="s">
        <v>314</v>
      </c>
      <c r="F474" s="93"/>
      <c r="G474" s="15">
        <f>G475</f>
        <v>0.62</v>
      </c>
      <c r="H474" s="92"/>
      <c r="I474" s="91">
        <f>I475</f>
        <v>0.31900000000000001</v>
      </c>
      <c r="J474" s="90"/>
      <c r="K474" s="89"/>
      <c r="L474" s="39"/>
      <c r="M474" s="102"/>
      <c r="O474" s="5"/>
    </row>
    <row r="475" spans="2:15" x14ac:dyDescent="0.3">
      <c r="B475" s="392"/>
      <c r="C475" s="107"/>
      <c r="D475" s="388"/>
      <c r="E475" s="88"/>
      <c r="F475" s="88"/>
      <c r="G475" s="246">
        <v>0.62</v>
      </c>
      <c r="H475" s="87"/>
      <c r="I475" s="254">
        <v>0.31900000000000001</v>
      </c>
      <c r="J475" s="257" t="s">
        <v>935</v>
      </c>
      <c r="K475" s="85"/>
      <c r="L475" s="39"/>
      <c r="M475" s="102"/>
      <c r="O475" s="5"/>
    </row>
    <row r="476" spans="2:15" x14ac:dyDescent="0.3">
      <c r="B476" s="392"/>
      <c r="C476" s="107"/>
      <c r="D476" s="389"/>
      <c r="E476" s="84"/>
      <c r="F476" s="84"/>
      <c r="G476" s="83"/>
      <c r="H476" s="83"/>
      <c r="I476" s="82"/>
      <c r="J476" s="82"/>
      <c r="K476" s="81"/>
      <c r="L476" s="39"/>
      <c r="M476" s="102"/>
      <c r="O476" s="5"/>
    </row>
    <row r="477" spans="2:15" x14ac:dyDescent="0.3">
      <c r="B477" s="392"/>
      <c r="L477" s="39"/>
      <c r="M477" s="102"/>
      <c r="O477" s="5"/>
    </row>
    <row r="478" spans="2:15" x14ac:dyDescent="0.3">
      <c r="B478" s="392"/>
      <c r="C478" s="110"/>
      <c r="D478" s="387" t="s">
        <v>132</v>
      </c>
      <c r="E478" s="101" t="s">
        <v>316</v>
      </c>
      <c r="F478" s="99"/>
      <c r="G478" s="100"/>
      <c r="H478" s="99"/>
      <c r="I478" s="98"/>
      <c r="J478" s="97"/>
      <c r="K478" s="96"/>
      <c r="L478" s="39"/>
      <c r="M478" s="102"/>
      <c r="O478" s="5"/>
    </row>
    <row r="479" spans="2:15" x14ac:dyDescent="0.3">
      <c r="B479" s="392"/>
      <c r="C479" s="110"/>
      <c r="D479" s="388"/>
      <c r="E479" s="95"/>
      <c r="F479" s="88"/>
      <c r="G479" s="88"/>
      <c r="H479" s="88"/>
      <c r="I479" s="86"/>
      <c r="J479" s="86"/>
      <c r="K479" s="85"/>
      <c r="L479" s="39"/>
      <c r="M479" s="102"/>
      <c r="O479" s="5"/>
    </row>
    <row r="480" spans="2:15" x14ac:dyDescent="0.3">
      <c r="B480" s="392"/>
      <c r="C480" s="110"/>
      <c r="D480" s="388"/>
      <c r="E480" s="95"/>
      <c r="F480" s="88"/>
      <c r="G480" s="88"/>
      <c r="H480" s="88"/>
      <c r="I480" s="86"/>
      <c r="J480" s="86"/>
      <c r="K480" s="85"/>
      <c r="L480" s="39"/>
      <c r="M480" s="102"/>
      <c r="O480" s="5"/>
    </row>
    <row r="481" spans="2:15" x14ac:dyDescent="0.3">
      <c r="B481" s="392"/>
      <c r="C481" s="110"/>
      <c r="D481" s="388"/>
      <c r="E481" s="94" t="s">
        <v>315</v>
      </c>
      <c r="F481" s="93"/>
      <c r="G481" s="15">
        <f>G482</f>
        <v>0.51800000000000002</v>
      </c>
      <c r="H481" s="92"/>
      <c r="I481" s="91">
        <f>I482</f>
        <v>0.36199999999999999</v>
      </c>
      <c r="J481" s="90"/>
      <c r="K481" s="89"/>
      <c r="L481" s="39"/>
      <c r="M481" s="102"/>
      <c r="O481" s="5"/>
    </row>
    <row r="482" spans="2:15" x14ac:dyDescent="0.3">
      <c r="B482" s="392"/>
      <c r="C482" s="110"/>
      <c r="D482" s="388"/>
      <c r="E482" s="86"/>
      <c r="F482" s="88"/>
      <c r="G482" s="246">
        <v>0.51800000000000002</v>
      </c>
      <c r="H482" s="87"/>
      <c r="I482" s="254">
        <v>0.36199999999999999</v>
      </c>
      <c r="J482" s="257" t="s">
        <v>934</v>
      </c>
      <c r="K482" s="85"/>
      <c r="L482" s="39"/>
      <c r="M482" s="102"/>
      <c r="O482" s="5"/>
    </row>
    <row r="483" spans="2:15" x14ac:dyDescent="0.3">
      <c r="B483" s="392"/>
      <c r="C483" s="110"/>
      <c r="D483" s="388"/>
      <c r="E483" s="86"/>
      <c r="F483" s="88"/>
      <c r="G483" s="87"/>
      <c r="H483" s="87"/>
      <c r="I483" s="86"/>
      <c r="J483" s="86"/>
      <c r="K483" s="85"/>
      <c r="L483" s="39"/>
      <c r="M483" s="102"/>
      <c r="O483" s="5"/>
    </row>
    <row r="484" spans="2:15" x14ac:dyDescent="0.3">
      <c r="B484" s="392"/>
      <c r="C484" s="110"/>
      <c r="D484" s="388"/>
      <c r="E484" s="94" t="s">
        <v>314</v>
      </c>
      <c r="F484" s="93"/>
      <c r="G484" s="15">
        <f>G485</f>
        <v>0.62</v>
      </c>
      <c r="H484" s="92"/>
      <c r="I484" s="91">
        <f>I485</f>
        <v>0.31900000000000001</v>
      </c>
      <c r="J484" s="90"/>
      <c r="K484" s="89"/>
      <c r="L484" s="39"/>
      <c r="M484" s="102"/>
      <c r="O484" s="5"/>
    </row>
    <row r="485" spans="2:15" x14ac:dyDescent="0.3">
      <c r="B485" s="392"/>
      <c r="C485" s="110"/>
      <c r="D485" s="388"/>
      <c r="E485" s="88"/>
      <c r="F485" s="88"/>
      <c r="G485" s="246">
        <v>0.62</v>
      </c>
      <c r="H485" s="87"/>
      <c r="I485" s="254">
        <v>0.31900000000000001</v>
      </c>
      <c r="J485" s="257" t="s">
        <v>935</v>
      </c>
      <c r="K485" s="85"/>
      <c r="L485" s="39"/>
      <c r="M485" s="102"/>
      <c r="O485" s="5"/>
    </row>
    <row r="486" spans="2:15" x14ac:dyDescent="0.3">
      <c r="B486" s="392"/>
      <c r="C486" s="110"/>
      <c r="D486" s="389"/>
      <c r="E486" s="84"/>
      <c r="F486" s="84"/>
      <c r="G486" s="83"/>
      <c r="H486" s="83"/>
      <c r="I486" s="82"/>
      <c r="J486" s="82"/>
      <c r="K486" s="81"/>
      <c r="L486" s="39"/>
      <c r="M486" s="102"/>
      <c r="O486" s="5"/>
    </row>
    <row r="487" spans="2:15" x14ac:dyDescent="0.3">
      <c r="B487" s="392"/>
      <c r="C487" s="88"/>
      <c r="D487" s="38"/>
      <c r="E487" s="38"/>
      <c r="F487" s="38"/>
      <c r="G487" s="38"/>
      <c r="H487" s="38"/>
      <c r="I487" s="38"/>
      <c r="J487" s="86"/>
      <c r="M487" s="102"/>
      <c r="O487" s="5"/>
    </row>
    <row r="488" spans="2:15" x14ac:dyDescent="0.3">
      <c r="B488" s="392"/>
      <c r="C488" s="88"/>
      <c r="D488" s="38"/>
      <c r="E488" s="38"/>
      <c r="F488" s="38"/>
      <c r="G488" s="38"/>
      <c r="H488" s="38"/>
      <c r="I488" s="38"/>
      <c r="J488" s="86"/>
      <c r="M488" s="102"/>
      <c r="O488" s="5"/>
    </row>
    <row r="489" spans="2:15" x14ac:dyDescent="0.3">
      <c r="B489" s="392"/>
      <c r="C489" s="107"/>
      <c r="D489" s="387" t="s">
        <v>28</v>
      </c>
      <c r="E489" s="101" t="s">
        <v>316</v>
      </c>
      <c r="F489" s="99"/>
      <c r="G489" s="100"/>
      <c r="H489" s="99"/>
      <c r="I489" s="124"/>
      <c r="J489" s="97"/>
      <c r="K489" s="96"/>
      <c r="M489" s="102"/>
      <c r="O489" s="5"/>
    </row>
    <row r="490" spans="2:15" x14ac:dyDescent="0.3">
      <c r="B490" s="392"/>
      <c r="C490" s="107"/>
      <c r="D490" s="388"/>
      <c r="E490" s="95"/>
      <c r="F490" s="192"/>
      <c r="G490" s="192">
        <v>1.03E-2</v>
      </c>
      <c r="H490" s="192"/>
      <c r="I490" s="111">
        <v>0.17699999999999999</v>
      </c>
      <c r="J490" s="111" t="s">
        <v>943</v>
      </c>
      <c r="K490" s="258" t="s">
        <v>942</v>
      </c>
      <c r="M490" s="102"/>
      <c r="O490" s="5"/>
    </row>
    <row r="491" spans="2:15" x14ac:dyDescent="0.3">
      <c r="B491" s="392"/>
      <c r="C491" s="107"/>
      <c r="D491" s="388"/>
      <c r="E491" s="95"/>
      <c r="F491" s="88"/>
      <c r="G491" s="88"/>
      <c r="H491" s="88"/>
      <c r="I491" s="86"/>
      <c r="J491" s="86" t="s">
        <v>944</v>
      </c>
      <c r="K491" s="85"/>
      <c r="M491" s="102"/>
      <c r="O491" s="5"/>
    </row>
    <row r="492" spans="2:15" x14ac:dyDescent="0.3">
      <c r="B492" s="392"/>
      <c r="C492" s="107"/>
      <c r="D492" s="388"/>
      <c r="E492" s="94" t="s">
        <v>315</v>
      </c>
      <c r="F492" s="93"/>
      <c r="G492" s="15"/>
      <c r="H492" s="92"/>
      <c r="I492" s="91"/>
      <c r="J492" s="90"/>
      <c r="K492" s="89"/>
      <c r="M492" s="102"/>
      <c r="O492" s="5"/>
    </row>
    <row r="493" spans="2:15" x14ac:dyDescent="0.3">
      <c r="B493" s="392"/>
      <c r="C493" s="107"/>
      <c r="D493" s="388"/>
      <c r="E493" s="86"/>
      <c r="F493" s="88"/>
      <c r="G493" s="87"/>
      <c r="H493" s="87"/>
      <c r="I493" s="86"/>
      <c r="J493" s="86"/>
      <c r="K493" s="85"/>
      <c r="M493" s="102"/>
      <c r="O493" s="5"/>
    </row>
    <row r="494" spans="2:15" x14ac:dyDescent="0.3">
      <c r="B494" s="392"/>
      <c r="C494" s="107"/>
      <c r="D494" s="388"/>
      <c r="E494" s="86"/>
      <c r="F494" s="88"/>
      <c r="G494" s="87"/>
      <c r="H494" s="87"/>
      <c r="I494" s="86"/>
      <c r="J494" s="86"/>
      <c r="K494" s="85"/>
      <c r="M494" s="102"/>
      <c r="O494" s="5"/>
    </row>
    <row r="495" spans="2:15" x14ac:dyDescent="0.3">
      <c r="B495" s="392"/>
      <c r="C495" s="107"/>
      <c r="D495" s="388"/>
      <c r="E495" s="94" t="s">
        <v>314</v>
      </c>
      <c r="F495" s="93"/>
      <c r="G495" s="15">
        <f>G496</f>
        <v>5.1500000000000001E-3</v>
      </c>
      <c r="H495" s="92"/>
      <c r="I495" s="91">
        <f>I496</f>
        <v>0.20799999999999999</v>
      </c>
      <c r="J495" s="90"/>
      <c r="K495" s="89"/>
      <c r="M495" s="102"/>
      <c r="O495" s="5"/>
    </row>
    <row r="496" spans="2:15" x14ac:dyDescent="0.3">
      <c r="B496" s="392"/>
      <c r="C496" s="107"/>
      <c r="D496" s="388"/>
      <c r="E496" s="88"/>
      <c r="F496" s="88"/>
      <c r="G496" s="246">
        <v>5.1500000000000001E-3</v>
      </c>
      <c r="H496" s="246"/>
      <c r="I496" s="254">
        <v>0.20799999999999999</v>
      </c>
      <c r="J496" s="86" t="s">
        <v>329</v>
      </c>
      <c r="K496" s="85"/>
      <c r="M496" s="102"/>
      <c r="O496" s="5"/>
    </row>
    <row r="497" spans="2:15" x14ac:dyDescent="0.3">
      <c r="B497" s="392"/>
      <c r="C497" s="107"/>
      <c r="D497" s="389"/>
      <c r="E497" s="84"/>
      <c r="F497" s="84"/>
      <c r="G497" s="318">
        <v>4.2100000000000002E-3</v>
      </c>
      <c r="H497" s="83"/>
      <c r="I497" s="317">
        <v>0.14899999999999999</v>
      </c>
      <c r="J497" s="82" t="s">
        <v>1321</v>
      </c>
      <c r="K497" s="81"/>
      <c r="M497" s="102"/>
      <c r="O497" s="5"/>
    </row>
    <row r="498" spans="2:15" x14ac:dyDescent="0.3">
      <c r="B498" s="392"/>
      <c r="M498" s="102"/>
      <c r="O498" s="5"/>
    </row>
    <row r="499" spans="2:15" x14ac:dyDescent="0.3">
      <c r="B499" s="392"/>
      <c r="M499" s="102"/>
      <c r="O499" s="5"/>
    </row>
    <row r="500" spans="2:15" x14ac:dyDescent="0.3">
      <c r="B500" s="392"/>
      <c r="C500" s="107"/>
      <c r="D500" s="387" t="s">
        <v>328</v>
      </c>
      <c r="E500" s="101" t="s">
        <v>316</v>
      </c>
      <c r="F500" s="99"/>
      <c r="G500" s="100"/>
      <c r="H500" s="99"/>
      <c r="I500" s="98"/>
      <c r="J500" s="97"/>
      <c r="K500" s="96"/>
      <c r="L500" s="39"/>
      <c r="M500" s="102"/>
      <c r="O500" s="5"/>
    </row>
    <row r="501" spans="2:15" x14ac:dyDescent="0.3">
      <c r="B501" s="392"/>
      <c r="C501" s="107"/>
      <c r="D501" s="388"/>
      <c r="E501" s="95"/>
      <c r="F501" s="88"/>
      <c r="G501" s="88"/>
      <c r="H501" s="88"/>
      <c r="I501" s="86"/>
      <c r="J501" s="86"/>
      <c r="K501" s="85"/>
      <c r="L501" s="39"/>
      <c r="M501" s="102"/>
      <c r="O501" s="5"/>
    </row>
    <row r="502" spans="2:15" x14ac:dyDescent="0.3">
      <c r="B502" s="392"/>
      <c r="C502" s="107"/>
      <c r="D502" s="388"/>
      <c r="E502" s="95"/>
      <c r="F502" s="88"/>
      <c r="G502" s="88"/>
      <c r="H502" s="88"/>
      <c r="I502" s="86"/>
      <c r="J502" s="86"/>
      <c r="K502" s="85"/>
      <c r="L502" s="39"/>
      <c r="M502" s="102"/>
      <c r="O502" s="5"/>
    </row>
    <row r="503" spans="2:15" x14ac:dyDescent="0.3">
      <c r="B503" s="392"/>
      <c r="C503" s="107"/>
      <c r="D503" s="388"/>
      <c r="E503" s="94" t="s">
        <v>315</v>
      </c>
      <c r="F503" s="93"/>
      <c r="G503" s="15">
        <f>G504</f>
        <v>0.51800000000000002</v>
      </c>
      <c r="H503" s="92"/>
      <c r="I503" s="91">
        <f>I504</f>
        <v>0.36199999999999999</v>
      </c>
      <c r="J503" s="90"/>
      <c r="K503" s="89"/>
      <c r="L503" s="39"/>
      <c r="M503" s="5"/>
      <c r="O503" s="5"/>
    </row>
    <row r="504" spans="2:15" x14ac:dyDescent="0.3">
      <c r="C504" s="107"/>
      <c r="D504" s="388"/>
      <c r="E504" s="86"/>
      <c r="F504" s="88"/>
      <c r="G504" s="246">
        <v>0.51800000000000002</v>
      </c>
      <c r="H504" s="87"/>
      <c r="I504" s="254">
        <v>0.36199999999999999</v>
      </c>
      <c r="J504" s="257" t="s">
        <v>934</v>
      </c>
      <c r="K504" s="85"/>
      <c r="L504" s="39"/>
      <c r="M504" s="5"/>
      <c r="O504" s="5"/>
    </row>
    <row r="505" spans="2:15" x14ac:dyDescent="0.3">
      <c r="C505" s="107"/>
      <c r="D505" s="388"/>
      <c r="E505" s="86"/>
      <c r="F505" s="88"/>
      <c r="G505" s="87"/>
      <c r="H505" s="87"/>
      <c r="I505" s="86"/>
      <c r="J505" s="86"/>
      <c r="K505" s="85"/>
      <c r="L505" s="39"/>
      <c r="M505" s="5"/>
      <c r="O505" s="5"/>
    </row>
    <row r="506" spans="2:15" x14ac:dyDescent="0.3">
      <c r="C506" s="107"/>
      <c r="D506" s="388"/>
      <c r="E506" s="94" t="s">
        <v>314</v>
      </c>
      <c r="F506" s="93"/>
      <c r="G506" s="15">
        <f>G507</f>
        <v>0.62</v>
      </c>
      <c r="H506" s="92"/>
      <c r="I506" s="91">
        <f>I507</f>
        <v>0.31900000000000001</v>
      </c>
      <c r="J506" s="90"/>
      <c r="K506" s="89"/>
      <c r="L506" s="39"/>
      <c r="M506" s="102"/>
      <c r="O506" s="5"/>
    </row>
    <row r="507" spans="2:15" x14ac:dyDescent="0.3">
      <c r="C507" s="107"/>
      <c r="D507" s="388"/>
      <c r="E507" s="88"/>
      <c r="F507" s="88"/>
      <c r="G507" s="246">
        <v>0.62</v>
      </c>
      <c r="H507" s="87"/>
      <c r="I507" s="254">
        <v>0.31900000000000001</v>
      </c>
      <c r="J507" s="257" t="s">
        <v>935</v>
      </c>
      <c r="K507" s="85"/>
      <c r="L507" s="39"/>
      <c r="M507" s="102"/>
      <c r="O507" s="5"/>
    </row>
    <row r="508" spans="2:15" x14ac:dyDescent="0.3">
      <c r="C508" s="107"/>
      <c r="D508" s="389"/>
      <c r="E508" s="84"/>
      <c r="F508" s="84"/>
      <c r="G508" s="83"/>
      <c r="H508" s="83"/>
      <c r="I508" s="82"/>
      <c r="J508" s="82"/>
      <c r="K508" s="81"/>
      <c r="L508" s="39"/>
      <c r="M508" s="102"/>
      <c r="O508" s="5"/>
    </row>
    <row r="509" spans="2:15" x14ac:dyDescent="0.3">
      <c r="J509" s="95"/>
      <c r="L509" s="39"/>
      <c r="M509" s="102"/>
      <c r="O509" s="5"/>
    </row>
    <row r="510" spans="2:15" x14ac:dyDescent="0.3">
      <c r="J510" s="95"/>
      <c r="L510" s="39"/>
      <c r="M510" s="102"/>
      <c r="O510" s="5"/>
    </row>
    <row r="511" spans="2:15" x14ac:dyDescent="0.3">
      <c r="C511" s="110"/>
      <c r="D511" s="387" t="s">
        <v>134</v>
      </c>
      <c r="E511" s="101" t="s">
        <v>316</v>
      </c>
      <c r="F511" s="99"/>
      <c r="G511" s="100"/>
      <c r="H511" s="99"/>
      <c r="I511" s="98"/>
      <c r="J511" s="97"/>
      <c r="K511" s="96"/>
      <c r="L511" s="39"/>
      <c r="M511" s="102"/>
      <c r="O511" s="5"/>
    </row>
    <row r="512" spans="2:15" x14ac:dyDescent="0.3">
      <c r="C512" s="110"/>
      <c r="D512" s="388"/>
      <c r="E512" s="95"/>
      <c r="F512" s="88"/>
      <c r="G512" s="88"/>
      <c r="H512" s="88"/>
      <c r="I512" s="86"/>
      <c r="J512" s="86"/>
      <c r="K512" s="85"/>
      <c r="L512" s="39"/>
      <c r="M512" s="102"/>
      <c r="O512" s="5"/>
    </row>
    <row r="513" spans="3:15" x14ac:dyDescent="0.3">
      <c r="C513" s="110"/>
      <c r="D513" s="388"/>
      <c r="E513" s="95"/>
      <c r="F513" s="88"/>
      <c r="G513" s="88"/>
      <c r="H513" s="88"/>
      <c r="I513" s="86"/>
      <c r="J513" s="86"/>
      <c r="K513" s="85"/>
      <c r="L513" s="39"/>
      <c r="M513" s="102"/>
      <c r="O513" s="5"/>
    </row>
    <row r="514" spans="3:15" x14ac:dyDescent="0.3">
      <c r="C514" s="110"/>
      <c r="D514" s="388"/>
      <c r="E514" s="94" t="s">
        <v>315</v>
      </c>
      <c r="F514" s="93"/>
      <c r="G514" s="15">
        <f>G515</f>
        <v>0.51800000000000002</v>
      </c>
      <c r="H514" s="92"/>
      <c r="I514" s="91">
        <f>I515</f>
        <v>0.36199999999999999</v>
      </c>
      <c r="J514" s="90"/>
      <c r="K514" s="89"/>
      <c r="L514" s="39"/>
      <c r="M514" s="102"/>
      <c r="O514" s="5"/>
    </row>
    <row r="515" spans="3:15" x14ac:dyDescent="0.3">
      <c r="C515" s="110"/>
      <c r="D515" s="388"/>
      <c r="E515" s="86"/>
      <c r="F515" s="88"/>
      <c r="G515" s="246">
        <v>0.51800000000000002</v>
      </c>
      <c r="H515" s="87"/>
      <c r="I515" s="254">
        <v>0.36199999999999999</v>
      </c>
      <c r="J515" s="257" t="s">
        <v>934</v>
      </c>
      <c r="K515" s="85"/>
      <c r="L515" s="39"/>
      <c r="M515" s="102"/>
      <c r="O515" s="5"/>
    </row>
    <row r="516" spans="3:15" x14ac:dyDescent="0.3">
      <c r="C516" s="110"/>
      <c r="D516" s="388"/>
      <c r="E516" s="86"/>
      <c r="F516" s="88"/>
      <c r="G516" s="87"/>
      <c r="H516" s="87"/>
      <c r="I516" s="86"/>
      <c r="J516" s="86"/>
      <c r="K516" s="85"/>
      <c r="L516" s="39"/>
      <c r="M516" s="102"/>
      <c r="O516" s="5"/>
    </row>
    <row r="517" spans="3:15" x14ac:dyDescent="0.3">
      <c r="C517" s="110"/>
      <c r="D517" s="388"/>
      <c r="E517" s="94" t="s">
        <v>314</v>
      </c>
      <c r="F517" s="93"/>
      <c r="G517" s="15">
        <f>G518</f>
        <v>0.62</v>
      </c>
      <c r="H517" s="92"/>
      <c r="I517" s="91">
        <f>I518</f>
        <v>0.31900000000000001</v>
      </c>
      <c r="J517" s="90"/>
      <c r="K517" s="89"/>
      <c r="L517" s="39"/>
      <c r="M517" s="102"/>
      <c r="O517" s="5"/>
    </row>
    <row r="518" spans="3:15" x14ac:dyDescent="0.3">
      <c r="C518" s="110"/>
      <c r="D518" s="388"/>
      <c r="E518" s="88"/>
      <c r="F518" s="88"/>
      <c r="G518" s="246">
        <v>0.62</v>
      </c>
      <c r="H518" s="87"/>
      <c r="I518" s="254">
        <v>0.31900000000000001</v>
      </c>
      <c r="J518" s="257" t="s">
        <v>935</v>
      </c>
      <c r="K518" s="85"/>
      <c r="L518" s="39"/>
      <c r="M518" s="102"/>
      <c r="O518" s="5"/>
    </row>
    <row r="519" spans="3:15" x14ac:dyDescent="0.3">
      <c r="C519" s="110"/>
      <c r="D519" s="389"/>
      <c r="E519" s="84"/>
      <c r="F519" s="84"/>
      <c r="G519" s="83"/>
      <c r="H519" s="83"/>
      <c r="I519" s="82"/>
      <c r="J519" s="82"/>
      <c r="K519" s="81"/>
      <c r="L519" s="39"/>
      <c r="M519" s="5"/>
      <c r="O519" s="5"/>
    </row>
    <row r="520" spans="3:15" x14ac:dyDescent="0.3">
      <c r="C520" s="38"/>
      <c r="D520" s="109"/>
      <c r="E520" s="88"/>
      <c r="F520" s="88"/>
      <c r="G520" s="87"/>
      <c r="H520" s="87"/>
      <c r="I520" s="86"/>
      <c r="J520" s="86"/>
      <c r="K520" s="85"/>
      <c r="M520" s="5"/>
      <c r="O520" s="5"/>
    </row>
    <row r="521" spans="3:15" x14ac:dyDescent="0.3">
      <c r="C521" s="38"/>
      <c r="D521" s="387" t="s">
        <v>212</v>
      </c>
      <c r="E521" s="101" t="s">
        <v>316</v>
      </c>
      <c r="F521" s="99"/>
      <c r="G521" s="100"/>
      <c r="H521" s="99"/>
      <c r="I521" s="98"/>
      <c r="J521" s="97"/>
      <c r="K521" s="96"/>
      <c r="M521" s="102"/>
      <c r="O521" s="5"/>
    </row>
    <row r="522" spans="3:15" x14ac:dyDescent="0.3">
      <c r="C522" s="38"/>
      <c r="D522" s="388"/>
      <c r="E522" s="95"/>
      <c r="F522" s="88"/>
      <c r="G522" s="88"/>
      <c r="H522" s="88"/>
      <c r="I522" s="86"/>
      <c r="J522" s="86"/>
      <c r="K522" s="85"/>
      <c r="M522" s="102"/>
      <c r="O522" s="5"/>
    </row>
    <row r="523" spans="3:15" x14ac:dyDescent="0.3">
      <c r="C523" s="38"/>
      <c r="D523" s="388"/>
      <c r="E523" s="95"/>
      <c r="F523" s="88"/>
      <c r="G523" s="88"/>
      <c r="H523" s="88"/>
      <c r="I523" s="86"/>
      <c r="J523" s="86"/>
      <c r="K523" s="85"/>
      <c r="M523" s="102"/>
      <c r="O523" s="5"/>
    </row>
    <row r="524" spans="3:15" x14ac:dyDescent="0.3">
      <c r="C524" s="38"/>
      <c r="D524" s="388"/>
      <c r="E524" s="94" t="s">
        <v>315</v>
      </c>
      <c r="F524" s="93"/>
      <c r="G524" s="15">
        <f>G525</f>
        <v>0.51800000000000002</v>
      </c>
      <c r="H524" s="92"/>
      <c r="I524" s="91">
        <f>I525</f>
        <v>0.36199999999999999</v>
      </c>
      <c r="J524" s="90"/>
      <c r="K524" s="89"/>
      <c r="M524" s="102"/>
      <c r="O524" s="5"/>
    </row>
    <row r="525" spans="3:15" x14ac:dyDescent="0.3">
      <c r="C525" s="38"/>
      <c r="D525" s="388"/>
      <c r="E525" s="86"/>
      <c r="F525" s="88"/>
      <c r="G525" s="246">
        <v>0.51800000000000002</v>
      </c>
      <c r="H525" s="87"/>
      <c r="I525" s="254">
        <v>0.36199999999999999</v>
      </c>
      <c r="J525" s="257" t="s">
        <v>934</v>
      </c>
      <c r="K525" s="85"/>
      <c r="M525" s="102"/>
      <c r="O525" s="5"/>
    </row>
    <row r="526" spans="3:15" x14ac:dyDescent="0.3">
      <c r="C526" s="38"/>
      <c r="D526" s="388"/>
      <c r="E526" s="86"/>
      <c r="F526" s="88"/>
      <c r="G526" s="87"/>
      <c r="H526" s="87"/>
      <c r="I526" s="86"/>
      <c r="J526" s="86"/>
      <c r="K526" s="85"/>
      <c r="M526" s="102"/>
      <c r="O526" s="5"/>
    </row>
    <row r="527" spans="3:15" x14ac:dyDescent="0.3">
      <c r="C527" s="38"/>
      <c r="D527" s="388"/>
      <c r="E527" s="94" t="s">
        <v>314</v>
      </c>
      <c r="F527" s="93"/>
      <c r="G527" s="15">
        <f>G528</f>
        <v>0.62</v>
      </c>
      <c r="H527" s="92"/>
      <c r="I527" s="91">
        <f>I528</f>
        <v>0.31900000000000001</v>
      </c>
      <c r="J527" s="90"/>
      <c r="K527" s="89"/>
      <c r="M527" s="102"/>
      <c r="O527" s="5"/>
    </row>
    <row r="528" spans="3:15" x14ac:dyDescent="0.3">
      <c r="C528" s="38"/>
      <c r="D528" s="388"/>
      <c r="E528" s="88"/>
      <c r="F528" s="88"/>
      <c r="G528" s="246">
        <v>0.62</v>
      </c>
      <c r="H528" s="87"/>
      <c r="I528" s="254">
        <v>0.31900000000000001</v>
      </c>
      <c r="J528" s="257" t="s">
        <v>935</v>
      </c>
      <c r="K528" s="85"/>
      <c r="M528" s="102"/>
      <c r="O528" s="5"/>
    </row>
    <row r="529" spans="3:15" x14ac:dyDescent="0.3">
      <c r="C529" s="38"/>
      <c r="D529" s="389"/>
      <c r="E529" s="84"/>
      <c r="F529" s="84"/>
      <c r="G529" s="83"/>
      <c r="H529" s="83"/>
      <c r="I529" s="82"/>
      <c r="J529" s="82"/>
      <c r="K529" s="81"/>
      <c r="M529" s="102"/>
      <c r="O529" s="5"/>
    </row>
    <row r="530" spans="3:15" x14ac:dyDescent="0.3">
      <c r="D530" s="38"/>
      <c r="E530" s="38"/>
      <c r="F530" s="38"/>
      <c r="G530" s="38"/>
      <c r="H530" s="38"/>
      <c r="I530" s="38"/>
      <c r="J530" s="86"/>
      <c r="M530" s="5"/>
      <c r="O530" s="5"/>
    </row>
    <row r="531" spans="3:15" x14ac:dyDescent="0.3">
      <c r="D531" s="38"/>
      <c r="E531" s="38"/>
      <c r="F531" s="38"/>
      <c r="G531" s="38"/>
      <c r="H531" s="38"/>
      <c r="I531" s="38"/>
      <c r="J531" s="86"/>
      <c r="M531" s="5"/>
      <c r="O531" s="5"/>
    </row>
    <row r="532" spans="3:15" x14ac:dyDescent="0.3">
      <c r="D532" s="387"/>
      <c r="E532" s="101" t="s">
        <v>316</v>
      </c>
      <c r="F532" s="99"/>
      <c r="G532" s="100"/>
      <c r="H532" s="99"/>
      <c r="I532" s="98"/>
      <c r="J532" s="97"/>
      <c r="K532" s="96"/>
      <c r="M532" s="102"/>
      <c r="O532" s="5"/>
    </row>
    <row r="533" spans="3:15" x14ac:dyDescent="0.3">
      <c r="D533" s="388"/>
      <c r="E533" s="95"/>
      <c r="F533" s="88"/>
      <c r="G533" s="88"/>
      <c r="H533" s="88"/>
      <c r="I533" s="86"/>
      <c r="J533" s="86"/>
      <c r="K533" s="85"/>
      <c r="M533" s="102"/>
      <c r="O533" s="5"/>
    </row>
    <row r="534" spans="3:15" x14ac:dyDescent="0.3">
      <c r="D534" s="388"/>
      <c r="E534" s="95"/>
      <c r="F534" s="88"/>
      <c r="G534" s="88"/>
      <c r="H534" s="88"/>
      <c r="I534" s="86"/>
      <c r="J534" s="86"/>
      <c r="K534" s="85"/>
      <c r="M534" s="102"/>
      <c r="O534" s="5"/>
    </row>
    <row r="535" spans="3:15" x14ac:dyDescent="0.3">
      <c r="D535" s="388"/>
      <c r="E535" s="94" t="s">
        <v>315</v>
      </c>
      <c r="F535" s="93"/>
      <c r="G535" s="15"/>
      <c r="H535" s="92"/>
      <c r="I535" s="91"/>
      <c r="J535" s="90"/>
      <c r="K535" s="89"/>
      <c r="M535" s="102"/>
      <c r="O535" s="5"/>
    </row>
    <row r="536" spans="3:15" x14ac:dyDescent="0.3">
      <c r="D536" s="388"/>
      <c r="E536" s="86"/>
      <c r="F536" s="88"/>
      <c r="G536" s="104"/>
      <c r="H536" s="87"/>
      <c r="I536" s="103"/>
      <c r="J536" s="86"/>
      <c r="K536" s="106"/>
      <c r="M536" s="102"/>
      <c r="O536" s="5"/>
    </row>
    <row r="537" spans="3:15" x14ac:dyDescent="0.3">
      <c r="D537" s="388"/>
      <c r="E537" s="86"/>
      <c r="F537" s="88"/>
      <c r="G537" s="87"/>
      <c r="H537" s="87"/>
      <c r="I537" s="86"/>
      <c r="J537" s="86"/>
      <c r="K537" s="85"/>
      <c r="M537" s="102"/>
      <c r="O537" s="5"/>
    </row>
    <row r="538" spans="3:15" x14ac:dyDescent="0.3">
      <c r="D538" s="388"/>
      <c r="E538" s="94" t="s">
        <v>314</v>
      </c>
      <c r="F538" s="93"/>
      <c r="G538" s="15"/>
      <c r="H538" s="92"/>
      <c r="I538" s="91"/>
      <c r="J538" s="90"/>
      <c r="K538" s="89"/>
      <c r="M538" s="102"/>
      <c r="O538" s="5"/>
    </row>
    <row r="539" spans="3:15" x14ac:dyDescent="0.3">
      <c r="D539" s="388"/>
      <c r="E539" s="88"/>
      <c r="F539" s="88"/>
      <c r="G539" s="104"/>
      <c r="H539" s="87"/>
      <c r="I539" s="103"/>
      <c r="J539" s="86"/>
      <c r="K539" s="85"/>
      <c r="M539" s="102"/>
      <c r="O539" s="5"/>
    </row>
    <row r="540" spans="3:15" x14ac:dyDescent="0.3">
      <c r="D540" s="389"/>
      <c r="E540" s="84"/>
      <c r="F540" s="84"/>
      <c r="G540" s="83"/>
      <c r="H540" s="83"/>
      <c r="I540" s="82"/>
      <c r="J540" s="82"/>
      <c r="K540" s="81"/>
      <c r="M540" s="102"/>
      <c r="O540" s="5"/>
    </row>
    <row r="541" spans="3:15" x14ac:dyDescent="0.3">
      <c r="M541" s="5"/>
      <c r="O541" s="5"/>
    </row>
    <row r="542" spans="3:15" x14ac:dyDescent="0.3">
      <c r="M542" s="5"/>
      <c r="O542" s="5"/>
    </row>
    <row r="543" spans="3:15" x14ac:dyDescent="0.3">
      <c r="M543" s="102"/>
      <c r="O543" s="5"/>
    </row>
    <row r="544" spans="3:15" x14ac:dyDescent="0.3">
      <c r="M544" s="102"/>
      <c r="O544" s="5"/>
    </row>
    <row r="545" spans="3:19" x14ac:dyDescent="0.3">
      <c r="C545" s="107"/>
      <c r="D545" s="387" t="s">
        <v>326</v>
      </c>
      <c r="E545" s="101" t="s">
        <v>316</v>
      </c>
      <c r="F545" s="99"/>
      <c r="G545" s="100"/>
      <c r="H545" s="99"/>
      <c r="I545" s="98"/>
      <c r="J545" s="97"/>
      <c r="K545" s="96"/>
      <c r="L545" s="39"/>
      <c r="M545" s="102"/>
      <c r="O545" s="5"/>
      <c r="R545" s="108"/>
      <c r="S545" s="39"/>
    </row>
    <row r="546" spans="3:19" x14ac:dyDescent="0.3">
      <c r="C546" s="107"/>
      <c r="D546" s="388"/>
      <c r="E546" s="95"/>
      <c r="F546" s="88"/>
      <c r="G546" s="88"/>
      <c r="H546" s="88"/>
      <c r="I546" s="86"/>
      <c r="J546" s="86"/>
      <c r="K546" s="85"/>
      <c r="L546" s="39"/>
      <c r="M546" s="102"/>
      <c r="O546" s="5"/>
    </row>
    <row r="547" spans="3:19" x14ac:dyDescent="0.3">
      <c r="C547" s="107"/>
      <c r="D547" s="388"/>
      <c r="E547" s="95"/>
      <c r="F547" s="88"/>
      <c r="G547" s="88"/>
      <c r="H547" s="88"/>
      <c r="I547" s="86"/>
      <c r="J547" s="86"/>
      <c r="K547" s="85"/>
      <c r="L547" s="39"/>
      <c r="M547" s="102"/>
      <c r="O547" s="5"/>
    </row>
    <row r="548" spans="3:19" x14ac:dyDescent="0.3">
      <c r="C548" s="107"/>
      <c r="D548" s="388"/>
      <c r="E548" s="94" t="s">
        <v>315</v>
      </c>
      <c r="F548" s="93"/>
      <c r="G548" s="15">
        <f>G549</f>
        <v>0.51800000000000002</v>
      </c>
      <c r="H548" s="92"/>
      <c r="I548" s="91">
        <f>I549</f>
        <v>0.36199999999999999</v>
      </c>
      <c r="J548" s="90"/>
      <c r="K548" s="89"/>
      <c r="L548" s="39"/>
      <c r="M548" s="102"/>
      <c r="O548" s="5"/>
    </row>
    <row r="549" spans="3:19" x14ac:dyDescent="0.3">
      <c r="C549" s="107"/>
      <c r="D549" s="388"/>
      <c r="E549" s="86"/>
      <c r="F549" s="88"/>
      <c r="G549" s="104">
        <v>0.51800000000000002</v>
      </c>
      <c r="H549" s="87"/>
      <c r="I549" s="103">
        <v>0.36199999999999999</v>
      </c>
      <c r="J549" s="86"/>
      <c r="K549" s="85"/>
      <c r="L549" s="39"/>
      <c r="M549" s="102"/>
      <c r="O549" s="5"/>
    </row>
    <row r="550" spans="3:19" x14ac:dyDescent="0.3">
      <c r="C550" s="107"/>
      <c r="D550" s="388"/>
      <c r="E550" s="86"/>
      <c r="F550" s="88"/>
      <c r="G550" s="87"/>
      <c r="H550" s="87"/>
      <c r="I550" s="86"/>
      <c r="J550" s="86"/>
      <c r="K550" s="85"/>
      <c r="L550" s="39"/>
      <c r="M550" s="102"/>
      <c r="O550" s="5"/>
    </row>
    <row r="551" spans="3:19" x14ac:dyDescent="0.3">
      <c r="C551" s="107"/>
      <c r="D551" s="388"/>
      <c r="E551" s="94" t="s">
        <v>314</v>
      </c>
      <c r="F551" s="93"/>
      <c r="G551" s="15">
        <f>G552</f>
        <v>0.62</v>
      </c>
      <c r="H551" s="92"/>
      <c r="I551" s="91">
        <f>I552</f>
        <v>0.31900000000000001</v>
      </c>
      <c r="J551" s="90"/>
      <c r="K551" s="89"/>
      <c r="L551" s="39"/>
      <c r="M551" s="102"/>
      <c r="O551" s="5"/>
    </row>
    <row r="552" spans="3:19" x14ac:dyDescent="0.3">
      <c r="C552" s="107"/>
      <c r="D552" s="388"/>
      <c r="E552" s="88"/>
      <c r="F552" s="88"/>
      <c r="G552" s="104">
        <v>0.62</v>
      </c>
      <c r="H552" s="87"/>
      <c r="I552" s="103">
        <v>0.31900000000000001</v>
      </c>
      <c r="J552" s="86"/>
      <c r="K552" s="85"/>
      <c r="L552" s="39"/>
      <c r="M552" s="5"/>
      <c r="O552" s="5"/>
    </row>
    <row r="553" spans="3:19" x14ac:dyDescent="0.3">
      <c r="C553" s="107"/>
      <c r="D553" s="389"/>
      <c r="E553" s="84"/>
      <c r="F553" s="84"/>
      <c r="G553" s="83"/>
      <c r="H553" s="83"/>
      <c r="I553" s="82"/>
      <c r="J553" s="82"/>
      <c r="K553" s="81"/>
      <c r="L553" s="39"/>
      <c r="M553" s="5"/>
      <c r="O553" s="5"/>
    </row>
    <row r="554" spans="3:19" x14ac:dyDescent="0.3">
      <c r="D554" s="38"/>
      <c r="E554" s="38"/>
      <c r="F554" s="38"/>
      <c r="G554" s="38"/>
      <c r="H554" s="38"/>
      <c r="I554" s="38"/>
      <c r="J554" s="86"/>
      <c r="M554" s="105"/>
      <c r="O554" s="5"/>
    </row>
    <row r="555" spans="3:19" x14ac:dyDescent="0.3">
      <c r="D555" s="38"/>
      <c r="E555" s="38"/>
      <c r="F555" s="38"/>
      <c r="G555" s="38"/>
      <c r="H555" s="38"/>
      <c r="I555" s="38"/>
      <c r="J555" s="86"/>
      <c r="M555" s="102"/>
      <c r="O555" s="5"/>
    </row>
    <row r="556" spans="3:19" x14ac:dyDescent="0.3">
      <c r="D556" s="387" t="s">
        <v>46</v>
      </c>
      <c r="E556" s="101" t="s">
        <v>316</v>
      </c>
      <c r="F556" s="99"/>
      <c r="G556" s="100"/>
      <c r="H556" s="99"/>
      <c r="I556" s="98"/>
      <c r="J556" s="97"/>
      <c r="K556" s="96"/>
      <c r="L556" s="39"/>
      <c r="M556" s="102"/>
      <c r="O556" s="5"/>
    </row>
    <row r="557" spans="3:19" x14ac:dyDescent="0.3">
      <c r="D557" s="388"/>
      <c r="E557" s="95"/>
      <c r="F557" s="88"/>
      <c r="G557" s="88"/>
      <c r="H557" s="88"/>
      <c r="I557" s="86"/>
      <c r="J557" s="86"/>
      <c r="K557" s="85"/>
      <c r="L557" s="39"/>
      <c r="M557" s="102"/>
      <c r="O557" s="5"/>
    </row>
    <row r="558" spans="3:19" x14ac:dyDescent="0.3">
      <c r="D558" s="388"/>
      <c r="E558" s="95"/>
      <c r="F558" s="88"/>
      <c r="G558" s="88"/>
      <c r="H558" s="88"/>
      <c r="I558" s="86"/>
      <c r="J558" s="86"/>
      <c r="K558" s="85"/>
      <c r="L558" s="39"/>
      <c r="M558" s="102"/>
      <c r="O558" s="5"/>
    </row>
    <row r="559" spans="3:19" x14ac:dyDescent="0.3">
      <c r="D559" s="388"/>
      <c r="E559" s="94" t="s">
        <v>315</v>
      </c>
      <c r="F559" s="93"/>
      <c r="G559" s="15">
        <f>G560</f>
        <v>0.51800000000000002</v>
      </c>
      <c r="H559" s="92"/>
      <c r="I559" s="91">
        <f>I560</f>
        <v>0.36199999999999999</v>
      </c>
      <c r="J559" s="90"/>
      <c r="K559" s="89"/>
      <c r="L559" s="39"/>
      <c r="M559" s="102"/>
      <c r="O559" s="5"/>
    </row>
    <row r="560" spans="3:19" x14ac:dyDescent="0.3">
      <c r="D560" s="388"/>
      <c r="E560" s="86"/>
      <c r="F560" s="88"/>
      <c r="G560" s="104">
        <v>0.51800000000000002</v>
      </c>
      <c r="H560" s="87"/>
      <c r="I560" s="103">
        <v>0.36199999999999999</v>
      </c>
      <c r="J560" s="86" t="s">
        <v>325</v>
      </c>
      <c r="K560" s="106"/>
      <c r="L560" s="39"/>
      <c r="M560" s="102"/>
      <c r="O560" s="5"/>
    </row>
    <row r="561" spans="3:15" x14ac:dyDescent="0.3">
      <c r="D561" s="388"/>
      <c r="E561" s="86"/>
      <c r="F561" s="88"/>
      <c r="G561" s="87"/>
      <c r="H561" s="87"/>
      <c r="I561" s="86"/>
      <c r="J561" s="86"/>
      <c r="K561" s="85"/>
      <c r="L561" s="39"/>
      <c r="M561" s="102"/>
      <c r="O561" s="5"/>
    </row>
    <row r="562" spans="3:15" x14ac:dyDescent="0.3">
      <c r="D562" s="388"/>
      <c r="E562" s="94" t="s">
        <v>314</v>
      </c>
      <c r="F562" s="93"/>
      <c r="G562" s="15">
        <f>G563</f>
        <v>0.62</v>
      </c>
      <c r="H562" s="92"/>
      <c r="I562" s="91">
        <f>I563</f>
        <v>0.31900000000000001</v>
      </c>
      <c r="J562" s="90"/>
      <c r="K562" s="89"/>
      <c r="L562" s="39"/>
      <c r="M562" s="102"/>
      <c r="O562" s="5"/>
    </row>
    <row r="563" spans="3:15" x14ac:dyDescent="0.3">
      <c r="D563" s="388"/>
      <c r="E563" s="88"/>
      <c r="F563" s="88"/>
      <c r="G563" s="104">
        <v>0.62</v>
      </c>
      <c r="H563" s="87"/>
      <c r="I563" s="103">
        <v>0.31900000000000001</v>
      </c>
      <c r="J563" s="86"/>
      <c r="K563" s="85"/>
      <c r="L563" s="39"/>
      <c r="M563" s="5"/>
      <c r="O563" s="5"/>
    </row>
    <row r="564" spans="3:15" x14ac:dyDescent="0.3">
      <c r="D564" s="389"/>
      <c r="E564" s="84"/>
      <c r="F564" s="84"/>
      <c r="G564" s="83"/>
      <c r="H564" s="83"/>
      <c r="I564" s="82"/>
      <c r="J564" s="82"/>
      <c r="K564" s="81"/>
      <c r="L564" s="39"/>
      <c r="M564" s="5"/>
      <c r="O564" s="5"/>
    </row>
    <row r="565" spans="3:15" x14ac:dyDescent="0.3">
      <c r="C565" s="38"/>
      <c r="D565" s="38"/>
      <c r="E565" s="38"/>
      <c r="F565" s="38"/>
      <c r="G565" s="38"/>
      <c r="H565" s="38"/>
      <c r="I565" s="38"/>
      <c r="J565" s="86"/>
      <c r="M565" s="102"/>
      <c r="O565" s="5"/>
    </row>
    <row r="566" spans="3:15" x14ac:dyDescent="0.3">
      <c r="D566" s="387" t="s">
        <v>1503</v>
      </c>
      <c r="E566" s="101" t="s">
        <v>316</v>
      </c>
      <c r="F566" s="99"/>
      <c r="G566" s="100"/>
      <c r="H566" s="99"/>
      <c r="I566" s="98"/>
      <c r="J566" s="97"/>
      <c r="K566" s="96"/>
      <c r="M566" s="102"/>
      <c r="O566" s="5"/>
    </row>
    <row r="567" spans="3:15" x14ac:dyDescent="0.3">
      <c r="D567" s="388"/>
      <c r="E567" s="95"/>
      <c r="F567" s="88"/>
      <c r="G567" s="88"/>
      <c r="H567" s="88"/>
      <c r="I567" s="86"/>
      <c r="J567" s="86"/>
      <c r="K567" s="85"/>
      <c r="M567" s="102"/>
      <c r="O567" s="5"/>
    </row>
    <row r="568" spans="3:15" x14ac:dyDescent="0.3">
      <c r="D568" s="388"/>
      <c r="E568" s="95"/>
      <c r="F568" s="88"/>
      <c r="G568" s="88"/>
      <c r="H568" s="88"/>
      <c r="I568" s="86"/>
      <c r="J568" s="86"/>
      <c r="K568" s="85"/>
      <c r="M568" s="102"/>
      <c r="O568" s="5"/>
    </row>
    <row r="569" spans="3:15" x14ac:dyDescent="0.3">
      <c r="D569" s="388"/>
      <c r="E569" s="94" t="s">
        <v>315</v>
      </c>
      <c r="F569" s="93"/>
      <c r="G569" s="15">
        <f>G570</f>
        <v>0.51800000000000002</v>
      </c>
      <c r="H569" s="92"/>
      <c r="I569" s="91">
        <f>I570</f>
        <v>0.36199999999999999</v>
      </c>
      <c r="J569" s="90"/>
      <c r="K569" s="89"/>
      <c r="M569" s="102"/>
      <c r="O569" s="5"/>
    </row>
    <row r="570" spans="3:15" x14ac:dyDescent="0.3">
      <c r="D570" s="388"/>
      <c r="E570" s="86"/>
      <c r="F570" s="88"/>
      <c r="G570" s="104">
        <v>0.51800000000000002</v>
      </c>
      <c r="H570" s="87"/>
      <c r="I570" s="103">
        <v>0.36199999999999999</v>
      </c>
      <c r="J570" s="86"/>
      <c r="K570" s="106"/>
      <c r="M570" s="102"/>
      <c r="O570" s="5"/>
    </row>
    <row r="571" spans="3:15" x14ac:dyDescent="0.3">
      <c r="D571" s="388"/>
      <c r="E571" s="86"/>
      <c r="F571" s="88"/>
      <c r="G571" s="87"/>
      <c r="H571" s="87"/>
      <c r="I571" s="86"/>
      <c r="J571" s="86"/>
      <c r="K571" s="85"/>
      <c r="M571" s="102"/>
      <c r="O571" s="5"/>
    </row>
    <row r="572" spans="3:15" x14ac:dyDescent="0.3">
      <c r="D572" s="388"/>
      <c r="E572" s="94" t="s">
        <v>314</v>
      </c>
      <c r="F572" s="93"/>
      <c r="G572" s="15">
        <f>G573</f>
        <v>0.62</v>
      </c>
      <c r="H572" s="92"/>
      <c r="I572" s="91">
        <f>I573</f>
        <v>0.31900000000000001</v>
      </c>
      <c r="J572" s="90"/>
      <c r="K572" s="89"/>
      <c r="M572" s="102"/>
      <c r="O572" s="5"/>
    </row>
    <row r="573" spans="3:15" x14ac:dyDescent="0.3">
      <c r="D573" s="388"/>
      <c r="E573" s="88"/>
      <c r="F573" s="88"/>
      <c r="G573" s="104">
        <v>0.62</v>
      </c>
      <c r="H573" s="87"/>
      <c r="I573" s="103">
        <v>0.31900000000000001</v>
      </c>
      <c r="J573" s="86"/>
      <c r="K573" s="85"/>
      <c r="M573" s="102"/>
      <c r="O573" s="5"/>
    </row>
    <row r="574" spans="3:15" x14ac:dyDescent="0.3">
      <c r="D574" s="389"/>
      <c r="E574" s="84"/>
      <c r="F574" s="84"/>
      <c r="G574" s="83"/>
      <c r="H574" s="83"/>
      <c r="I574" s="82"/>
      <c r="J574" s="82"/>
      <c r="K574" s="81"/>
      <c r="M574" s="102"/>
      <c r="O574" s="5"/>
    </row>
    <row r="575" spans="3:15" x14ac:dyDescent="0.3">
      <c r="M575" s="102"/>
      <c r="O575" s="5"/>
    </row>
    <row r="576" spans="3:15" x14ac:dyDescent="0.3">
      <c r="M576" s="102"/>
      <c r="O576" s="5"/>
    </row>
    <row r="577" spans="13:15" x14ac:dyDescent="0.3">
      <c r="M577" s="102"/>
      <c r="O577" s="5"/>
    </row>
    <row r="578" spans="13:15" x14ac:dyDescent="0.3">
      <c r="M578" s="102"/>
      <c r="O578" s="5"/>
    </row>
    <row r="579" spans="13:15" x14ac:dyDescent="0.3">
      <c r="M579" s="102"/>
      <c r="O579" s="5"/>
    </row>
    <row r="580" spans="13:15" x14ac:dyDescent="0.3">
      <c r="M580" s="102"/>
      <c r="O580" s="5"/>
    </row>
    <row r="581" spans="13:15" x14ac:dyDescent="0.3">
      <c r="M581" s="102"/>
      <c r="O581" s="5"/>
    </row>
    <row r="582" spans="13:15" x14ac:dyDescent="0.3">
      <c r="M582" s="102"/>
      <c r="O582" s="5"/>
    </row>
    <row r="583" spans="13:15" x14ac:dyDescent="0.3">
      <c r="M583" s="102"/>
      <c r="O583" s="5"/>
    </row>
    <row r="584" spans="13:15" x14ac:dyDescent="0.3">
      <c r="M584" s="102"/>
      <c r="O584" s="5"/>
    </row>
    <row r="585" spans="13:15" x14ac:dyDescent="0.3">
      <c r="M585" s="102"/>
      <c r="O585" s="5"/>
    </row>
    <row r="586" spans="13:15" x14ac:dyDescent="0.3">
      <c r="M586" s="102"/>
      <c r="O586" s="5"/>
    </row>
    <row r="587" spans="13:15" x14ac:dyDescent="0.3">
      <c r="M587" s="102"/>
      <c r="O587" s="5"/>
    </row>
    <row r="588" spans="13:15" x14ac:dyDescent="0.3">
      <c r="M588" s="102"/>
      <c r="O588" s="5"/>
    </row>
    <row r="589" spans="13:15" x14ac:dyDescent="0.3">
      <c r="M589" s="102"/>
      <c r="O589" s="5"/>
    </row>
    <row r="590" spans="13:15" x14ac:dyDescent="0.3">
      <c r="M590" s="102"/>
      <c r="O590" s="5"/>
    </row>
    <row r="591" spans="13:15" x14ac:dyDescent="0.3">
      <c r="M591" s="102"/>
      <c r="O591" s="5"/>
    </row>
    <row r="592" spans="13:15" x14ac:dyDescent="0.3">
      <c r="M592" s="102"/>
      <c r="O592" s="5"/>
    </row>
    <row r="593" spans="3:15" ht="15.6" customHeight="1" x14ac:dyDescent="0.3">
      <c r="M593" s="102"/>
      <c r="O593" s="5"/>
    </row>
    <row r="594" spans="3:15" x14ac:dyDescent="0.3">
      <c r="M594" s="102"/>
      <c r="O594" s="5"/>
    </row>
    <row r="595" spans="3:15" x14ac:dyDescent="0.3">
      <c r="M595" s="102"/>
      <c r="O595" s="5"/>
    </row>
    <row r="596" spans="3:15" x14ac:dyDescent="0.3">
      <c r="M596" s="102"/>
      <c r="O596" s="5"/>
    </row>
    <row r="597" spans="3:15" x14ac:dyDescent="0.3">
      <c r="M597" s="102"/>
      <c r="O597" s="5"/>
    </row>
    <row r="598" spans="3:15" x14ac:dyDescent="0.3">
      <c r="M598" s="102"/>
      <c r="O598" s="5"/>
    </row>
    <row r="599" spans="3:15" x14ac:dyDescent="0.3">
      <c r="C599" s="88"/>
      <c r="D599" s="88"/>
      <c r="E599" s="88"/>
      <c r="F599" s="88"/>
      <c r="G599" s="87"/>
      <c r="H599" s="87"/>
      <c r="I599" s="86"/>
      <c r="J599" s="86"/>
      <c r="M599" s="5"/>
      <c r="O599" s="5"/>
    </row>
    <row r="600" spans="3:15" x14ac:dyDescent="0.3">
      <c r="C600" s="88"/>
      <c r="D600" s="88"/>
      <c r="E600" s="88"/>
      <c r="F600" s="88"/>
      <c r="G600" s="88"/>
      <c r="H600" s="88"/>
      <c r="I600" s="86"/>
      <c r="J600" s="86"/>
      <c r="M600" s="5"/>
      <c r="O600" s="5"/>
    </row>
    <row r="601" spans="3:15" x14ac:dyDescent="0.3">
      <c r="M601" s="102"/>
      <c r="O601" s="5"/>
    </row>
    <row r="602" spans="3:15" x14ac:dyDescent="0.3">
      <c r="M602" s="102"/>
      <c r="O602" s="5"/>
    </row>
    <row r="603" spans="3:15" x14ac:dyDescent="0.3">
      <c r="M603" s="102"/>
      <c r="O603" s="5"/>
    </row>
    <row r="604" spans="3:15" x14ac:dyDescent="0.3">
      <c r="M604" s="102"/>
      <c r="O604" s="5"/>
    </row>
    <row r="605" spans="3:15" x14ac:dyDescent="0.3">
      <c r="M605" s="102"/>
      <c r="O605" s="5"/>
    </row>
    <row r="606" spans="3:15" x14ac:dyDescent="0.3">
      <c r="M606" s="102"/>
      <c r="O606" s="5"/>
    </row>
    <row r="607" spans="3:15" x14ac:dyDescent="0.3">
      <c r="M607" s="102"/>
      <c r="O607" s="5"/>
    </row>
    <row r="608" spans="3:15" x14ac:dyDescent="0.3">
      <c r="M608" s="102"/>
      <c r="O608" s="5"/>
    </row>
    <row r="609" spans="2:15" x14ac:dyDescent="0.3">
      <c r="M609" s="102"/>
      <c r="O609" s="5"/>
    </row>
    <row r="610" spans="2:15" x14ac:dyDescent="0.3">
      <c r="M610" s="5"/>
      <c r="O610" s="5"/>
    </row>
    <row r="611" spans="2:15" x14ac:dyDescent="0.3">
      <c r="M611" s="5"/>
      <c r="O611" s="5"/>
    </row>
    <row r="612" spans="2:15" x14ac:dyDescent="0.3">
      <c r="B612" s="393" t="s">
        <v>324</v>
      </c>
      <c r="M612" s="102"/>
      <c r="O612" s="5"/>
    </row>
    <row r="613" spans="2:15" x14ac:dyDescent="0.3">
      <c r="B613" s="393"/>
      <c r="M613" s="102"/>
      <c r="O613" s="5"/>
    </row>
    <row r="614" spans="2:15" x14ac:dyDescent="0.3">
      <c r="B614" s="393"/>
      <c r="M614" s="102"/>
      <c r="O614" s="5"/>
    </row>
    <row r="615" spans="2:15" x14ac:dyDescent="0.3">
      <c r="B615" s="393"/>
      <c r="M615" s="102"/>
      <c r="O615" s="5"/>
    </row>
    <row r="616" spans="2:15" x14ac:dyDescent="0.3">
      <c r="B616" s="393"/>
      <c r="M616" s="102"/>
      <c r="O616" s="5"/>
    </row>
    <row r="617" spans="2:15" x14ac:dyDescent="0.3">
      <c r="B617" s="393"/>
      <c r="M617" s="102"/>
      <c r="O617" s="5"/>
    </row>
    <row r="618" spans="2:15" x14ac:dyDescent="0.3">
      <c r="B618" s="393"/>
      <c r="M618" s="102"/>
      <c r="O618" s="5"/>
    </row>
    <row r="619" spans="2:15" x14ac:dyDescent="0.3">
      <c r="B619" s="393"/>
      <c r="M619" s="102"/>
      <c r="O619" s="5"/>
    </row>
    <row r="620" spans="2:15" x14ac:dyDescent="0.3">
      <c r="B620" s="393"/>
      <c r="M620" s="102"/>
      <c r="O620" s="5"/>
    </row>
    <row r="621" spans="2:15" x14ac:dyDescent="0.3">
      <c r="B621" s="393"/>
      <c r="M621" s="5"/>
      <c r="O621" s="5"/>
    </row>
    <row r="622" spans="2:15" x14ac:dyDescent="0.3">
      <c r="B622" s="393"/>
      <c r="M622" s="5"/>
      <c r="O622" s="5"/>
    </row>
    <row r="623" spans="2:15" x14ac:dyDescent="0.3">
      <c r="B623" s="393"/>
      <c r="M623" s="102"/>
      <c r="O623" s="5"/>
    </row>
    <row r="624" spans="2:15" x14ac:dyDescent="0.3">
      <c r="B624" s="393"/>
      <c r="M624" s="102"/>
      <c r="O624" s="5"/>
    </row>
    <row r="625" spans="2:15" x14ac:dyDescent="0.3">
      <c r="B625" s="393"/>
      <c r="M625" s="102"/>
      <c r="O625" s="5"/>
    </row>
    <row r="626" spans="2:15" x14ac:dyDescent="0.3">
      <c r="B626" s="393"/>
      <c r="M626" s="102"/>
      <c r="O626" s="5"/>
    </row>
    <row r="627" spans="2:15" x14ac:dyDescent="0.3">
      <c r="B627" s="393"/>
      <c r="M627" s="102"/>
      <c r="O627" s="5"/>
    </row>
    <row r="628" spans="2:15" x14ac:dyDescent="0.3">
      <c r="B628" s="393"/>
      <c r="M628" s="102"/>
      <c r="O628" s="5"/>
    </row>
    <row r="629" spans="2:15" x14ac:dyDescent="0.3">
      <c r="B629" s="393"/>
      <c r="M629" s="102"/>
      <c r="O629" s="5"/>
    </row>
    <row r="630" spans="2:15" x14ac:dyDescent="0.3">
      <c r="B630" s="393"/>
      <c r="M630" s="102"/>
      <c r="O630" s="5"/>
    </row>
    <row r="631" spans="2:15" x14ac:dyDescent="0.3">
      <c r="B631" s="393"/>
      <c r="M631" s="102"/>
      <c r="O631" s="5"/>
    </row>
    <row r="632" spans="2:15" x14ac:dyDescent="0.3">
      <c r="B632" s="393"/>
      <c r="J632" s="95"/>
      <c r="M632" s="5"/>
      <c r="O632" s="5"/>
    </row>
    <row r="633" spans="2:15" x14ac:dyDescent="0.3">
      <c r="B633" s="393"/>
      <c r="J633" s="95"/>
      <c r="M633" s="5"/>
      <c r="O633" s="5"/>
    </row>
    <row r="634" spans="2:15" x14ac:dyDescent="0.3">
      <c r="B634" s="393"/>
      <c r="M634" s="105"/>
      <c r="O634" s="5"/>
    </row>
    <row r="635" spans="2:15" x14ac:dyDescent="0.3">
      <c r="B635" s="393"/>
      <c r="M635" s="102"/>
      <c r="O635" s="5"/>
    </row>
    <row r="636" spans="2:15" x14ac:dyDescent="0.3">
      <c r="B636" s="393"/>
      <c r="M636" s="102"/>
      <c r="O636" s="5"/>
    </row>
    <row r="637" spans="2:15" x14ac:dyDescent="0.3">
      <c r="B637" s="393"/>
      <c r="M637" s="102"/>
      <c r="O637" s="5"/>
    </row>
    <row r="638" spans="2:15" x14ac:dyDescent="0.3">
      <c r="B638" s="393"/>
      <c r="M638" s="102"/>
      <c r="O638" s="5"/>
    </row>
    <row r="639" spans="2:15" x14ac:dyDescent="0.3">
      <c r="B639" s="393"/>
      <c r="M639" s="102"/>
      <c r="O639" s="5"/>
    </row>
    <row r="640" spans="2:15" x14ac:dyDescent="0.3">
      <c r="B640" s="393"/>
      <c r="M640" s="102"/>
      <c r="O640" s="5"/>
    </row>
    <row r="641" spans="2:15" x14ac:dyDescent="0.3">
      <c r="B641" s="393"/>
      <c r="M641" s="102"/>
      <c r="O641" s="5"/>
    </row>
    <row r="642" spans="2:15" x14ac:dyDescent="0.3">
      <c r="B642" s="393"/>
      <c r="M642" s="102"/>
      <c r="O642" s="5"/>
    </row>
    <row r="643" spans="2:15" x14ac:dyDescent="0.3">
      <c r="B643" s="393"/>
      <c r="D643" s="38"/>
      <c r="E643" s="38"/>
      <c r="F643" s="38"/>
      <c r="G643" s="38"/>
      <c r="H643" s="38"/>
      <c r="I643" s="38"/>
      <c r="J643" s="86"/>
      <c r="M643" s="5"/>
      <c r="O643" s="5"/>
    </row>
    <row r="644" spans="2:15" x14ac:dyDescent="0.3">
      <c r="B644" s="393"/>
      <c r="D644" s="38"/>
      <c r="E644" s="38"/>
      <c r="F644" s="38"/>
      <c r="G644" s="38"/>
      <c r="H644" s="38"/>
      <c r="I644" s="38"/>
      <c r="J644" s="86"/>
      <c r="M644" s="5"/>
      <c r="O644" s="5"/>
    </row>
    <row r="645" spans="2:15" x14ac:dyDescent="0.3">
      <c r="B645" s="393"/>
      <c r="D645" s="387"/>
      <c r="E645" s="101"/>
      <c r="F645" s="99"/>
      <c r="G645" s="100"/>
      <c r="H645" s="99"/>
      <c r="I645" s="98"/>
      <c r="J645" s="97"/>
      <c r="K645" s="96"/>
      <c r="M645" s="102"/>
      <c r="O645" s="5"/>
    </row>
    <row r="646" spans="2:15" x14ac:dyDescent="0.3">
      <c r="B646" s="393"/>
      <c r="D646" s="388"/>
      <c r="E646" s="95"/>
      <c r="F646" s="88"/>
      <c r="G646" s="88"/>
      <c r="H646" s="88"/>
      <c r="I646" s="86"/>
      <c r="J646" s="86"/>
      <c r="K646" s="85"/>
      <c r="M646" s="102"/>
      <c r="O646" s="5"/>
    </row>
    <row r="647" spans="2:15" x14ac:dyDescent="0.3">
      <c r="B647" s="393"/>
      <c r="D647" s="388"/>
      <c r="E647" s="95"/>
      <c r="F647" s="88"/>
      <c r="G647" s="88"/>
      <c r="H647" s="88"/>
      <c r="I647" s="86"/>
      <c r="J647" s="86"/>
      <c r="K647" s="85"/>
      <c r="M647" s="102"/>
      <c r="O647" s="5"/>
    </row>
    <row r="648" spans="2:15" x14ac:dyDescent="0.3">
      <c r="B648" s="393"/>
      <c r="D648" s="388"/>
      <c r="E648" s="94"/>
      <c r="F648" s="93"/>
      <c r="G648" s="15"/>
      <c r="H648" s="92"/>
      <c r="I648" s="91"/>
      <c r="J648" s="90"/>
      <c r="K648" s="89"/>
      <c r="M648" s="102"/>
      <c r="O648" s="5"/>
    </row>
    <row r="649" spans="2:15" x14ac:dyDescent="0.3">
      <c r="B649" s="393"/>
      <c r="D649" s="388"/>
      <c r="E649" s="86"/>
      <c r="F649" s="88"/>
      <c r="G649" s="87"/>
      <c r="H649" s="87"/>
      <c r="I649" s="86"/>
      <c r="J649" s="86"/>
      <c r="K649" s="85"/>
      <c r="M649" s="102"/>
      <c r="O649" s="5"/>
    </row>
    <row r="650" spans="2:15" x14ac:dyDescent="0.3">
      <c r="B650" s="393"/>
      <c r="D650" s="388"/>
      <c r="E650" s="86"/>
      <c r="F650" s="88"/>
      <c r="G650" s="87"/>
      <c r="H650" s="87"/>
      <c r="I650" s="86"/>
      <c r="J650" s="86"/>
      <c r="K650" s="85"/>
      <c r="M650" s="102"/>
      <c r="O650" s="5"/>
    </row>
    <row r="651" spans="2:15" x14ac:dyDescent="0.3">
      <c r="B651" s="393"/>
      <c r="D651" s="388"/>
      <c r="E651" s="94"/>
      <c r="F651" s="93"/>
      <c r="G651" s="15"/>
      <c r="H651" s="92"/>
      <c r="I651" s="91"/>
      <c r="J651" s="90"/>
      <c r="K651" s="89"/>
      <c r="M651" s="102"/>
      <c r="O651" s="5"/>
    </row>
    <row r="652" spans="2:15" x14ac:dyDescent="0.3">
      <c r="B652" s="393"/>
      <c r="D652" s="388"/>
      <c r="E652" s="88"/>
      <c r="F652" s="88"/>
      <c r="G652" s="87"/>
      <c r="H652" s="87"/>
      <c r="I652" s="86"/>
      <c r="J652" s="86"/>
      <c r="K652" s="85"/>
      <c r="M652" s="102"/>
      <c r="O652" s="5"/>
    </row>
    <row r="653" spans="2:15" x14ac:dyDescent="0.3">
      <c r="B653" s="393"/>
      <c r="D653" s="389"/>
      <c r="E653" s="84"/>
      <c r="F653" s="84"/>
      <c r="G653" s="83"/>
      <c r="H653" s="83"/>
      <c r="I653" s="82"/>
      <c r="J653" s="82"/>
      <c r="K653" s="81"/>
      <c r="M653" s="102"/>
      <c r="O653" s="5"/>
    </row>
    <row r="654" spans="2:15" x14ac:dyDescent="0.3">
      <c r="B654" s="393"/>
      <c r="D654" s="38"/>
      <c r="E654" s="38"/>
      <c r="F654" s="38"/>
      <c r="G654" s="38"/>
      <c r="H654" s="38"/>
      <c r="I654" s="38"/>
      <c r="J654" s="86"/>
      <c r="M654" s="5"/>
      <c r="O654" s="5"/>
    </row>
    <row r="655" spans="2:15" x14ac:dyDescent="0.3">
      <c r="B655" s="393"/>
      <c r="D655" s="38"/>
      <c r="E655" s="38"/>
      <c r="F655" s="38"/>
      <c r="G655" s="38"/>
      <c r="H655" s="38"/>
      <c r="I655" s="38"/>
      <c r="J655" s="86"/>
      <c r="M655" s="5"/>
      <c r="O655" s="5"/>
    </row>
    <row r="656" spans="2:15" x14ac:dyDescent="0.3">
      <c r="B656" s="393"/>
      <c r="M656" s="102"/>
      <c r="O656" s="5"/>
    </row>
    <row r="657" spans="2:15" x14ac:dyDescent="0.3">
      <c r="B657" s="393"/>
      <c r="M657" s="102"/>
      <c r="O657" s="5"/>
    </row>
    <row r="658" spans="2:15" x14ac:dyDescent="0.3">
      <c r="B658" s="393"/>
      <c r="M658" s="102"/>
      <c r="O658" s="5"/>
    </row>
    <row r="659" spans="2:15" x14ac:dyDescent="0.3">
      <c r="B659" s="393"/>
      <c r="M659" s="102"/>
      <c r="O659" s="5"/>
    </row>
    <row r="660" spans="2:15" x14ac:dyDescent="0.3">
      <c r="B660" s="393"/>
      <c r="M660" s="102"/>
      <c r="O660" s="5"/>
    </row>
    <row r="661" spans="2:15" x14ac:dyDescent="0.3">
      <c r="B661" s="393"/>
      <c r="M661" s="102"/>
      <c r="O661" s="5"/>
    </row>
    <row r="662" spans="2:15" x14ac:dyDescent="0.3">
      <c r="B662" s="393"/>
      <c r="M662" s="102"/>
      <c r="O662" s="5"/>
    </row>
    <row r="663" spans="2:15" x14ac:dyDescent="0.3">
      <c r="B663" s="393"/>
      <c r="M663" s="102"/>
      <c r="O663" s="5"/>
    </row>
    <row r="664" spans="2:15" x14ac:dyDescent="0.3">
      <c r="B664" s="393"/>
      <c r="M664" s="102"/>
      <c r="O664" s="5"/>
    </row>
    <row r="665" spans="2:15" x14ac:dyDescent="0.3">
      <c r="B665" s="393"/>
      <c r="M665" s="5"/>
      <c r="O665" s="5"/>
    </row>
    <row r="666" spans="2:15" x14ac:dyDescent="0.3">
      <c r="B666" s="393"/>
      <c r="M666" s="5"/>
      <c r="O666" s="5"/>
    </row>
    <row r="667" spans="2:15" x14ac:dyDescent="0.3">
      <c r="B667" s="393"/>
      <c r="D667" s="387">
        <v>6</v>
      </c>
      <c r="E667" s="101" t="s">
        <v>316</v>
      </c>
      <c r="F667" s="99"/>
      <c r="G667" s="100"/>
      <c r="H667" s="99"/>
      <c r="I667" s="98"/>
      <c r="J667" s="97"/>
      <c r="K667" s="96"/>
      <c r="M667" s="102"/>
      <c r="O667" s="5"/>
    </row>
    <row r="668" spans="2:15" x14ac:dyDescent="0.3">
      <c r="B668" s="393"/>
      <c r="D668" s="388"/>
      <c r="E668" s="95"/>
      <c r="F668" s="88"/>
      <c r="G668" s="88"/>
      <c r="H668" s="88"/>
      <c r="I668" s="86"/>
      <c r="J668" s="86"/>
      <c r="K668" s="85"/>
      <c r="M668" s="102"/>
      <c r="O668" s="5"/>
    </row>
    <row r="669" spans="2:15" x14ac:dyDescent="0.3">
      <c r="B669" s="393"/>
      <c r="D669" s="388"/>
      <c r="E669" s="95"/>
      <c r="F669" s="88"/>
      <c r="G669" s="88"/>
      <c r="H669" s="88"/>
      <c r="I669" s="86"/>
      <c r="J669" s="86"/>
      <c r="K669" s="85"/>
      <c r="M669" s="102"/>
      <c r="O669" s="5"/>
    </row>
    <row r="670" spans="2:15" x14ac:dyDescent="0.3">
      <c r="B670" s="393"/>
      <c r="D670" s="388"/>
      <c r="E670" s="94" t="s">
        <v>315</v>
      </c>
      <c r="F670" s="93"/>
      <c r="G670" s="15"/>
      <c r="H670" s="92"/>
      <c r="I670" s="91"/>
      <c r="J670" s="90"/>
      <c r="K670" s="89"/>
      <c r="M670" s="102"/>
      <c r="O670" s="5"/>
    </row>
    <row r="671" spans="2:15" x14ac:dyDescent="0.3">
      <c r="B671" s="393"/>
      <c r="D671" s="388"/>
      <c r="E671" s="86"/>
      <c r="F671" s="88"/>
      <c r="G671" s="87"/>
      <c r="H671" s="87"/>
      <c r="I671" s="86"/>
      <c r="J671" s="86"/>
      <c r="K671" s="85"/>
      <c r="M671" s="102"/>
      <c r="O671" s="5"/>
    </row>
    <row r="672" spans="2:15" x14ac:dyDescent="0.3">
      <c r="B672" s="393"/>
      <c r="D672" s="388"/>
      <c r="E672" s="86"/>
      <c r="F672" s="88"/>
      <c r="G672" s="87"/>
      <c r="H672" s="87"/>
      <c r="I672" s="86"/>
      <c r="J672" s="86"/>
      <c r="K672" s="85"/>
      <c r="M672" s="102"/>
      <c r="O672" s="5"/>
    </row>
    <row r="673" spans="2:15" x14ac:dyDescent="0.3">
      <c r="B673" s="393"/>
      <c r="D673" s="388"/>
      <c r="E673" s="94" t="s">
        <v>314</v>
      </c>
      <c r="F673" s="93"/>
      <c r="G673" s="15"/>
      <c r="H673" s="92"/>
      <c r="I673" s="91"/>
      <c r="J673" s="90"/>
      <c r="K673" s="89"/>
      <c r="M673" s="102"/>
      <c r="O673" s="5"/>
    </row>
    <row r="674" spans="2:15" x14ac:dyDescent="0.3">
      <c r="B674" s="393"/>
      <c r="D674" s="388"/>
      <c r="E674" s="88"/>
      <c r="F674" s="88"/>
      <c r="G674" s="87"/>
      <c r="H674" s="87"/>
      <c r="I674" s="86"/>
      <c r="J674" s="86"/>
      <c r="K674" s="85"/>
      <c r="M674" s="102"/>
      <c r="O674" s="5"/>
    </row>
    <row r="675" spans="2:15" x14ac:dyDescent="0.3">
      <c r="B675" s="393"/>
      <c r="D675" s="389"/>
      <c r="E675" s="84"/>
      <c r="F675" s="84"/>
      <c r="G675" s="83"/>
      <c r="H675" s="83"/>
      <c r="I675" s="82"/>
      <c r="J675" s="82"/>
      <c r="K675" s="81"/>
      <c r="M675" s="102"/>
      <c r="O675" s="5"/>
    </row>
    <row r="676" spans="2:15" x14ac:dyDescent="0.3">
      <c r="B676" s="393"/>
      <c r="J676" s="95"/>
      <c r="M676" s="5"/>
      <c r="O676" s="5"/>
    </row>
    <row r="677" spans="2:15" x14ac:dyDescent="0.3">
      <c r="B677" s="393"/>
      <c r="J677" s="95"/>
      <c r="M677" s="5"/>
      <c r="O677" s="5"/>
    </row>
    <row r="678" spans="2:15" x14ac:dyDescent="0.3">
      <c r="B678" s="393"/>
      <c r="D678" s="387">
        <v>7</v>
      </c>
      <c r="E678" s="101" t="s">
        <v>316</v>
      </c>
      <c r="F678" s="99"/>
      <c r="G678" s="100"/>
      <c r="H678" s="99"/>
      <c r="I678" s="98"/>
      <c r="J678" s="97"/>
      <c r="K678" s="96"/>
      <c r="M678" s="102"/>
      <c r="O678" s="5"/>
    </row>
    <row r="679" spans="2:15" x14ac:dyDescent="0.3">
      <c r="B679" s="393"/>
      <c r="D679" s="388"/>
      <c r="E679" s="95"/>
      <c r="F679" s="88"/>
      <c r="G679" s="88"/>
      <c r="H679" s="88"/>
      <c r="I679" s="86"/>
      <c r="J679" s="86"/>
      <c r="K679" s="85"/>
      <c r="M679" s="102"/>
      <c r="O679" s="5"/>
    </row>
    <row r="680" spans="2:15" x14ac:dyDescent="0.3">
      <c r="B680" s="393"/>
      <c r="D680" s="388"/>
      <c r="E680" s="95"/>
      <c r="F680" s="88"/>
      <c r="G680" s="88"/>
      <c r="H680" s="88"/>
      <c r="I680" s="86"/>
      <c r="J680" s="86"/>
      <c r="K680" s="85"/>
      <c r="M680" s="102"/>
      <c r="O680" s="5"/>
    </row>
    <row r="681" spans="2:15" x14ac:dyDescent="0.3">
      <c r="B681" s="393"/>
      <c r="D681" s="388"/>
      <c r="E681" s="94" t="s">
        <v>315</v>
      </c>
      <c r="F681" s="93"/>
      <c r="G681" s="15"/>
      <c r="H681" s="92"/>
      <c r="I681" s="91"/>
      <c r="J681" s="90"/>
      <c r="K681" s="89"/>
      <c r="M681" s="102"/>
      <c r="O681" s="5"/>
    </row>
    <row r="682" spans="2:15" x14ac:dyDescent="0.3">
      <c r="B682" s="393"/>
      <c r="D682" s="388"/>
      <c r="E682" s="86"/>
      <c r="F682" s="88"/>
      <c r="G682" s="87"/>
      <c r="H682" s="87"/>
      <c r="I682" s="86"/>
      <c r="J682" s="86"/>
      <c r="K682" s="85"/>
      <c r="M682" s="102"/>
      <c r="O682" s="5"/>
    </row>
    <row r="683" spans="2:15" x14ac:dyDescent="0.3">
      <c r="B683" s="393"/>
      <c r="D683" s="388"/>
      <c r="E683" s="86"/>
      <c r="F683" s="88"/>
      <c r="G683" s="87"/>
      <c r="H683" s="87"/>
      <c r="I683" s="86"/>
      <c r="J683" s="86"/>
      <c r="K683" s="85"/>
      <c r="M683" s="102"/>
      <c r="O683" s="5"/>
    </row>
    <row r="684" spans="2:15" x14ac:dyDescent="0.3">
      <c r="B684" s="393"/>
      <c r="D684" s="388"/>
      <c r="E684" s="94" t="s">
        <v>314</v>
      </c>
      <c r="F684" s="93"/>
      <c r="G684" s="15"/>
      <c r="H684" s="92"/>
      <c r="I684" s="91"/>
      <c r="J684" s="90"/>
      <c r="K684" s="89"/>
      <c r="M684" s="102"/>
      <c r="O684" s="5"/>
    </row>
    <row r="685" spans="2:15" x14ac:dyDescent="0.3">
      <c r="B685" s="393"/>
      <c r="D685" s="388"/>
      <c r="E685" s="88"/>
      <c r="F685" s="88"/>
      <c r="G685" s="87"/>
      <c r="H685" s="87"/>
      <c r="I685" s="86"/>
      <c r="J685" s="86"/>
      <c r="K685" s="85"/>
      <c r="M685" s="102"/>
      <c r="O685" s="5"/>
    </row>
    <row r="686" spans="2:15" x14ac:dyDescent="0.3">
      <c r="B686" s="393"/>
      <c r="D686" s="389"/>
      <c r="E686" s="84"/>
      <c r="F686" s="84"/>
      <c r="G686" s="83"/>
      <c r="H686" s="83"/>
      <c r="I686" s="82"/>
      <c r="J686" s="82"/>
      <c r="K686" s="81"/>
      <c r="M686" s="102"/>
      <c r="O686" s="5"/>
    </row>
    <row r="687" spans="2:15" x14ac:dyDescent="0.3">
      <c r="B687" s="393"/>
      <c r="D687" s="38"/>
      <c r="E687" s="38"/>
      <c r="F687" s="38"/>
      <c r="G687" s="38"/>
      <c r="H687" s="38"/>
      <c r="I687" s="38"/>
      <c r="J687" s="86"/>
      <c r="M687" s="5"/>
      <c r="O687" s="5"/>
    </row>
    <row r="688" spans="2:15" x14ac:dyDescent="0.3">
      <c r="B688" s="393"/>
      <c r="D688" s="38"/>
      <c r="E688" s="38"/>
      <c r="F688" s="38"/>
      <c r="G688" s="38"/>
      <c r="H688" s="38"/>
      <c r="I688" s="38"/>
      <c r="J688" s="86"/>
      <c r="M688" s="5"/>
      <c r="O688" s="5"/>
    </row>
    <row r="689" spans="2:15" x14ac:dyDescent="0.3">
      <c r="B689" s="393"/>
      <c r="D689" s="387">
        <v>8</v>
      </c>
      <c r="E689" s="101" t="s">
        <v>316</v>
      </c>
      <c r="F689" s="99"/>
      <c r="G689" s="100"/>
      <c r="H689" s="99"/>
      <c r="I689" s="98"/>
      <c r="J689" s="97"/>
      <c r="K689" s="96"/>
      <c r="M689" s="105"/>
      <c r="O689" s="5"/>
    </row>
    <row r="690" spans="2:15" x14ac:dyDescent="0.3">
      <c r="B690" s="393"/>
      <c r="D690" s="388"/>
      <c r="E690" s="95"/>
      <c r="F690" s="88"/>
      <c r="G690" s="88"/>
      <c r="H690" s="88"/>
      <c r="I690" s="86"/>
      <c r="J690" s="86"/>
      <c r="K690" s="85"/>
      <c r="M690" s="102"/>
      <c r="O690" s="5"/>
    </row>
    <row r="691" spans="2:15" x14ac:dyDescent="0.3">
      <c r="B691" s="393"/>
      <c r="D691" s="388"/>
      <c r="E691" s="95"/>
      <c r="F691" s="88"/>
      <c r="G691" s="88"/>
      <c r="H691" s="88"/>
      <c r="I691" s="86"/>
      <c r="J691" s="86"/>
      <c r="K691" s="85"/>
      <c r="M691" s="102"/>
      <c r="O691" s="5"/>
    </row>
    <row r="692" spans="2:15" x14ac:dyDescent="0.3">
      <c r="B692" s="393"/>
      <c r="D692" s="388"/>
      <c r="E692" s="94" t="s">
        <v>315</v>
      </c>
      <c r="F692" s="93"/>
      <c r="G692" s="15"/>
      <c r="H692" s="92"/>
      <c r="I692" s="91"/>
      <c r="J692" s="90"/>
      <c r="K692" s="89"/>
      <c r="M692" s="102"/>
      <c r="O692" s="5"/>
    </row>
    <row r="693" spans="2:15" x14ac:dyDescent="0.3">
      <c r="B693" s="393"/>
      <c r="D693" s="388"/>
      <c r="E693" s="86"/>
      <c r="F693" s="88"/>
      <c r="G693" s="87"/>
      <c r="H693" s="87"/>
      <c r="I693" s="86"/>
      <c r="J693" s="86"/>
      <c r="K693" s="85"/>
      <c r="M693" s="102"/>
      <c r="O693" s="5"/>
    </row>
    <row r="694" spans="2:15" x14ac:dyDescent="0.3">
      <c r="B694" s="393"/>
      <c r="D694" s="388"/>
      <c r="E694" s="86"/>
      <c r="F694" s="88"/>
      <c r="G694" s="87"/>
      <c r="H694" s="87"/>
      <c r="I694" s="86"/>
      <c r="J694" s="86"/>
      <c r="K694" s="85"/>
      <c r="M694" s="102"/>
      <c r="O694" s="5"/>
    </row>
    <row r="695" spans="2:15" x14ac:dyDescent="0.3">
      <c r="B695" s="393"/>
      <c r="D695" s="388"/>
      <c r="E695" s="94" t="s">
        <v>314</v>
      </c>
      <c r="F695" s="93"/>
      <c r="G695" s="15"/>
      <c r="H695" s="92"/>
      <c r="I695" s="91"/>
      <c r="J695" s="90"/>
      <c r="K695" s="89"/>
      <c r="M695" s="102"/>
      <c r="O695" s="5"/>
    </row>
    <row r="696" spans="2:15" x14ac:dyDescent="0.3">
      <c r="B696" s="393"/>
      <c r="D696" s="388"/>
      <c r="E696" s="88"/>
      <c r="F696" s="88"/>
      <c r="G696" s="87"/>
      <c r="H696" s="87"/>
      <c r="I696" s="86"/>
      <c r="J696" s="86"/>
      <c r="K696" s="85"/>
      <c r="M696" s="102"/>
      <c r="O696" s="5"/>
    </row>
    <row r="697" spans="2:15" x14ac:dyDescent="0.3">
      <c r="B697" s="393"/>
      <c r="D697" s="389"/>
      <c r="E697" s="84"/>
      <c r="F697" s="84"/>
      <c r="G697" s="83"/>
      <c r="H697" s="83"/>
      <c r="I697" s="82"/>
      <c r="J697" s="82"/>
      <c r="K697" s="81"/>
      <c r="M697" s="102"/>
      <c r="O697" s="5"/>
    </row>
    <row r="698" spans="2:15" x14ac:dyDescent="0.3">
      <c r="B698" s="393"/>
      <c r="D698" s="38"/>
      <c r="E698" s="38"/>
      <c r="F698" s="38"/>
      <c r="G698" s="38"/>
      <c r="H698" s="38"/>
      <c r="I698" s="38"/>
      <c r="J698" s="86"/>
      <c r="M698" s="5"/>
      <c r="O698" s="5"/>
    </row>
    <row r="699" spans="2:15" x14ac:dyDescent="0.3">
      <c r="B699" s="393"/>
      <c r="D699" s="38"/>
      <c r="E699" s="38"/>
      <c r="F699" s="38"/>
      <c r="G699" s="38"/>
      <c r="H699" s="38"/>
      <c r="I699" s="38"/>
      <c r="J699" s="86"/>
      <c r="M699" s="5"/>
      <c r="O699" s="5"/>
    </row>
    <row r="700" spans="2:15" x14ac:dyDescent="0.3">
      <c r="B700" s="393"/>
      <c r="D700" s="387">
        <v>9</v>
      </c>
      <c r="E700" s="101" t="s">
        <v>316</v>
      </c>
      <c r="F700" s="99"/>
      <c r="G700" s="100"/>
      <c r="H700" s="99"/>
      <c r="I700" s="98"/>
      <c r="J700" s="97"/>
      <c r="K700" s="96"/>
      <c r="M700" s="102"/>
      <c r="O700" s="5"/>
    </row>
    <row r="701" spans="2:15" x14ac:dyDescent="0.3">
      <c r="B701" s="393"/>
      <c r="D701" s="388"/>
      <c r="E701" s="95"/>
      <c r="F701" s="88"/>
      <c r="G701" s="88"/>
      <c r="H701" s="88"/>
      <c r="I701" s="86"/>
      <c r="J701" s="86"/>
      <c r="K701" s="85"/>
      <c r="M701" s="102"/>
      <c r="O701" s="5"/>
    </row>
    <row r="702" spans="2:15" x14ac:dyDescent="0.3">
      <c r="B702" s="393"/>
      <c r="D702" s="388"/>
      <c r="E702" s="95"/>
      <c r="F702" s="88"/>
      <c r="G702" s="88"/>
      <c r="H702" s="88"/>
      <c r="I702" s="86"/>
      <c r="J702" s="86"/>
      <c r="K702" s="85"/>
      <c r="M702" s="102"/>
      <c r="O702" s="5"/>
    </row>
    <row r="703" spans="2:15" x14ac:dyDescent="0.3">
      <c r="B703" s="393"/>
      <c r="D703" s="388"/>
      <c r="E703" s="94" t="s">
        <v>315</v>
      </c>
      <c r="F703" s="93"/>
      <c r="G703" s="15"/>
      <c r="H703" s="92"/>
      <c r="I703" s="91"/>
      <c r="J703" s="90"/>
      <c r="K703" s="89"/>
      <c r="M703" s="102"/>
      <c r="O703" s="5"/>
    </row>
    <row r="704" spans="2:15" x14ac:dyDescent="0.3">
      <c r="B704" s="393"/>
      <c r="D704" s="388"/>
      <c r="E704" s="86"/>
      <c r="F704" s="88"/>
      <c r="G704" s="87"/>
      <c r="H704" s="87"/>
      <c r="I704" s="86"/>
      <c r="J704" s="86"/>
      <c r="K704" s="85"/>
      <c r="M704" s="102"/>
      <c r="O704" s="5"/>
    </row>
    <row r="705" spans="2:15" x14ac:dyDescent="0.3">
      <c r="B705" s="393"/>
      <c r="D705" s="388"/>
      <c r="E705" s="86"/>
      <c r="F705" s="88"/>
      <c r="G705" s="87"/>
      <c r="H705" s="87"/>
      <c r="I705" s="86"/>
      <c r="J705" s="86"/>
      <c r="K705" s="85"/>
      <c r="M705" s="102"/>
      <c r="O705" s="5"/>
    </row>
    <row r="706" spans="2:15" x14ac:dyDescent="0.3">
      <c r="B706" s="393"/>
      <c r="D706" s="388"/>
      <c r="E706" s="94" t="s">
        <v>314</v>
      </c>
      <c r="F706" s="93"/>
      <c r="G706" s="15"/>
      <c r="H706" s="92"/>
      <c r="I706" s="91"/>
      <c r="J706" s="90"/>
      <c r="K706" s="89"/>
      <c r="M706" s="102"/>
      <c r="O706" s="5"/>
    </row>
    <row r="707" spans="2:15" x14ac:dyDescent="0.3">
      <c r="B707" s="393"/>
      <c r="D707" s="388"/>
      <c r="E707" s="88"/>
      <c r="F707" s="88"/>
      <c r="G707" s="87"/>
      <c r="H707" s="87"/>
      <c r="I707" s="86"/>
      <c r="J707" s="86"/>
      <c r="K707" s="85"/>
      <c r="M707" s="102"/>
      <c r="O707" s="5"/>
    </row>
    <row r="708" spans="2:15" x14ac:dyDescent="0.3">
      <c r="B708" s="393"/>
      <c r="D708" s="389"/>
      <c r="E708" s="84"/>
      <c r="F708" s="84"/>
      <c r="G708" s="83"/>
      <c r="H708" s="83"/>
      <c r="I708" s="82"/>
      <c r="J708" s="82"/>
      <c r="K708" s="81"/>
      <c r="M708" s="102"/>
      <c r="O708" s="5"/>
    </row>
    <row r="709" spans="2:15" x14ac:dyDescent="0.3">
      <c r="B709" s="393"/>
      <c r="M709" s="5"/>
      <c r="O709" s="5"/>
    </row>
    <row r="710" spans="2:15" x14ac:dyDescent="0.3">
      <c r="B710" s="393"/>
      <c r="M710" s="5"/>
      <c r="O710" s="5"/>
    </row>
    <row r="711" spans="2:15" x14ac:dyDescent="0.3">
      <c r="B711" s="393"/>
      <c r="D711" s="387" t="s">
        <v>323</v>
      </c>
      <c r="E711" s="101" t="s">
        <v>316</v>
      </c>
      <c r="F711" s="99"/>
      <c r="G711" s="100"/>
      <c r="H711" s="99"/>
      <c r="I711" s="98"/>
      <c r="J711" s="97"/>
      <c r="K711" s="96"/>
      <c r="M711" s="102"/>
      <c r="O711" s="5"/>
    </row>
    <row r="712" spans="2:15" x14ac:dyDescent="0.3">
      <c r="B712" s="393"/>
      <c r="D712" s="388"/>
      <c r="E712" s="95"/>
      <c r="F712" s="88"/>
      <c r="G712" s="88"/>
      <c r="H712" s="88"/>
      <c r="I712" s="86"/>
      <c r="J712" s="86"/>
      <c r="K712" s="85"/>
      <c r="M712" s="102"/>
      <c r="O712" s="5"/>
    </row>
    <row r="713" spans="2:15" x14ac:dyDescent="0.3">
      <c r="B713" s="393"/>
      <c r="D713" s="388"/>
      <c r="E713" s="95"/>
      <c r="F713" s="88"/>
      <c r="G713" s="88"/>
      <c r="H713" s="88"/>
      <c r="I713" s="86"/>
      <c r="J713" s="86"/>
      <c r="K713" s="85"/>
      <c r="M713" s="102"/>
      <c r="O713" s="5"/>
    </row>
    <row r="714" spans="2:15" x14ac:dyDescent="0.3">
      <c r="B714" s="393"/>
      <c r="D714" s="388"/>
      <c r="E714" s="94" t="s">
        <v>315</v>
      </c>
      <c r="F714" s="93"/>
      <c r="G714" s="15">
        <f>G715</f>
        <v>9.8099999999999993E-3</v>
      </c>
      <c r="H714" s="92"/>
      <c r="I714" s="91">
        <f>I715</f>
        <v>0.19</v>
      </c>
      <c r="J714" s="90"/>
      <c r="K714" s="89"/>
      <c r="M714" s="102"/>
      <c r="O714" s="5"/>
    </row>
    <row r="715" spans="2:15" x14ac:dyDescent="0.3">
      <c r="B715" s="393"/>
      <c r="D715" s="388"/>
      <c r="E715" s="86"/>
      <c r="F715" s="88"/>
      <c r="G715" s="87">
        <v>9.8099999999999993E-3</v>
      </c>
      <c r="H715" s="87"/>
      <c r="I715" s="86">
        <v>0.19</v>
      </c>
      <c r="J715" s="86" t="s">
        <v>322</v>
      </c>
      <c r="K715" s="85"/>
      <c r="M715" s="102"/>
      <c r="O715" s="5"/>
    </row>
    <row r="716" spans="2:15" x14ac:dyDescent="0.3">
      <c r="B716" s="393"/>
      <c r="D716" s="388"/>
      <c r="E716" s="86"/>
      <c r="F716" s="88"/>
      <c r="G716" s="87"/>
      <c r="H716" s="87"/>
      <c r="I716" s="86"/>
      <c r="J716" s="86"/>
      <c r="K716" s="85"/>
      <c r="M716" s="102"/>
      <c r="O716" s="5"/>
    </row>
    <row r="717" spans="2:15" x14ac:dyDescent="0.3">
      <c r="B717" s="393"/>
      <c r="D717" s="388"/>
      <c r="E717" s="94" t="s">
        <v>314</v>
      </c>
      <c r="F717" s="93"/>
      <c r="G717" s="15">
        <f>G718</f>
        <v>4.2100000000000002E-3</v>
      </c>
      <c r="H717" s="92"/>
      <c r="I717" s="91">
        <f>I718</f>
        <v>0.14899999999999999</v>
      </c>
      <c r="J717" s="90"/>
      <c r="K717" s="89"/>
      <c r="M717" s="102"/>
      <c r="O717" s="5"/>
    </row>
    <row r="718" spans="2:15" x14ac:dyDescent="0.3">
      <c r="B718" s="393"/>
      <c r="D718" s="388"/>
      <c r="E718" s="88"/>
      <c r="F718" s="88"/>
      <c r="G718" s="87">
        <v>4.2100000000000002E-3</v>
      </c>
      <c r="H718" s="87"/>
      <c r="I718" s="86">
        <v>0.14899999999999999</v>
      </c>
      <c r="J718" s="86"/>
      <c r="K718" s="85"/>
      <c r="M718" s="102"/>
      <c r="O718" s="5"/>
    </row>
    <row r="719" spans="2:15" x14ac:dyDescent="0.3">
      <c r="B719" s="393"/>
      <c r="D719" s="389"/>
      <c r="E719" s="84"/>
      <c r="F719" s="84"/>
      <c r="G719" s="83"/>
      <c r="H719" s="83"/>
      <c r="I719" s="82"/>
      <c r="J719" s="82"/>
      <c r="K719" s="81"/>
      <c r="M719" s="102"/>
      <c r="O719" s="5"/>
    </row>
    <row r="720" spans="2:15" x14ac:dyDescent="0.3">
      <c r="B720" s="393"/>
      <c r="J720" s="95"/>
      <c r="M720" s="5"/>
      <c r="O720" s="5"/>
    </row>
    <row r="721" spans="2:15" x14ac:dyDescent="0.3">
      <c r="B721" s="393"/>
      <c r="J721" s="95"/>
      <c r="M721" s="5"/>
      <c r="O721" s="5"/>
    </row>
    <row r="722" spans="2:15" x14ac:dyDescent="0.3">
      <c r="B722" s="393"/>
      <c r="D722" s="394" t="s">
        <v>321</v>
      </c>
      <c r="E722" s="101" t="s">
        <v>316</v>
      </c>
      <c r="F722" s="99"/>
      <c r="G722" s="100"/>
      <c r="H722" s="99"/>
      <c r="I722" s="98"/>
      <c r="J722" s="97"/>
      <c r="K722" s="96"/>
      <c r="M722" s="102"/>
      <c r="O722" s="5"/>
    </row>
    <row r="723" spans="2:15" x14ac:dyDescent="0.3">
      <c r="B723" s="393"/>
      <c r="D723" s="388"/>
      <c r="E723" s="95"/>
      <c r="F723" s="88"/>
      <c r="G723" s="88"/>
      <c r="H723" s="88"/>
      <c r="I723" s="86"/>
      <c r="J723" s="86"/>
      <c r="K723" s="85"/>
      <c r="M723" s="102"/>
      <c r="O723" s="5"/>
    </row>
    <row r="724" spans="2:15" x14ac:dyDescent="0.3">
      <c r="B724" s="393"/>
      <c r="D724" s="388"/>
      <c r="E724" s="95"/>
      <c r="F724" s="88"/>
      <c r="G724" s="88"/>
      <c r="H724" s="88"/>
      <c r="I724" s="86"/>
      <c r="J724" s="86"/>
      <c r="K724" s="85"/>
      <c r="M724" s="102"/>
      <c r="O724" s="5"/>
    </row>
    <row r="725" spans="2:15" x14ac:dyDescent="0.3">
      <c r="B725" s="393"/>
      <c r="D725" s="388"/>
      <c r="E725" s="94" t="s">
        <v>315</v>
      </c>
      <c r="F725" s="93"/>
      <c r="G725" s="15"/>
      <c r="H725" s="92"/>
      <c r="I725" s="91"/>
      <c r="J725" s="90"/>
      <c r="K725" s="89"/>
      <c r="M725" s="102"/>
      <c r="O725" s="5"/>
    </row>
    <row r="726" spans="2:15" x14ac:dyDescent="0.3">
      <c r="B726" s="393"/>
      <c r="D726" s="388"/>
      <c r="E726" s="86"/>
      <c r="F726" s="88"/>
      <c r="G726" s="87">
        <f>0.00238</f>
        <v>2.3800000000000002E-3</v>
      </c>
      <c r="H726" s="87"/>
      <c r="I726" s="86"/>
      <c r="J726" s="86" t="s">
        <v>320</v>
      </c>
      <c r="K726" s="85"/>
      <c r="M726" s="102"/>
      <c r="O726" s="5"/>
    </row>
    <row r="727" spans="2:15" x14ac:dyDescent="0.3">
      <c r="B727" s="393"/>
      <c r="D727" s="388"/>
      <c r="E727" s="86"/>
      <c r="F727" s="88"/>
      <c r="G727" s="87"/>
      <c r="H727" s="87"/>
      <c r="I727" s="86"/>
      <c r="J727" s="86"/>
      <c r="K727" s="85"/>
      <c r="M727" s="102"/>
      <c r="O727" s="5"/>
    </row>
    <row r="728" spans="2:15" x14ac:dyDescent="0.3">
      <c r="B728" s="393"/>
      <c r="D728" s="388"/>
      <c r="E728" s="94" t="s">
        <v>314</v>
      </c>
      <c r="F728" s="93"/>
      <c r="G728" s="15"/>
      <c r="H728" s="92"/>
      <c r="I728" s="91"/>
      <c r="J728" s="90"/>
      <c r="K728" s="89"/>
      <c r="M728" s="102"/>
      <c r="O728" s="5"/>
    </row>
    <row r="729" spans="2:15" x14ac:dyDescent="0.3">
      <c r="B729" s="393"/>
      <c r="D729" s="388"/>
      <c r="E729" s="88"/>
      <c r="F729" s="88"/>
      <c r="G729" s="87"/>
      <c r="H729" s="87"/>
      <c r="I729" s="86"/>
      <c r="J729" s="86"/>
      <c r="K729" s="85"/>
      <c r="M729" s="102"/>
      <c r="O729" s="5"/>
    </row>
    <row r="730" spans="2:15" x14ac:dyDescent="0.3">
      <c r="B730" s="393"/>
      <c r="D730" s="389"/>
      <c r="E730" s="84"/>
      <c r="F730" s="84"/>
      <c r="G730" s="83"/>
      <c r="H730" s="83"/>
      <c r="I730" s="82"/>
      <c r="J730" s="82"/>
      <c r="K730" s="81"/>
      <c r="M730" s="102"/>
      <c r="O730" s="5"/>
    </row>
    <row r="731" spans="2:15" x14ac:dyDescent="0.3">
      <c r="B731" s="393"/>
      <c r="D731" s="38"/>
      <c r="E731" s="38"/>
      <c r="F731" s="38"/>
      <c r="G731" s="38"/>
      <c r="H731" s="38"/>
      <c r="I731" s="38"/>
      <c r="J731" s="86"/>
      <c r="M731" s="5"/>
      <c r="O731" s="5"/>
    </row>
    <row r="732" spans="2:15" x14ac:dyDescent="0.3">
      <c r="B732" s="393"/>
      <c r="D732" s="38"/>
      <c r="E732" s="38"/>
      <c r="F732" s="38"/>
      <c r="G732" s="38"/>
      <c r="H732" s="38"/>
      <c r="I732" s="38"/>
      <c r="J732" s="86"/>
      <c r="M732" s="5"/>
      <c r="O732" s="5"/>
    </row>
    <row r="733" spans="2:15" x14ac:dyDescent="0.3">
      <c r="B733" s="393"/>
      <c r="D733" s="394" t="s">
        <v>319</v>
      </c>
      <c r="E733" s="101" t="s">
        <v>316</v>
      </c>
      <c r="F733" s="99"/>
      <c r="G733" s="100"/>
      <c r="H733" s="99"/>
      <c r="I733" s="98"/>
      <c r="J733" s="97"/>
      <c r="K733" s="96"/>
      <c r="M733" s="102"/>
      <c r="O733" s="5"/>
    </row>
    <row r="734" spans="2:15" x14ac:dyDescent="0.3">
      <c r="B734" s="393"/>
      <c r="D734" s="388"/>
      <c r="E734" s="95"/>
      <c r="F734" s="88"/>
      <c r="G734" s="88"/>
      <c r="H734" s="88"/>
      <c r="I734" s="86"/>
      <c r="J734" s="86"/>
      <c r="K734" s="85"/>
      <c r="M734" s="102"/>
      <c r="O734" s="5"/>
    </row>
    <row r="735" spans="2:15" x14ac:dyDescent="0.3">
      <c r="B735" s="393"/>
      <c r="D735" s="388"/>
      <c r="E735" s="95"/>
      <c r="F735" s="88"/>
      <c r="G735" s="88"/>
      <c r="H735" s="88"/>
      <c r="I735" s="86"/>
      <c r="J735" s="86"/>
      <c r="K735" s="85"/>
      <c r="M735" s="102"/>
      <c r="O735" s="5"/>
    </row>
    <row r="736" spans="2:15" x14ac:dyDescent="0.3">
      <c r="B736" s="393"/>
      <c r="D736" s="388"/>
      <c r="E736" s="94" t="s">
        <v>315</v>
      </c>
      <c r="F736" s="93"/>
      <c r="G736" s="15"/>
      <c r="H736" s="92"/>
      <c r="I736" s="91"/>
      <c r="J736" s="90"/>
      <c r="K736" s="89"/>
      <c r="M736" s="102"/>
      <c r="O736" s="5"/>
    </row>
    <row r="737" spans="2:15" x14ac:dyDescent="0.3">
      <c r="B737" s="393"/>
      <c r="D737" s="388"/>
      <c r="E737" s="86"/>
      <c r="F737" s="88"/>
      <c r="G737" s="87"/>
      <c r="H737" s="87"/>
      <c r="I737" s="86"/>
      <c r="J737" s="86"/>
      <c r="K737" s="85"/>
      <c r="M737" s="102"/>
      <c r="O737" s="5"/>
    </row>
    <row r="738" spans="2:15" x14ac:dyDescent="0.3">
      <c r="B738" s="393"/>
      <c r="D738" s="388"/>
      <c r="E738" s="86"/>
      <c r="F738" s="88"/>
      <c r="G738" s="87"/>
      <c r="H738" s="87"/>
      <c r="I738" s="86"/>
      <c r="J738" s="86"/>
      <c r="K738" s="85"/>
      <c r="M738" s="102"/>
      <c r="O738" s="5"/>
    </row>
    <row r="739" spans="2:15" x14ac:dyDescent="0.3">
      <c r="B739" s="393"/>
      <c r="D739" s="388"/>
      <c r="E739" s="94" t="s">
        <v>314</v>
      </c>
      <c r="F739" s="93"/>
      <c r="G739" s="15"/>
      <c r="H739" s="92"/>
      <c r="I739" s="91"/>
      <c r="J739" s="90"/>
      <c r="K739" s="89"/>
      <c r="M739" s="102"/>
      <c r="O739" s="5"/>
    </row>
    <row r="740" spans="2:15" x14ac:dyDescent="0.3">
      <c r="B740" s="393"/>
      <c r="D740" s="388"/>
      <c r="E740" s="88"/>
      <c r="F740" s="88"/>
      <c r="G740" s="104">
        <v>2.5400000000000002E-3</v>
      </c>
      <c r="H740" s="87"/>
      <c r="I740" s="86"/>
      <c r="J740" s="103" t="s">
        <v>318</v>
      </c>
      <c r="K740" s="85"/>
      <c r="M740" s="102"/>
      <c r="O740" s="5"/>
    </row>
    <row r="741" spans="2:15" x14ac:dyDescent="0.3">
      <c r="B741" s="393"/>
      <c r="D741" s="389"/>
      <c r="E741" s="84"/>
      <c r="F741" s="84"/>
      <c r="G741" s="83"/>
      <c r="H741" s="83"/>
      <c r="I741" s="82"/>
      <c r="J741" s="82"/>
      <c r="K741" s="81"/>
      <c r="M741" s="102"/>
      <c r="O741" s="5"/>
    </row>
    <row r="742" spans="2:15" x14ac:dyDescent="0.3">
      <c r="B742" s="393"/>
      <c r="D742" s="38"/>
      <c r="E742" s="38"/>
      <c r="F742" s="38"/>
      <c r="G742" s="38"/>
      <c r="H742" s="38"/>
      <c r="I742" s="38"/>
      <c r="J742" s="86"/>
      <c r="M742" s="5"/>
      <c r="O742" s="5"/>
    </row>
    <row r="743" spans="2:15" x14ac:dyDescent="0.3">
      <c r="B743" s="393"/>
      <c r="D743" s="38"/>
      <c r="E743" s="38"/>
      <c r="F743" s="38"/>
      <c r="G743" s="38"/>
      <c r="H743" s="38"/>
      <c r="I743" s="38"/>
      <c r="J743" s="86"/>
      <c r="M743" s="5"/>
      <c r="O743" s="5"/>
    </row>
    <row r="744" spans="2:15" x14ac:dyDescent="0.3">
      <c r="B744" s="393"/>
      <c r="D744" s="387" t="s">
        <v>317</v>
      </c>
      <c r="E744" s="101" t="s">
        <v>316</v>
      </c>
      <c r="F744" s="99"/>
      <c r="G744" s="100"/>
      <c r="H744" s="99"/>
      <c r="I744" s="98"/>
      <c r="J744" s="97"/>
      <c r="K744" s="96"/>
      <c r="M744" s="5"/>
      <c r="O744" s="5"/>
    </row>
    <row r="745" spans="2:15" x14ac:dyDescent="0.3">
      <c r="B745" s="393"/>
      <c r="D745" s="388"/>
      <c r="E745" s="95"/>
      <c r="F745" s="88"/>
      <c r="G745" s="88"/>
      <c r="H745" s="88"/>
      <c r="I745" s="86"/>
      <c r="J745" s="86"/>
      <c r="K745" s="85"/>
      <c r="M745" s="5"/>
      <c r="O745" s="5"/>
    </row>
    <row r="746" spans="2:15" x14ac:dyDescent="0.3">
      <c r="B746" s="393"/>
      <c r="D746" s="388"/>
      <c r="E746" s="95"/>
      <c r="F746" s="88"/>
      <c r="G746" s="88"/>
      <c r="H746" s="88"/>
      <c r="I746" s="86"/>
      <c r="J746" s="86"/>
      <c r="K746" s="85"/>
      <c r="M746" s="5"/>
      <c r="O746" s="5"/>
    </row>
    <row r="747" spans="2:15" x14ac:dyDescent="0.3">
      <c r="B747" s="393"/>
      <c r="D747" s="388"/>
      <c r="E747" s="94" t="s">
        <v>315</v>
      </c>
      <c r="F747" s="93"/>
      <c r="G747" s="15"/>
      <c r="H747" s="92"/>
      <c r="I747" s="91"/>
      <c r="J747" s="90"/>
      <c r="K747" s="89"/>
      <c r="M747" s="5"/>
      <c r="O747" s="5"/>
    </row>
    <row r="748" spans="2:15" x14ac:dyDescent="0.3">
      <c r="B748" s="393"/>
      <c r="D748" s="388"/>
      <c r="E748" s="86"/>
      <c r="F748" s="88"/>
      <c r="G748" s="87"/>
      <c r="H748" s="87"/>
      <c r="I748" s="86"/>
      <c r="J748" s="86"/>
      <c r="K748" s="85"/>
      <c r="M748" s="5"/>
      <c r="O748" s="5"/>
    </row>
    <row r="749" spans="2:15" x14ac:dyDescent="0.3">
      <c r="B749" s="393"/>
      <c r="D749" s="388"/>
      <c r="E749" s="86"/>
      <c r="F749" s="88"/>
      <c r="G749" s="87"/>
      <c r="H749" s="87"/>
      <c r="I749" s="86"/>
      <c r="J749" s="86"/>
      <c r="K749" s="85"/>
      <c r="M749" s="5"/>
      <c r="O749" s="5"/>
    </row>
    <row r="750" spans="2:15" x14ac:dyDescent="0.3">
      <c r="B750" s="393"/>
      <c r="D750" s="388"/>
      <c r="E750" s="94" t="s">
        <v>314</v>
      </c>
      <c r="F750" s="93"/>
      <c r="G750" s="15"/>
      <c r="H750" s="92"/>
      <c r="I750" s="91"/>
      <c r="J750" s="90"/>
      <c r="K750" s="89"/>
      <c r="M750" s="5"/>
      <c r="O750" s="5"/>
    </row>
    <row r="751" spans="2:15" x14ac:dyDescent="0.3">
      <c r="B751" s="393"/>
      <c r="D751" s="388"/>
      <c r="E751" s="88"/>
      <c r="F751" s="88"/>
      <c r="G751" s="87"/>
      <c r="H751" s="87"/>
      <c r="I751" s="86"/>
      <c r="J751" s="86"/>
      <c r="K751" s="85"/>
      <c r="M751" s="5"/>
      <c r="O751" s="5"/>
    </row>
    <row r="752" spans="2:15" x14ac:dyDescent="0.3">
      <c r="B752" s="393"/>
      <c r="D752" s="389"/>
      <c r="E752" s="84"/>
      <c r="F752" s="84"/>
      <c r="G752" s="83"/>
      <c r="H752" s="83"/>
      <c r="I752" s="82"/>
      <c r="J752" s="82"/>
      <c r="K752" s="81"/>
      <c r="M752" s="80"/>
      <c r="O752" s="80"/>
    </row>
  </sheetData>
  <mergeCells count="59">
    <mergeCell ref="D744:D752"/>
    <mergeCell ref="B612:B752"/>
    <mergeCell ref="D667:D675"/>
    <mergeCell ref="D678:D686"/>
    <mergeCell ref="D689:D697"/>
    <mergeCell ref="D700:D708"/>
    <mergeCell ref="D711:D719"/>
    <mergeCell ref="D722:D730"/>
    <mergeCell ref="D733:D741"/>
    <mergeCell ref="D645:D653"/>
    <mergeCell ref="B325:B503"/>
    <mergeCell ref="D500:D508"/>
    <mergeCell ref="D511:D519"/>
    <mergeCell ref="D418:D426"/>
    <mergeCell ref="D373:D383"/>
    <mergeCell ref="D348:D358"/>
    <mergeCell ref="B62:K62"/>
    <mergeCell ref="B70:K70"/>
    <mergeCell ref="D74:D82"/>
    <mergeCell ref="D85:D93"/>
    <mergeCell ref="D96:D104"/>
    <mergeCell ref="B74:B104"/>
    <mergeCell ref="B109:B184"/>
    <mergeCell ref="D361:D371"/>
    <mergeCell ref="D431:D443"/>
    <mergeCell ref="D468:D476"/>
    <mergeCell ref="D176:D184"/>
    <mergeCell ref="D281:D289"/>
    <mergeCell ref="D337:D345"/>
    <mergeCell ref="D291:D299"/>
    <mergeCell ref="D325:D335"/>
    <mergeCell ref="D271:D279"/>
    <mergeCell ref="D221:D229"/>
    <mergeCell ref="D208:D218"/>
    <mergeCell ref="D186:D194"/>
    <mergeCell ref="D165:D173"/>
    <mergeCell ref="D196:D204"/>
    <mergeCell ref="D446:D454"/>
    <mergeCell ref="D109:D117"/>
    <mergeCell ref="D120:D128"/>
    <mergeCell ref="D131:D139"/>
    <mergeCell ref="D232:D240"/>
    <mergeCell ref="D242:D250"/>
    <mergeCell ref="D566:D574"/>
    <mergeCell ref="D142:D150"/>
    <mergeCell ref="D153:D163"/>
    <mergeCell ref="D478:D486"/>
    <mergeCell ref="D489:D497"/>
    <mergeCell ref="D252:D260"/>
    <mergeCell ref="D458:D466"/>
    <mergeCell ref="D301:D309"/>
    <mergeCell ref="D385:D393"/>
    <mergeCell ref="D395:D403"/>
    <mergeCell ref="D405:D413"/>
    <mergeCell ref="D311:D319"/>
    <mergeCell ref="D556:D564"/>
    <mergeCell ref="D545:D553"/>
    <mergeCell ref="D521:D529"/>
    <mergeCell ref="D532:D54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C867-D93D-404C-BDAB-2137AA1AA3B1}">
  <dimension ref="A2:Z888"/>
  <sheetViews>
    <sheetView topLeftCell="A202" zoomScale="55" zoomScaleNormal="55" workbookViewId="0">
      <selection activeCell="H876" sqref="H876"/>
    </sheetView>
  </sheetViews>
  <sheetFormatPr defaultRowHeight="14.4" x14ac:dyDescent="0.3"/>
  <cols>
    <col min="1" max="1" width="11.77734375" customWidth="1"/>
    <col min="3" max="3" width="4.77734375" customWidth="1"/>
    <col min="4" max="4" width="10.77734375" customWidth="1"/>
    <col min="5" max="5" width="14.109375" customWidth="1"/>
    <col min="6" max="7" width="12.6640625" customWidth="1"/>
    <col min="8" max="8" width="10.77734375" customWidth="1"/>
    <col min="9" max="9" width="71.44140625" style="95" customWidth="1"/>
    <col min="10" max="10" width="31.44140625" customWidth="1"/>
    <col min="11" max="11" width="20.33203125" customWidth="1"/>
    <col min="12" max="12" width="11.5546875" customWidth="1"/>
    <col min="13" max="13" width="11.109375" customWidth="1"/>
    <col min="14" max="14" width="13.77734375" customWidth="1"/>
    <col min="15" max="15" width="10.109375" customWidth="1"/>
    <col min="16" max="16" width="12.88671875" customWidth="1"/>
    <col min="17" max="17" width="13.77734375" customWidth="1"/>
    <col min="18" max="18" width="15.21875" customWidth="1"/>
    <col min="19" max="19" width="25.88671875" customWidth="1"/>
    <col min="20" max="20" width="12.77734375" customWidth="1"/>
  </cols>
  <sheetData>
    <row r="2" spans="2:14" ht="28.8" x14ac:dyDescent="0.55000000000000004">
      <c r="B2" s="406" t="s">
        <v>694</v>
      </c>
      <c r="C2" s="406"/>
      <c r="D2" s="406"/>
      <c r="E2" s="406"/>
      <c r="F2" s="406"/>
      <c r="G2" s="406"/>
      <c r="H2" s="406"/>
      <c r="I2" s="406"/>
      <c r="J2" s="406"/>
      <c r="K2" s="406"/>
      <c r="L2" s="406"/>
      <c r="M2" s="406"/>
      <c r="N2" s="406"/>
    </row>
    <row r="3" spans="2:14" x14ac:dyDescent="0.3">
      <c r="B3" s="88"/>
      <c r="C3" s="88"/>
      <c r="D3" s="88"/>
      <c r="E3" s="213" t="s">
        <v>695</v>
      </c>
      <c r="F3" s="214"/>
      <c r="G3" s="214"/>
      <c r="H3" s="215"/>
      <c r="I3" s="86"/>
      <c r="J3" s="88"/>
      <c r="K3" s="88"/>
    </row>
    <row r="4" spans="2:14" x14ac:dyDescent="0.3">
      <c r="B4" s="88"/>
      <c r="C4" s="88"/>
      <c r="D4" s="88"/>
      <c r="E4" s="216"/>
      <c r="F4" s="25" t="s">
        <v>32</v>
      </c>
      <c r="G4" s="25" t="s">
        <v>162</v>
      </c>
      <c r="H4" s="217"/>
      <c r="I4" s="86"/>
      <c r="J4" s="88"/>
      <c r="K4" s="88"/>
    </row>
    <row r="5" spans="2:14" x14ac:dyDescent="0.3">
      <c r="B5" t="s">
        <v>108</v>
      </c>
      <c r="C5" s="88"/>
      <c r="D5" s="88"/>
      <c r="F5" s="14">
        <f>G101</f>
        <v>1.57</v>
      </c>
      <c r="G5" s="14">
        <f>H101</f>
        <v>20.9</v>
      </c>
      <c r="I5" s="86"/>
      <c r="J5" s="88"/>
      <c r="K5" s="38"/>
      <c r="L5" s="38"/>
    </row>
    <row r="6" spans="2:14" x14ac:dyDescent="0.3">
      <c r="B6" t="s">
        <v>23</v>
      </c>
      <c r="C6" s="88"/>
      <c r="D6" s="88"/>
      <c r="F6" s="163">
        <f>G108</f>
        <v>1.7</v>
      </c>
      <c r="G6" s="163">
        <f>H108</f>
        <v>22</v>
      </c>
      <c r="I6" s="86"/>
      <c r="J6" s="88"/>
      <c r="K6" s="38"/>
      <c r="L6" s="38"/>
    </row>
    <row r="7" spans="2:14" x14ac:dyDescent="0.3">
      <c r="B7" t="s">
        <v>24</v>
      </c>
      <c r="C7" s="88"/>
      <c r="D7" s="88"/>
      <c r="F7" s="163">
        <f>G118</f>
        <v>4.37</v>
      </c>
      <c r="G7" s="163">
        <f>H118</f>
        <v>63.8</v>
      </c>
      <c r="I7" s="86"/>
      <c r="J7" s="88"/>
      <c r="K7" s="38"/>
      <c r="L7" s="38"/>
    </row>
    <row r="8" spans="2:14" x14ac:dyDescent="0.3">
      <c r="B8" t="s">
        <v>113</v>
      </c>
      <c r="C8" s="88"/>
      <c r="D8" s="88"/>
      <c r="F8" s="14">
        <f>G125</f>
        <v>4.63</v>
      </c>
      <c r="G8" s="14">
        <f>H125</f>
        <v>69.3</v>
      </c>
      <c r="I8" s="86"/>
      <c r="J8" s="88"/>
      <c r="K8" s="38"/>
      <c r="L8" s="38"/>
    </row>
    <row r="9" spans="2:14" x14ac:dyDescent="0.3">
      <c r="B9" t="s">
        <v>291</v>
      </c>
      <c r="C9" s="88"/>
      <c r="D9" s="88"/>
      <c r="F9" s="14">
        <f>G132</f>
        <v>12.7</v>
      </c>
      <c r="G9" s="14">
        <f>H132</f>
        <v>149</v>
      </c>
      <c r="I9" s="86"/>
      <c r="J9" s="88"/>
      <c r="K9" s="38"/>
      <c r="L9" s="38"/>
    </row>
    <row r="10" spans="2:14" x14ac:dyDescent="0.3">
      <c r="B10" t="s">
        <v>114</v>
      </c>
      <c r="C10" s="88"/>
      <c r="D10" s="88"/>
      <c r="F10">
        <f>G140</f>
        <v>2.02</v>
      </c>
      <c r="G10">
        <f>H140</f>
        <v>25.2</v>
      </c>
      <c r="I10" s="86"/>
      <c r="J10" s="88"/>
      <c r="K10" s="38"/>
      <c r="L10" s="38"/>
    </row>
    <row r="11" spans="2:14" x14ac:dyDescent="0.3">
      <c r="B11" t="s">
        <v>29</v>
      </c>
      <c r="C11" s="88"/>
      <c r="D11" s="88"/>
      <c r="F11">
        <f>G147</f>
        <v>2.2799999999999998</v>
      </c>
      <c r="G11">
        <f>H147</f>
        <v>24.9</v>
      </c>
      <c r="I11" s="86"/>
      <c r="J11" s="88"/>
      <c r="K11" s="38"/>
      <c r="L11" s="38"/>
    </row>
    <row r="12" spans="2:14" x14ac:dyDescent="0.3">
      <c r="B12" t="s">
        <v>110</v>
      </c>
      <c r="C12" s="88"/>
      <c r="D12" s="88"/>
      <c r="F12">
        <f>G155</f>
        <v>2.1795</v>
      </c>
      <c r="G12">
        <f>H155</f>
        <v>26.945</v>
      </c>
      <c r="I12" s="86"/>
      <c r="J12" s="86"/>
      <c r="K12" s="38"/>
      <c r="L12" s="38"/>
    </row>
    <row r="13" spans="2:14" x14ac:dyDescent="0.3">
      <c r="B13" t="s">
        <v>119</v>
      </c>
      <c r="C13" s="88"/>
      <c r="D13" s="88"/>
      <c r="F13">
        <f>G160</f>
        <v>29.7</v>
      </c>
      <c r="G13">
        <f>H160</f>
        <v>434</v>
      </c>
      <c r="I13" s="86"/>
      <c r="J13" s="86" t="s">
        <v>876</v>
      </c>
      <c r="K13" s="38"/>
      <c r="L13" s="38"/>
    </row>
    <row r="14" spans="2:14" x14ac:dyDescent="0.3">
      <c r="B14" t="s">
        <v>111</v>
      </c>
      <c r="C14" s="88"/>
      <c r="D14" s="88"/>
      <c r="F14">
        <f>G164</f>
        <v>4.37</v>
      </c>
      <c r="G14">
        <f>H164</f>
        <v>63.8</v>
      </c>
      <c r="I14" s="86"/>
      <c r="J14" s="86" t="s">
        <v>877</v>
      </c>
      <c r="K14" s="38"/>
      <c r="L14" s="38"/>
    </row>
    <row r="15" spans="2:14" x14ac:dyDescent="0.3">
      <c r="B15" t="s">
        <v>313</v>
      </c>
      <c r="C15" s="88"/>
      <c r="D15" s="88"/>
      <c r="F15">
        <f>G168</f>
        <v>1.81</v>
      </c>
      <c r="G15">
        <f>H168</f>
        <v>20.3</v>
      </c>
      <c r="I15" s="86"/>
      <c r="J15" s="86"/>
      <c r="K15" s="38"/>
      <c r="L15" s="38"/>
    </row>
    <row r="16" spans="2:14" x14ac:dyDescent="0.3">
      <c r="B16" t="s">
        <v>1097</v>
      </c>
      <c r="C16" s="88"/>
      <c r="D16" s="88"/>
      <c r="F16">
        <f>G174</f>
        <v>2.4900000000000002</v>
      </c>
      <c r="G16">
        <f>H174</f>
        <v>28.3</v>
      </c>
      <c r="I16" s="86"/>
      <c r="J16" s="88"/>
      <c r="K16" s="38"/>
      <c r="L16" s="38"/>
    </row>
    <row r="17" spans="2:12" x14ac:dyDescent="0.3">
      <c r="C17" s="88"/>
      <c r="D17" s="88"/>
      <c r="I17" s="86"/>
      <c r="J17" s="88"/>
      <c r="K17" s="38"/>
      <c r="L17" s="38"/>
    </row>
    <row r="18" spans="2:12" x14ac:dyDescent="0.3">
      <c r="C18" s="88"/>
      <c r="D18" s="88"/>
      <c r="I18" s="86"/>
      <c r="J18" s="88"/>
      <c r="K18" s="38"/>
      <c r="L18" s="38"/>
    </row>
    <row r="19" spans="2:12" x14ac:dyDescent="0.3">
      <c r="C19" s="88"/>
      <c r="D19" s="88"/>
      <c r="I19" s="86"/>
      <c r="J19" s="88"/>
      <c r="K19" s="38"/>
      <c r="L19" s="38"/>
    </row>
    <row r="20" spans="2:12" x14ac:dyDescent="0.3">
      <c r="B20" s="17"/>
      <c r="C20" s="88"/>
      <c r="D20" s="88"/>
      <c r="I20" s="86"/>
      <c r="J20" s="88"/>
      <c r="K20" s="38"/>
      <c r="L20" s="38"/>
    </row>
    <row r="21" spans="2:12" x14ac:dyDescent="0.3">
      <c r="B21" t="s">
        <v>136</v>
      </c>
      <c r="C21" s="88"/>
      <c r="D21" s="88"/>
      <c r="F21">
        <f>G204</f>
        <v>0.5</v>
      </c>
      <c r="G21">
        <f>H204</f>
        <v>9.5399999999999991</v>
      </c>
      <c r="I21" s="86"/>
      <c r="J21" s="88"/>
      <c r="K21" s="38"/>
      <c r="L21" s="38"/>
    </row>
    <row r="22" spans="2:12" x14ac:dyDescent="0.3">
      <c r="B22" t="s">
        <v>116</v>
      </c>
      <c r="C22" s="88"/>
      <c r="D22" s="88"/>
      <c r="F22">
        <f>G211</f>
        <v>0.24</v>
      </c>
      <c r="G22">
        <f>H211</f>
        <v>4.32</v>
      </c>
      <c r="I22" s="86"/>
      <c r="J22" s="88"/>
      <c r="K22" s="38"/>
      <c r="L22" s="38"/>
    </row>
    <row r="23" spans="2:12" x14ac:dyDescent="0.3">
      <c r="B23" t="s">
        <v>118</v>
      </c>
      <c r="C23" s="88"/>
      <c r="D23" s="88"/>
      <c r="F23">
        <f>G218</f>
        <v>0.49</v>
      </c>
      <c r="G23">
        <f>H218</f>
        <v>0</v>
      </c>
      <c r="I23" s="86"/>
      <c r="J23" s="88"/>
      <c r="K23" s="38"/>
      <c r="L23" s="38"/>
    </row>
    <row r="24" spans="2:12" x14ac:dyDescent="0.3">
      <c r="B24" t="s">
        <v>120</v>
      </c>
      <c r="C24" s="88"/>
      <c r="D24" s="88"/>
      <c r="F24">
        <f>G225</f>
        <v>1.6</v>
      </c>
      <c r="G24">
        <f>H225</f>
        <v>27.8</v>
      </c>
      <c r="I24" s="86"/>
      <c r="J24" s="88"/>
      <c r="K24" s="38"/>
      <c r="L24" s="38"/>
    </row>
    <row r="25" spans="2:12" x14ac:dyDescent="0.3">
      <c r="B25" t="s">
        <v>122</v>
      </c>
      <c r="C25" s="88"/>
      <c r="D25" s="88"/>
      <c r="F25">
        <f>G232</f>
        <v>2.23</v>
      </c>
      <c r="G25">
        <f>H232</f>
        <v>37.6</v>
      </c>
      <c r="I25" s="86"/>
      <c r="J25" s="88"/>
      <c r="K25" s="38"/>
      <c r="L25" s="38"/>
    </row>
    <row r="26" spans="2:12" x14ac:dyDescent="0.3">
      <c r="B26" t="s">
        <v>124</v>
      </c>
      <c r="C26" s="88"/>
      <c r="D26" s="88"/>
      <c r="F26">
        <f>G239</f>
        <v>0.31900000000000001</v>
      </c>
      <c r="G26">
        <f>H239</f>
        <v>3.49</v>
      </c>
      <c r="I26" s="86"/>
      <c r="J26" s="88"/>
      <c r="K26" s="38"/>
      <c r="L26" s="38"/>
    </row>
    <row r="27" spans="2:12" x14ac:dyDescent="0.3">
      <c r="B27" t="s">
        <v>137</v>
      </c>
      <c r="C27" s="88"/>
      <c r="D27" s="88"/>
      <c r="F27">
        <f>G246</f>
        <v>0.14899999999999999</v>
      </c>
      <c r="G27">
        <f>H246</f>
        <v>2.58</v>
      </c>
      <c r="I27" s="86"/>
      <c r="J27" s="88"/>
      <c r="K27" s="38"/>
      <c r="L27" s="38"/>
    </row>
    <row r="28" spans="2:12" x14ac:dyDescent="0.3">
      <c r="B28" t="s">
        <v>109</v>
      </c>
      <c r="C28" s="88"/>
      <c r="D28" s="88"/>
      <c r="F28">
        <f>G253</f>
        <v>5.0999999999999996</v>
      </c>
      <c r="G28">
        <f>H253</f>
        <v>89.3</v>
      </c>
      <c r="I28" s="86"/>
      <c r="J28" s="88"/>
      <c r="K28" s="38"/>
      <c r="L28" s="38"/>
    </row>
    <row r="29" spans="2:12" x14ac:dyDescent="0.3">
      <c r="B29" t="s">
        <v>1270</v>
      </c>
      <c r="C29" s="88"/>
      <c r="D29" s="88"/>
      <c r="F29">
        <f>G272</f>
        <v>3.27</v>
      </c>
      <c r="G29">
        <f>H272</f>
        <v>65</v>
      </c>
      <c r="I29" s="86"/>
      <c r="J29" s="88"/>
      <c r="K29" s="38"/>
      <c r="L29" s="38"/>
    </row>
    <row r="30" spans="2:12" x14ac:dyDescent="0.3">
      <c r="B30" t="s">
        <v>1327</v>
      </c>
      <c r="C30" s="88"/>
      <c r="D30" s="88"/>
      <c r="F30">
        <f>G266</f>
        <v>3.53</v>
      </c>
      <c r="G30">
        <f>H266</f>
        <v>49.7</v>
      </c>
      <c r="I30" s="86"/>
      <c r="J30" s="88"/>
      <c r="K30" s="38"/>
      <c r="L30" s="38"/>
    </row>
    <row r="31" spans="2:12" x14ac:dyDescent="0.3">
      <c r="B31" t="s">
        <v>1333</v>
      </c>
      <c r="C31" s="88"/>
      <c r="D31" s="88"/>
      <c r="F31">
        <f>G278</f>
        <v>7.92</v>
      </c>
      <c r="G31">
        <f>H278</f>
        <v>121</v>
      </c>
      <c r="I31" s="86"/>
      <c r="J31" s="88"/>
      <c r="K31" s="38"/>
      <c r="L31" s="38"/>
    </row>
    <row r="32" spans="2:12" x14ac:dyDescent="0.3">
      <c r="C32" s="88"/>
      <c r="D32" s="88"/>
      <c r="I32" s="86"/>
      <c r="J32" s="88"/>
      <c r="K32" s="38"/>
      <c r="L32" s="38"/>
    </row>
    <row r="33" spans="2:12" x14ac:dyDescent="0.3">
      <c r="B33" s="17"/>
      <c r="C33" s="88"/>
      <c r="D33" s="88"/>
      <c r="I33" s="86"/>
      <c r="J33" s="88"/>
      <c r="K33" s="38"/>
      <c r="L33" s="38"/>
    </row>
    <row r="34" spans="2:12" x14ac:dyDescent="0.3">
      <c r="B34" t="s">
        <v>138</v>
      </c>
      <c r="C34" s="88"/>
      <c r="D34" s="88"/>
      <c r="F34">
        <f>G498</f>
        <v>5.6</v>
      </c>
      <c r="G34">
        <f>H498</f>
        <v>88</v>
      </c>
      <c r="I34" s="86"/>
      <c r="J34" s="88"/>
      <c r="K34" s="38"/>
      <c r="L34" s="38"/>
    </row>
    <row r="35" spans="2:12" x14ac:dyDescent="0.3">
      <c r="B35" t="s">
        <v>130</v>
      </c>
      <c r="C35" s="88"/>
      <c r="D35" s="88"/>
      <c r="F35">
        <f>G505</f>
        <v>4.18</v>
      </c>
      <c r="G35">
        <f>H505</f>
        <v>98.8</v>
      </c>
      <c r="I35" s="86"/>
      <c r="J35" s="88"/>
      <c r="K35" s="38"/>
      <c r="L35" s="38"/>
    </row>
    <row r="36" spans="2:12" x14ac:dyDescent="0.3">
      <c r="B36" t="s">
        <v>68</v>
      </c>
      <c r="C36" s="88"/>
      <c r="D36" s="88"/>
      <c r="F36">
        <f>G512</f>
        <v>4.46</v>
      </c>
      <c r="G36">
        <f>H512</f>
        <v>82.8</v>
      </c>
      <c r="I36" s="86"/>
      <c r="J36" s="88"/>
      <c r="K36" s="38"/>
      <c r="L36" s="38"/>
    </row>
    <row r="37" spans="2:12" x14ac:dyDescent="0.3">
      <c r="B37" t="s">
        <v>115</v>
      </c>
      <c r="C37" s="88"/>
      <c r="D37" s="88"/>
      <c r="F37">
        <f>G519</f>
        <v>378</v>
      </c>
      <c r="G37">
        <f>H519</f>
        <v>5670</v>
      </c>
      <c r="I37" s="86"/>
      <c r="J37" s="88"/>
      <c r="K37" s="38"/>
      <c r="L37" s="38"/>
    </row>
    <row r="38" spans="2:12" x14ac:dyDescent="0.3">
      <c r="B38" t="s">
        <v>121</v>
      </c>
      <c r="C38" s="88"/>
      <c r="D38" s="88"/>
      <c r="I38" s="86"/>
      <c r="J38" s="88"/>
      <c r="K38" s="38"/>
      <c r="L38" s="38"/>
    </row>
    <row r="39" spans="2:12" x14ac:dyDescent="0.3">
      <c r="B39" t="s">
        <v>131</v>
      </c>
      <c r="C39" s="88"/>
      <c r="D39" s="88"/>
      <c r="F39">
        <f>G526</f>
        <v>5</v>
      </c>
      <c r="G39">
        <f>H526</f>
        <v>88.2</v>
      </c>
      <c r="I39" s="86"/>
      <c r="J39" s="88"/>
      <c r="K39" s="38"/>
      <c r="L39" s="38"/>
    </row>
    <row r="40" spans="2:12" x14ac:dyDescent="0.3">
      <c r="B40" t="s">
        <v>132</v>
      </c>
      <c r="C40" s="88"/>
      <c r="D40" s="88"/>
      <c r="F40">
        <f>G533</f>
        <v>7.96</v>
      </c>
      <c r="G40">
        <f>H533</f>
        <v>108</v>
      </c>
      <c r="I40" s="86"/>
      <c r="J40" s="88"/>
      <c r="K40" s="38"/>
      <c r="L40" s="38"/>
    </row>
    <row r="41" spans="2:12" x14ac:dyDescent="0.3">
      <c r="B41" t="s">
        <v>73</v>
      </c>
      <c r="C41" s="88"/>
      <c r="D41" s="88"/>
      <c r="F41">
        <f>G540</f>
        <v>0.11383928571428571</v>
      </c>
      <c r="G41">
        <f>H540</f>
        <v>0.8705357142857143</v>
      </c>
      <c r="I41" s="86"/>
      <c r="J41" s="88"/>
      <c r="K41" s="38"/>
      <c r="L41" s="38"/>
    </row>
    <row r="42" spans="2:12" x14ac:dyDescent="0.3">
      <c r="B42" t="s">
        <v>133</v>
      </c>
      <c r="C42" s="88"/>
      <c r="D42" s="88"/>
      <c r="F42">
        <f>G560</f>
        <v>36.6</v>
      </c>
      <c r="G42">
        <f>H560</f>
        <v>570</v>
      </c>
      <c r="I42" s="86"/>
      <c r="J42" s="88"/>
      <c r="K42" s="38"/>
      <c r="L42" s="38"/>
    </row>
    <row r="43" spans="2:12" x14ac:dyDescent="0.3">
      <c r="B43" t="s">
        <v>134</v>
      </c>
      <c r="C43" s="88"/>
      <c r="D43" s="88"/>
      <c r="F43">
        <f>G567</f>
        <v>7.72</v>
      </c>
      <c r="G43">
        <f>H567</f>
        <v>123</v>
      </c>
      <c r="I43" s="86"/>
      <c r="J43" s="88"/>
      <c r="K43" s="38"/>
      <c r="L43" s="38"/>
    </row>
    <row r="44" spans="2:12" x14ac:dyDescent="0.3">
      <c r="B44" s="39" t="s">
        <v>212</v>
      </c>
      <c r="C44" s="88"/>
      <c r="D44" s="88"/>
      <c r="F44">
        <f>G577</f>
        <v>0</v>
      </c>
      <c r="G44">
        <f>H577</f>
        <v>0</v>
      </c>
      <c r="I44" s="86"/>
      <c r="J44" s="88"/>
      <c r="K44" s="38"/>
      <c r="L44" s="38"/>
    </row>
    <row r="45" spans="2:12" x14ac:dyDescent="0.3">
      <c r="C45" s="88"/>
      <c r="D45" s="88"/>
      <c r="I45" s="86"/>
      <c r="J45" s="88"/>
      <c r="K45" s="38"/>
      <c r="L45" s="38"/>
    </row>
    <row r="46" spans="2:12" x14ac:dyDescent="0.3">
      <c r="C46" s="88"/>
      <c r="D46" s="88"/>
      <c r="I46" s="86"/>
      <c r="J46" s="88"/>
      <c r="K46" s="38"/>
      <c r="L46" s="38"/>
    </row>
    <row r="47" spans="2:12" x14ac:dyDescent="0.3">
      <c r="C47" s="88"/>
      <c r="D47" s="88"/>
      <c r="I47" s="86"/>
      <c r="J47" s="88"/>
      <c r="K47" s="38"/>
      <c r="L47" s="38"/>
    </row>
    <row r="48" spans="2:12" x14ac:dyDescent="0.3">
      <c r="B48" s="17"/>
      <c r="C48" s="88"/>
      <c r="D48" s="88"/>
      <c r="I48" s="86"/>
      <c r="J48" s="88"/>
      <c r="K48" s="38"/>
      <c r="L48" s="38"/>
    </row>
    <row r="49" spans="2:14" x14ac:dyDescent="0.3">
      <c r="B49" t="s">
        <v>129</v>
      </c>
      <c r="C49" s="88"/>
      <c r="D49" s="88"/>
      <c r="F49">
        <f>G287</f>
        <v>2.42</v>
      </c>
      <c r="G49">
        <f>H287</f>
        <v>59.4</v>
      </c>
      <c r="I49" s="86"/>
      <c r="J49" s="88"/>
      <c r="K49" s="38"/>
      <c r="L49" s="38"/>
    </row>
    <row r="50" spans="2:14" x14ac:dyDescent="0.3">
      <c r="B50" t="s">
        <v>127</v>
      </c>
      <c r="C50" s="88"/>
      <c r="D50" s="88"/>
      <c r="F50">
        <f>G294</f>
        <v>2.46</v>
      </c>
      <c r="G50">
        <f>H294</f>
        <v>82.9</v>
      </c>
      <c r="I50" s="86"/>
      <c r="J50" s="88"/>
      <c r="K50" s="38"/>
      <c r="L50" s="38"/>
    </row>
    <row r="51" spans="2:14" x14ac:dyDescent="0.3">
      <c r="B51" t="s">
        <v>125</v>
      </c>
      <c r="C51" s="88"/>
      <c r="D51" s="88"/>
      <c r="E51" s="88"/>
      <c r="F51" s="88">
        <f>G300</f>
        <v>2.29</v>
      </c>
      <c r="G51" s="88">
        <f>H300</f>
        <v>80.400000000000006</v>
      </c>
      <c r="H51" s="88"/>
      <c r="I51" s="86"/>
      <c r="J51" s="88"/>
      <c r="K51" s="38"/>
      <c r="L51" s="38"/>
      <c r="M51" s="88"/>
      <c r="N51" s="88"/>
    </row>
    <row r="52" spans="2:14" x14ac:dyDescent="0.3">
      <c r="B52" t="s">
        <v>1223</v>
      </c>
      <c r="F52">
        <f>G306</f>
        <v>1.21</v>
      </c>
      <c r="G52">
        <f>H306</f>
        <v>14.9</v>
      </c>
      <c r="H52" s="88"/>
      <c r="I52" s="86"/>
      <c r="J52" s="88"/>
      <c r="K52" s="88"/>
      <c r="L52" s="88"/>
      <c r="M52" s="88"/>
      <c r="N52" s="88"/>
    </row>
    <row r="53" spans="2:14" x14ac:dyDescent="0.3">
      <c r="B53" t="s">
        <v>1258</v>
      </c>
      <c r="C53" s="88"/>
      <c r="D53" s="88"/>
      <c r="E53" s="88"/>
      <c r="F53" s="88">
        <f>G313</f>
        <v>2.74</v>
      </c>
      <c r="G53" s="88">
        <f>H313</f>
        <v>87</v>
      </c>
      <c r="H53" s="88"/>
      <c r="I53" s="86"/>
      <c r="J53" s="88"/>
      <c r="K53" s="88"/>
      <c r="L53" s="88"/>
      <c r="M53" s="88"/>
      <c r="N53" s="88"/>
    </row>
    <row r="54" spans="2:14" x14ac:dyDescent="0.3">
      <c r="C54" s="88"/>
      <c r="D54" s="88"/>
      <c r="E54" s="88"/>
      <c r="F54" s="88"/>
      <c r="G54" s="88"/>
      <c r="H54" s="88"/>
      <c r="I54" s="86"/>
      <c r="J54" s="88"/>
      <c r="K54" s="88"/>
      <c r="L54" s="88"/>
      <c r="M54" s="88"/>
      <c r="N54" s="88"/>
    </row>
    <row r="55" spans="2:14" x14ac:dyDescent="0.3">
      <c r="C55" s="88"/>
      <c r="D55" s="88"/>
      <c r="E55" s="88"/>
      <c r="F55" s="88"/>
      <c r="G55" s="88"/>
      <c r="H55" s="88"/>
      <c r="I55" s="86"/>
      <c r="J55" s="88"/>
      <c r="K55" s="88"/>
      <c r="L55" s="88"/>
      <c r="M55" s="88"/>
      <c r="N55" s="88"/>
    </row>
    <row r="56" spans="2:14" x14ac:dyDescent="0.3">
      <c r="B56" s="17"/>
      <c r="C56" s="88"/>
      <c r="D56" s="88"/>
      <c r="E56" s="88"/>
      <c r="F56" s="88"/>
      <c r="G56" s="88"/>
      <c r="H56" s="88"/>
      <c r="I56" s="86"/>
      <c r="J56" s="88"/>
      <c r="K56" s="88"/>
      <c r="L56" s="88"/>
      <c r="M56" s="88"/>
      <c r="N56" s="88"/>
    </row>
    <row r="57" spans="2:14" x14ac:dyDescent="0.3">
      <c r="B57" t="s">
        <v>135</v>
      </c>
      <c r="C57" s="88"/>
      <c r="D57" s="88"/>
      <c r="E57" s="88"/>
      <c r="F57" s="155">
        <f>G324</f>
        <v>0.29199999999999998</v>
      </c>
      <c r="G57" s="155">
        <f>H324</f>
        <v>7.26</v>
      </c>
      <c r="H57" s="88"/>
      <c r="I57" s="86"/>
      <c r="J57" s="88"/>
      <c r="K57" s="88"/>
      <c r="L57" s="88"/>
      <c r="M57" s="88"/>
      <c r="N57" s="88"/>
    </row>
    <row r="58" spans="2:14" x14ac:dyDescent="0.3">
      <c r="C58" s="88"/>
      <c r="D58" s="88"/>
      <c r="E58" s="88"/>
      <c r="F58" s="88"/>
      <c r="G58" s="88"/>
      <c r="H58" s="88"/>
      <c r="I58" s="86"/>
      <c r="J58" s="88"/>
      <c r="K58" s="88"/>
      <c r="L58" s="88"/>
      <c r="M58" s="88"/>
      <c r="N58" s="88"/>
    </row>
    <row r="59" spans="2:14" x14ac:dyDescent="0.3">
      <c r="B59" s="17"/>
      <c r="C59" s="88"/>
      <c r="D59" s="88"/>
      <c r="E59" s="88"/>
      <c r="F59" s="88"/>
      <c r="G59" s="88"/>
      <c r="H59" s="88"/>
      <c r="I59" s="86"/>
      <c r="J59" s="88"/>
      <c r="K59" s="88"/>
      <c r="L59" s="88"/>
      <c r="M59" s="88"/>
      <c r="N59" s="88"/>
    </row>
    <row r="60" spans="2:14" x14ac:dyDescent="0.3">
      <c r="B60" t="s">
        <v>145</v>
      </c>
      <c r="C60" s="88"/>
      <c r="D60" s="88"/>
      <c r="E60" s="88"/>
      <c r="F60" s="88">
        <f>G360</f>
        <v>8.5</v>
      </c>
      <c r="G60" s="88">
        <f>H360</f>
        <v>300</v>
      </c>
      <c r="H60" s="88"/>
      <c r="I60" s="86"/>
      <c r="J60" s="88"/>
      <c r="K60" s="88"/>
      <c r="L60" s="88"/>
      <c r="M60" s="88"/>
      <c r="N60" s="88"/>
    </row>
    <row r="61" spans="2:14" x14ac:dyDescent="0.3">
      <c r="B61" t="s">
        <v>126</v>
      </c>
      <c r="C61" s="88"/>
      <c r="D61" s="88"/>
      <c r="E61" s="88"/>
      <c r="F61" s="88">
        <f>G374</f>
        <v>1.246</v>
      </c>
      <c r="G61" s="88">
        <f>H374</f>
        <v>22.05</v>
      </c>
      <c r="H61" s="88"/>
      <c r="I61" s="86"/>
      <c r="J61" s="88"/>
      <c r="K61" s="88"/>
      <c r="L61" s="88"/>
      <c r="M61" s="88"/>
      <c r="N61" s="88"/>
    </row>
    <row r="62" spans="2:14" x14ac:dyDescent="0.3">
      <c r="B62" t="s">
        <v>128</v>
      </c>
      <c r="C62" s="88"/>
      <c r="D62" s="88"/>
      <c r="E62" s="88"/>
      <c r="F62" s="155">
        <f>G367</f>
        <v>5.26</v>
      </c>
      <c r="G62" s="155">
        <f>H367</f>
        <v>106</v>
      </c>
      <c r="H62" s="88"/>
      <c r="I62" s="86"/>
      <c r="J62" s="88"/>
      <c r="K62" s="88"/>
      <c r="L62" s="88"/>
      <c r="M62" s="88"/>
      <c r="N62" s="88"/>
    </row>
    <row r="63" spans="2:14" x14ac:dyDescent="0.3">
      <c r="B63" t="s">
        <v>1231</v>
      </c>
      <c r="C63" s="88"/>
      <c r="D63" s="88"/>
      <c r="E63" s="88"/>
      <c r="F63" s="88">
        <f>G306</f>
        <v>1.21</v>
      </c>
      <c r="G63" s="88">
        <f>H306</f>
        <v>14.9</v>
      </c>
      <c r="H63" s="88"/>
      <c r="I63" s="86"/>
      <c r="J63" s="88"/>
      <c r="K63" s="88"/>
      <c r="L63" s="88"/>
      <c r="M63" s="88"/>
      <c r="N63" s="88"/>
    </row>
    <row r="64" spans="2:14" x14ac:dyDescent="0.3">
      <c r="B64" t="s">
        <v>1504</v>
      </c>
      <c r="C64" s="88"/>
      <c r="D64" s="88"/>
      <c r="E64" s="88"/>
      <c r="F64" s="88">
        <f>G394</f>
        <v>2.94</v>
      </c>
      <c r="G64" s="88">
        <f>H394</f>
        <v>60.5</v>
      </c>
      <c r="H64" s="88"/>
      <c r="I64" s="86"/>
      <c r="J64" s="88"/>
      <c r="K64" s="88"/>
      <c r="L64" s="88"/>
      <c r="M64" s="88"/>
      <c r="N64" s="88"/>
    </row>
    <row r="65" spans="2:14" x14ac:dyDescent="0.3">
      <c r="B65" s="17"/>
      <c r="C65" s="88"/>
      <c r="D65" s="88"/>
      <c r="E65" s="88"/>
      <c r="F65" s="88"/>
      <c r="G65" s="88"/>
      <c r="H65" s="88"/>
      <c r="I65" s="86"/>
      <c r="J65" s="88"/>
      <c r="K65" s="88"/>
      <c r="L65" s="88"/>
      <c r="M65" s="88"/>
      <c r="N65" s="88"/>
    </row>
    <row r="66" spans="2:14" x14ac:dyDescent="0.3">
      <c r="B66" t="s">
        <v>6</v>
      </c>
      <c r="C66" s="88"/>
      <c r="D66" s="88"/>
      <c r="E66" s="88"/>
      <c r="F66" s="88">
        <f>G404</f>
        <v>23.61956697627118</v>
      </c>
      <c r="G66" s="88">
        <f>H404</f>
        <v>473.73135881355932</v>
      </c>
      <c r="H66" s="88"/>
      <c r="I66" s="86"/>
      <c r="J66" s="88"/>
      <c r="K66" s="88"/>
      <c r="L66" s="88"/>
      <c r="M66" s="88"/>
      <c r="N66" s="88"/>
    </row>
    <row r="67" spans="2:14" x14ac:dyDescent="0.3">
      <c r="B67" t="s">
        <v>123</v>
      </c>
      <c r="C67" s="88"/>
      <c r="D67" s="88"/>
      <c r="E67" s="88"/>
      <c r="F67" s="88">
        <f>G411</f>
        <v>4.4137059762711868</v>
      </c>
      <c r="G67" s="88">
        <f>H411</f>
        <v>88.429673480225972</v>
      </c>
      <c r="H67" s="88"/>
      <c r="I67" s="86"/>
      <c r="J67" s="88"/>
      <c r="K67" s="88"/>
      <c r="L67" s="88"/>
      <c r="M67" s="88"/>
      <c r="N67" s="88"/>
    </row>
    <row r="68" spans="2:14" x14ac:dyDescent="0.3">
      <c r="B68" t="s">
        <v>117</v>
      </c>
      <c r="C68" s="88"/>
      <c r="D68" s="88"/>
      <c r="E68" s="88"/>
      <c r="F68" s="88">
        <f>G472</f>
        <v>4.7699999999999996</v>
      </c>
      <c r="G68" s="88">
        <f>H472</f>
        <v>109.33333333333333</v>
      </c>
      <c r="H68" s="88"/>
      <c r="I68" s="86"/>
      <c r="J68" s="88"/>
      <c r="K68" s="88"/>
      <c r="L68" s="88"/>
      <c r="M68" s="88"/>
      <c r="N68" s="88"/>
    </row>
    <row r="69" spans="2:14" x14ac:dyDescent="0.3">
      <c r="B69" t="s">
        <v>826</v>
      </c>
      <c r="C69" s="88"/>
      <c r="D69" s="88"/>
      <c r="E69" s="88"/>
      <c r="F69" s="88">
        <f>G486</f>
        <v>4.851355932203389</v>
      </c>
      <c r="G69" s="88">
        <f>H486</f>
        <v>108.06779661016948</v>
      </c>
      <c r="H69" s="88"/>
      <c r="I69" s="86"/>
      <c r="J69" s="88"/>
      <c r="K69" s="88"/>
      <c r="L69" s="88"/>
      <c r="M69" s="88"/>
      <c r="N69" s="88"/>
    </row>
    <row r="70" spans="2:14" x14ac:dyDescent="0.3">
      <c r="B70" t="s">
        <v>829</v>
      </c>
      <c r="F70">
        <f>G434</f>
        <v>1.85</v>
      </c>
      <c r="G70">
        <f>H434</f>
        <v>39.6</v>
      </c>
      <c r="H70" s="88"/>
      <c r="I70" s="86"/>
      <c r="J70" s="88"/>
      <c r="K70" s="88"/>
      <c r="L70" s="88"/>
      <c r="M70" s="88"/>
      <c r="N70" s="88"/>
    </row>
    <row r="71" spans="2:14" x14ac:dyDescent="0.3">
      <c r="B71" t="s">
        <v>2</v>
      </c>
      <c r="F71">
        <f>G465</f>
        <v>3.88</v>
      </c>
      <c r="G71">
        <f>H465</f>
        <v>78.5</v>
      </c>
      <c r="H71" s="88"/>
      <c r="I71" s="86"/>
      <c r="J71" s="88"/>
      <c r="K71" s="88"/>
      <c r="L71" s="88"/>
      <c r="M71" s="88"/>
      <c r="N71" s="88"/>
    </row>
    <row r="72" spans="2:14" x14ac:dyDescent="0.3">
      <c r="H72" s="88"/>
      <c r="I72" s="86"/>
      <c r="J72" s="88"/>
      <c r="K72" s="88"/>
      <c r="L72" s="88"/>
      <c r="M72" s="88"/>
      <c r="N72" s="88"/>
    </row>
    <row r="73" spans="2:14" x14ac:dyDescent="0.3">
      <c r="H73" s="88"/>
      <c r="I73" s="86"/>
      <c r="J73" s="88"/>
      <c r="K73" s="88"/>
      <c r="L73" s="88"/>
      <c r="M73" s="88"/>
      <c r="N73" s="88"/>
    </row>
    <row r="74" spans="2:14" x14ac:dyDescent="0.3">
      <c r="B74" s="16"/>
      <c r="C74" s="88"/>
      <c r="D74" s="88"/>
      <c r="E74" s="88"/>
      <c r="F74" s="88"/>
      <c r="G74" s="88"/>
      <c r="H74" s="88"/>
      <c r="I74" s="86"/>
      <c r="J74" s="88"/>
      <c r="K74" s="88"/>
      <c r="L74" s="88"/>
      <c r="M74" s="88"/>
      <c r="N74" s="88"/>
    </row>
    <row r="75" spans="2:14" x14ac:dyDescent="0.3">
      <c r="B75" t="s">
        <v>159</v>
      </c>
      <c r="C75" s="88"/>
      <c r="D75" s="88"/>
      <c r="E75" s="88"/>
      <c r="F75" s="88">
        <f>G724</f>
        <v>0.52600000000000002</v>
      </c>
      <c r="G75" s="88">
        <f>H724</f>
        <v>7.81</v>
      </c>
      <c r="H75" s="88"/>
      <c r="I75" s="86"/>
      <c r="J75" s="88"/>
      <c r="K75" s="88"/>
      <c r="L75" s="88"/>
      <c r="M75" s="88"/>
      <c r="N75" s="88"/>
    </row>
    <row r="76" spans="2:14" x14ac:dyDescent="0.3">
      <c r="B76" t="s">
        <v>69</v>
      </c>
      <c r="C76" s="88"/>
      <c r="D76" s="88"/>
      <c r="E76" s="88"/>
      <c r="F76" s="88">
        <f>G738</f>
        <v>90</v>
      </c>
      <c r="G76" s="88">
        <f>H738</f>
        <v>1342.5414364640887</v>
      </c>
      <c r="H76" s="88"/>
      <c r="I76" s="86"/>
      <c r="J76" s="88"/>
      <c r="K76" s="88"/>
      <c r="L76" s="88"/>
      <c r="M76" s="88"/>
      <c r="N76" s="88"/>
    </row>
    <row r="77" spans="2:14" x14ac:dyDescent="0.3">
      <c r="B77" t="s">
        <v>21</v>
      </c>
      <c r="C77" s="88"/>
      <c r="D77" s="88"/>
      <c r="E77" s="88"/>
      <c r="F77" s="88">
        <f>G731</f>
        <v>1.9199999999999998E-2</v>
      </c>
      <c r="G77" s="88">
        <f>H731</f>
        <v>0.28199999999999997</v>
      </c>
      <c r="H77" s="88"/>
      <c r="I77" s="86"/>
      <c r="J77" s="88"/>
      <c r="K77" s="88"/>
      <c r="L77" s="88"/>
      <c r="M77" s="88"/>
      <c r="N77" s="88"/>
    </row>
    <row r="78" spans="2:14" x14ac:dyDescent="0.3">
      <c r="B78" t="s">
        <v>152</v>
      </c>
      <c r="C78" s="88"/>
      <c r="D78" s="88"/>
      <c r="E78" s="88"/>
      <c r="F78" s="155">
        <f>G702</f>
        <v>8.9976823999999997E-2</v>
      </c>
      <c r="G78" s="155">
        <f>H702</f>
        <v>1.52</v>
      </c>
      <c r="H78" s="88"/>
      <c r="I78" s="86"/>
      <c r="J78" s="88"/>
      <c r="K78" s="88"/>
      <c r="L78" s="88"/>
      <c r="M78" s="88"/>
      <c r="N78" s="88"/>
    </row>
    <row r="79" spans="2:14" x14ac:dyDescent="0.3">
      <c r="B79" t="s">
        <v>153</v>
      </c>
      <c r="C79" s="88"/>
      <c r="D79" s="88"/>
      <c r="E79" s="88"/>
      <c r="F79" s="88">
        <f>G681</f>
        <v>0.50757898000000001</v>
      </c>
      <c r="G79" s="88">
        <f>H681</f>
        <v>8.2200000000000006</v>
      </c>
      <c r="H79" s="88"/>
      <c r="I79" s="86"/>
      <c r="J79" s="88"/>
      <c r="K79" s="88"/>
      <c r="L79" s="88"/>
      <c r="M79" s="88"/>
      <c r="N79" s="88"/>
    </row>
    <row r="80" spans="2:14" x14ac:dyDescent="0.3">
      <c r="B80" t="s">
        <v>154</v>
      </c>
      <c r="C80" s="88"/>
      <c r="D80" s="88"/>
      <c r="E80" s="88"/>
      <c r="F80" s="88">
        <f>G667</f>
        <v>0.109</v>
      </c>
      <c r="G80" s="88">
        <f>H667</f>
        <v>1.5</v>
      </c>
      <c r="H80" s="88"/>
      <c r="I80" s="86"/>
      <c r="J80" s="88"/>
      <c r="K80" s="88"/>
      <c r="L80" s="88"/>
      <c r="M80" s="88"/>
      <c r="N80" s="88"/>
    </row>
    <row r="81" spans="2:14" x14ac:dyDescent="0.3">
      <c r="B81" t="s">
        <v>1505</v>
      </c>
      <c r="C81" s="88"/>
      <c r="D81" s="88"/>
      <c r="E81" s="88"/>
      <c r="F81" s="88">
        <f>G674</f>
        <v>9.3399999999999993E-3</v>
      </c>
      <c r="G81" s="88">
        <f>H674</f>
        <v>0.129</v>
      </c>
      <c r="H81" s="88"/>
      <c r="I81" s="86"/>
      <c r="J81" s="88"/>
      <c r="K81" s="88"/>
      <c r="L81" s="88"/>
      <c r="M81" s="88"/>
      <c r="N81" s="88"/>
    </row>
    <row r="82" spans="2:14" x14ac:dyDescent="0.3">
      <c r="B82" t="s">
        <v>1359</v>
      </c>
      <c r="C82" s="88"/>
      <c r="D82" s="88"/>
      <c r="E82" s="88"/>
      <c r="F82" s="155">
        <f>G748</f>
        <v>3.4616249999999997</v>
      </c>
      <c r="G82" s="155">
        <f>H748</f>
        <v>51.637500000000003</v>
      </c>
      <c r="H82" s="88"/>
      <c r="I82" s="86"/>
      <c r="J82" s="88"/>
      <c r="K82" s="88"/>
      <c r="L82" s="88"/>
      <c r="M82" s="88"/>
      <c r="N82" s="88"/>
    </row>
    <row r="83" spans="2:14" x14ac:dyDescent="0.3">
      <c r="C83" s="88"/>
      <c r="D83" s="88"/>
      <c r="E83" s="88"/>
      <c r="F83" s="88"/>
      <c r="G83" s="88"/>
      <c r="H83" s="88"/>
      <c r="I83" s="86"/>
      <c r="J83" s="88"/>
      <c r="K83" s="88"/>
      <c r="L83" s="88"/>
      <c r="M83" s="88"/>
      <c r="N83" s="88"/>
    </row>
    <row r="84" spans="2:14" x14ac:dyDescent="0.3">
      <c r="B84" s="17"/>
      <c r="C84" s="88"/>
      <c r="D84" s="88"/>
      <c r="E84" s="88"/>
      <c r="F84" s="88"/>
      <c r="G84" s="88"/>
      <c r="H84" s="88"/>
      <c r="I84" s="86"/>
      <c r="J84" s="88"/>
      <c r="K84" s="88"/>
      <c r="L84" s="88"/>
      <c r="M84" s="88"/>
      <c r="N84" s="88"/>
    </row>
    <row r="85" spans="2:14" x14ac:dyDescent="0.3">
      <c r="B85" t="s">
        <v>106</v>
      </c>
      <c r="C85" s="88"/>
      <c r="D85" s="88"/>
      <c r="E85" s="88"/>
      <c r="F85" s="155">
        <f>G659</f>
        <v>6.6600000000000006E-2</v>
      </c>
      <c r="G85" s="155">
        <f>H659</f>
        <v>0.88</v>
      </c>
      <c r="H85" s="88"/>
      <c r="I85" s="86"/>
      <c r="J85" s="88"/>
      <c r="K85" s="88"/>
      <c r="L85" s="88"/>
      <c r="M85" s="88"/>
      <c r="N85" s="88"/>
    </row>
    <row r="86" spans="2:14" x14ac:dyDescent="0.3">
      <c r="B86" t="s">
        <v>107</v>
      </c>
      <c r="C86" s="88"/>
      <c r="D86" s="88"/>
      <c r="E86" s="88"/>
      <c r="F86" s="155">
        <f>G638</f>
        <v>8.9499999999999996E-2</v>
      </c>
      <c r="G86" s="155">
        <f>H638</f>
        <v>2.23</v>
      </c>
      <c r="H86" s="88"/>
      <c r="I86" s="86"/>
      <c r="J86" s="88"/>
      <c r="K86" s="88"/>
      <c r="L86" s="88"/>
      <c r="M86" s="88"/>
      <c r="N86" s="88"/>
    </row>
    <row r="87" spans="2:14" x14ac:dyDescent="0.3">
      <c r="C87" s="88"/>
      <c r="D87" s="88"/>
      <c r="E87" s="88"/>
      <c r="F87" s="88"/>
      <c r="G87" s="88"/>
      <c r="H87" s="88"/>
      <c r="I87" s="86"/>
      <c r="J87" s="88"/>
      <c r="K87" s="88"/>
      <c r="L87" s="88"/>
      <c r="M87" s="88"/>
      <c r="N87" s="88"/>
    </row>
    <row r="88" spans="2:14" x14ac:dyDescent="0.3">
      <c r="B88" s="7"/>
      <c r="C88" s="88"/>
      <c r="D88" s="88"/>
      <c r="E88" s="88"/>
      <c r="F88" s="88"/>
      <c r="G88" s="88"/>
      <c r="H88" s="88"/>
      <c r="I88" s="86"/>
      <c r="J88" s="88"/>
      <c r="K88" s="88"/>
      <c r="L88" s="88"/>
      <c r="M88" s="88"/>
      <c r="N88" s="88"/>
    </row>
    <row r="89" spans="2:14" x14ac:dyDescent="0.3">
      <c r="B89" t="s">
        <v>45</v>
      </c>
      <c r="C89" s="88"/>
      <c r="D89" s="88"/>
      <c r="E89" s="88"/>
      <c r="F89" s="88">
        <f>G618</f>
        <v>1.21</v>
      </c>
      <c r="G89" s="88">
        <f>H618</f>
        <v>67.3</v>
      </c>
      <c r="H89" s="88"/>
      <c r="I89" s="86"/>
      <c r="J89" s="88"/>
      <c r="K89" s="88"/>
      <c r="L89" s="88"/>
      <c r="M89" s="88"/>
      <c r="N89" s="88"/>
    </row>
    <row r="90" spans="2:14" x14ac:dyDescent="0.3">
      <c r="B90" t="s">
        <v>46</v>
      </c>
      <c r="C90" s="88"/>
      <c r="D90" s="88"/>
      <c r="E90" s="88"/>
      <c r="F90" s="88">
        <f>G625</f>
        <v>2.0299999999999998</v>
      </c>
      <c r="G90" s="88">
        <f>H625</f>
        <v>54.7</v>
      </c>
      <c r="H90" s="88"/>
      <c r="I90" s="86"/>
      <c r="J90" s="88"/>
      <c r="K90" s="88"/>
      <c r="L90" s="88"/>
      <c r="M90" s="88"/>
      <c r="N90" s="88"/>
    </row>
    <row r="91" spans="2:14" x14ac:dyDescent="0.3">
      <c r="B91" t="s">
        <v>1240</v>
      </c>
      <c r="C91" s="88"/>
      <c r="D91" s="88"/>
      <c r="E91" s="88"/>
      <c r="F91" s="88">
        <f>G612</f>
        <v>0.248</v>
      </c>
      <c r="G91" s="88">
        <f>H612</f>
        <v>4.79</v>
      </c>
      <c r="H91" s="88"/>
      <c r="I91" s="86"/>
      <c r="J91" s="88"/>
      <c r="K91" s="88"/>
      <c r="L91" s="88"/>
      <c r="M91" s="88"/>
      <c r="N91" s="88"/>
    </row>
    <row r="92" spans="2:14" ht="13.2" customHeight="1" x14ac:dyDescent="0.3">
      <c r="B92" s="88"/>
      <c r="C92" s="88"/>
      <c r="D92" s="88"/>
      <c r="E92" s="88"/>
      <c r="F92" s="88"/>
      <c r="G92" s="88"/>
      <c r="H92" s="88"/>
      <c r="I92" s="86"/>
      <c r="J92" s="88"/>
      <c r="K92" s="88"/>
      <c r="L92" t="s">
        <v>388</v>
      </c>
      <c r="M92" s="88"/>
      <c r="N92" s="88"/>
    </row>
    <row r="93" spans="2:14" x14ac:dyDescent="0.3">
      <c r="B93" s="88"/>
      <c r="C93" s="88"/>
      <c r="D93" s="88"/>
      <c r="E93" s="88"/>
      <c r="F93" s="88"/>
      <c r="G93" s="88"/>
      <c r="H93" s="88"/>
      <c r="I93" s="86"/>
      <c r="J93" s="88"/>
      <c r="K93" s="88"/>
      <c r="L93" s="26" t="s">
        <v>693</v>
      </c>
      <c r="M93" t="s">
        <v>692</v>
      </c>
      <c r="N93" s="88"/>
    </row>
    <row r="94" spans="2:14" x14ac:dyDescent="0.3">
      <c r="B94" s="88"/>
      <c r="C94" s="88"/>
      <c r="D94" s="88"/>
      <c r="E94" s="88"/>
      <c r="F94" s="88"/>
      <c r="G94" s="88"/>
      <c r="H94" s="88"/>
      <c r="I94" s="86"/>
      <c r="J94" s="88"/>
      <c r="K94" s="88"/>
      <c r="L94" s="9" t="s">
        <v>386</v>
      </c>
      <c r="M94" s="88"/>
      <c r="N94" s="88"/>
    </row>
    <row r="95" spans="2:14" x14ac:dyDescent="0.3">
      <c r="B95" s="88"/>
      <c r="C95" s="88"/>
      <c r="D95" s="88"/>
      <c r="E95" s="88"/>
      <c r="F95" s="88"/>
      <c r="G95" s="88"/>
      <c r="H95" s="88"/>
      <c r="I95" s="86"/>
      <c r="J95" s="88"/>
      <c r="K95" s="88"/>
      <c r="L95" s="31" t="s">
        <v>384</v>
      </c>
      <c r="M95" s="88"/>
      <c r="N95" s="88"/>
    </row>
    <row r="96" spans="2:14" x14ac:dyDescent="0.3">
      <c r="B96" s="88"/>
      <c r="C96" s="88"/>
      <c r="D96" s="88"/>
      <c r="E96" s="88"/>
      <c r="F96" s="88"/>
      <c r="G96" s="88"/>
      <c r="H96" s="88"/>
      <c r="I96" s="86"/>
      <c r="J96" s="88"/>
      <c r="K96" s="88"/>
      <c r="L96" s="44" t="s">
        <v>383</v>
      </c>
      <c r="M96" s="88"/>
      <c r="N96" s="88"/>
    </row>
    <row r="97" spans="1:17" x14ac:dyDescent="0.3">
      <c r="B97" s="88"/>
      <c r="C97" s="88"/>
      <c r="D97" s="88"/>
      <c r="E97" s="88"/>
      <c r="F97" s="88"/>
      <c r="G97" s="88"/>
      <c r="H97" s="88"/>
      <c r="I97" s="86"/>
      <c r="J97" s="88"/>
      <c r="K97" s="88"/>
      <c r="L97" s="79" t="s">
        <v>379</v>
      </c>
      <c r="M97" s="88"/>
      <c r="N97" s="88"/>
    </row>
    <row r="98" spans="1:17" x14ac:dyDescent="0.3">
      <c r="B98" s="88"/>
      <c r="C98" s="88"/>
      <c r="D98" s="88"/>
      <c r="E98" s="88"/>
      <c r="F98" s="88"/>
      <c r="G98" s="88"/>
      <c r="H98" s="88" t="s">
        <v>268</v>
      </c>
      <c r="I98" s="86"/>
      <c r="J98" s="88"/>
      <c r="K98" s="88"/>
      <c r="L98" s="212" t="s">
        <v>539</v>
      </c>
      <c r="N98" s="88"/>
    </row>
    <row r="99" spans="1:17" x14ac:dyDescent="0.3">
      <c r="B99" s="88"/>
      <c r="C99" s="88"/>
      <c r="D99" s="407" t="s">
        <v>691</v>
      </c>
      <c r="E99" s="407"/>
      <c r="F99" s="88"/>
      <c r="G99" s="88" t="s">
        <v>32</v>
      </c>
      <c r="H99" s="88" t="s">
        <v>162</v>
      </c>
      <c r="I99" s="88" t="s">
        <v>690</v>
      </c>
      <c r="J99" s="88"/>
      <c r="K99" s="88"/>
      <c r="L99" s="88"/>
      <c r="N99" s="88"/>
    </row>
    <row r="100" spans="1:17" s="70" customFormat="1" x14ac:dyDescent="0.3">
      <c r="B100" s="144"/>
      <c r="C100" s="144"/>
      <c r="D100" s="144"/>
      <c r="F100" s="144"/>
      <c r="G100" s="144"/>
      <c r="H100" s="144"/>
      <c r="I100" s="132"/>
      <c r="J100" s="144" t="s">
        <v>689</v>
      </c>
      <c r="K100" s="144"/>
      <c r="L100" s="408"/>
      <c r="M100" s="408"/>
      <c r="N100" s="408"/>
      <c r="O100" s="408"/>
      <c r="P100" s="408"/>
      <c r="Q100" s="408"/>
    </row>
    <row r="101" spans="1:17" ht="14.4" customHeight="1" x14ac:dyDescent="0.3">
      <c r="A101" s="410" t="s">
        <v>146</v>
      </c>
      <c r="B101" s="88"/>
      <c r="C101" s="88"/>
      <c r="D101" s="158" t="s">
        <v>369</v>
      </c>
      <c r="E101" s="25"/>
      <c r="F101" s="157" t="s">
        <v>405</v>
      </c>
      <c r="G101" s="175">
        <f>G104</f>
        <v>1.57</v>
      </c>
      <c r="H101" s="175">
        <f>H104</f>
        <v>20.9</v>
      </c>
      <c r="I101" s="158"/>
      <c r="J101" s="157"/>
      <c r="K101" s="88"/>
      <c r="L101" s="88"/>
    </row>
    <row r="102" spans="1:17" x14ac:dyDescent="0.3">
      <c r="A102" s="410"/>
      <c r="B102" s="88"/>
      <c r="C102" s="88">
        <v>1</v>
      </c>
      <c r="D102" s="88"/>
      <c r="F102" s="88"/>
      <c r="G102" s="110">
        <v>2.1</v>
      </c>
      <c r="H102" s="110"/>
      <c r="I102" s="86"/>
      <c r="J102" s="88"/>
      <c r="K102" s="88"/>
      <c r="L102" s="88"/>
    </row>
    <row r="103" spans="1:17" x14ac:dyDescent="0.3">
      <c r="A103" s="410"/>
      <c r="B103" s="88"/>
      <c r="C103" s="88">
        <v>2</v>
      </c>
      <c r="D103" s="88"/>
      <c r="E103" s="88"/>
      <c r="F103" s="88"/>
      <c r="G103" s="208">
        <v>1.9952703448275861</v>
      </c>
      <c r="H103" s="208">
        <v>23.345037999999999</v>
      </c>
      <c r="I103" s="207" t="s">
        <v>688</v>
      </c>
      <c r="J103" s="88"/>
      <c r="K103" s="88"/>
      <c r="L103" s="88"/>
    </row>
    <row r="104" spans="1:17" x14ac:dyDescent="0.3">
      <c r="A104" s="410"/>
      <c r="B104" s="88"/>
      <c r="C104" s="88">
        <v>3</v>
      </c>
      <c r="D104" s="88"/>
      <c r="E104" s="88" t="s">
        <v>869</v>
      </c>
      <c r="F104" s="88"/>
      <c r="G104" s="104">
        <v>1.57</v>
      </c>
      <c r="H104" s="104">
        <v>20.9</v>
      </c>
      <c r="I104" s="86" t="s">
        <v>687</v>
      </c>
      <c r="J104" s="88"/>
      <c r="K104" s="88"/>
      <c r="L104" s="88"/>
    </row>
    <row r="105" spans="1:17" x14ac:dyDescent="0.3">
      <c r="A105" s="410"/>
      <c r="B105" s="88"/>
      <c r="C105" s="88">
        <v>4</v>
      </c>
      <c r="D105" s="88"/>
      <c r="E105" s="88"/>
      <c r="F105" s="88"/>
      <c r="G105" s="87"/>
      <c r="H105" s="87"/>
      <c r="I105" s="86"/>
      <c r="J105" s="88"/>
      <c r="K105" s="88"/>
      <c r="L105" s="88"/>
    </row>
    <row r="106" spans="1:17" x14ac:dyDescent="0.3">
      <c r="A106" s="410"/>
      <c r="B106" s="88"/>
      <c r="C106" s="88">
        <v>5</v>
      </c>
      <c r="D106" s="88"/>
      <c r="E106" s="88"/>
      <c r="F106" s="88"/>
      <c r="G106" s="87"/>
      <c r="H106" s="87"/>
      <c r="I106" s="86"/>
      <c r="J106" s="88"/>
      <c r="K106" s="88"/>
      <c r="L106" s="88"/>
      <c r="N106" s="88"/>
    </row>
    <row r="107" spans="1:17" x14ac:dyDescent="0.3">
      <c r="A107" s="410"/>
      <c r="B107" s="88"/>
      <c r="C107" s="88"/>
      <c r="D107" s="88"/>
      <c r="E107" s="88"/>
      <c r="F107" s="88"/>
      <c r="G107" s="88"/>
      <c r="H107" s="88"/>
      <c r="I107" s="86"/>
      <c r="J107" s="88"/>
      <c r="K107" s="88"/>
      <c r="L107" s="88"/>
      <c r="N107" s="88"/>
    </row>
    <row r="108" spans="1:17" x14ac:dyDescent="0.3">
      <c r="A108" s="410"/>
      <c r="B108" s="88"/>
      <c r="C108" s="88"/>
      <c r="D108" s="158" t="s">
        <v>686</v>
      </c>
      <c r="E108" s="25"/>
      <c r="F108" s="157" t="s">
        <v>405</v>
      </c>
      <c r="G108" s="209">
        <f>G110</f>
        <v>1.7</v>
      </c>
      <c r="H108" s="209">
        <f>H110</f>
        <v>22</v>
      </c>
      <c r="I108" s="158"/>
      <c r="J108" s="209"/>
      <c r="K108" s="88"/>
      <c r="L108" s="88"/>
      <c r="M108" s="88"/>
      <c r="N108" s="88"/>
    </row>
    <row r="109" spans="1:17" x14ac:dyDescent="0.3">
      <c r="A109" s="410"/>
      <c r="C109" s="88">
        <v>1</v>
      </c>
      <c r="D109" s="88"/>
      <c r="F109" s="88"/>
      <c r="G109" s="87"/>
      <c r="H109" s="87"/>
      <c r="I109" s="86"/>
      <c r="J109" s="88"/>
      <c r="K109" s="88"/>
      <c r="L109" s="88"/>
      <c r="M109" s="88"/>
      <c r="N109" s="88"/>
    </row>
    <row r="110" spans="1:17" x14ac:dyDescent="0.3">
      <c r="A110" s="410"/>
      <c r="C110" s="88">
        <v>2</v>
      </c>
      <c r="D110" s="88"/>
      <c r="E110" s="88" t="s">
        <v>869</v>
      </c>
      <c r="F110" s="88"/>
      <c r="G110" s="104">
        <v>1.7</v>
      </c>
      <c r="H110" s="104">
        <v>22</v>
      </c>
      <c r="I110" s="86" t="s">
        <v>685</v>
      </c>
      <c r="J110" s="88"/>
      <c r="K110" s="88"/>
      <c r="L110" s="88"/>
      <c r="M110" s="88"/>
      <c r="N110" s="88"/>
    </row>
    <row r="111" spans="1:17" x14ac:dyDescent="0.3">
      <c r="A111" s="410"/>
      <c r="C111" s="88">
        <v>3</v>
      </c>
      <c r="D111" s="86" t="s">
        <v>684</v>
      </c>
      <c r="E111" s="88"/>
      <c r="F111" s="88"/>
      <c r="G111" s="208">
        <v>2.1541854310344828</v>
      </c>
      <c r="H111" s="208">
        <v>25.802481</v>
      </c>
      <c r="I111" s="207" t="s">
        <v>972</v>
      </c>
      <c r="J111" s="409" t="s">
        <v>683</v>
      </c>
      <c r="K111" s="88"/>
      <c r="L111" s="88"/>
      <c r="M111" s="88"/>
      <c r="N111" s="88"/>
    </row>
    <row r="112" spans="1:17" x14ac:dyDescent="0.3">
      <c r="A112" s="410"/>
      <c r="C112" s="88">
        <v>4</v>
      </c>
      <c r="D112" s="88"/>
      <c r="E112" s="88"/>
      <c r="F112" s="88"/>
      <c r="G112" s="208">
        <v>1.9724398275862067</v>
      </c>
      <c r="H112" s="208">
        <v>23.21978</v>
      </c>
      <c r="I112" s="207" t="s">
        <v>973</v>
      </c>
      <c r="J112" s="409"/>
      <c r="K112" s="88"/>
      <c r="L112" s="88"/>
      <c r="M112" s="88"/>
      <c r="N112" s="88"/>
    </row>
    <row r="113" spans="1:14" x14ac:dyDescent="0.3">
      <c r="A113" s="410"/>
      <c r="C113" s="88">
        <v>5</v>
      </c>
      <c r="D113" s="88"/>
      <c r="E113" s="88"/>
      <c r="F113" s="88"/>
      <c r="G113" s="208">
        <v>14.629137068965518</v>
      </c>
      <c r="H113" s="208">
        <v>196.96396999999999</v>
      </c>
      <c r="I113" s="207" t="s">
        <v>974</v>
      </c>
      <c r="J113" s="409"/>
      <c r="K113" s="38"/>
      <c r="L113" s="38"/>
      <c r="M113" s="23" t="s">
        <v>682</v>
      </c>
      <c r="N113" s="23"/>
    </row>
    <row r="114" spans="1:14" x14ac:dyDescent="0.3">
      <c r="A114" s="410"/>
      <c r="B114" s="38"/>
      <c r="C114" s="38"/>
      <c r="D114" s="88"/>
      <c r="E114" s="88"/>
      <c r="F114" s="88"/>
      <c r="G114" s="88"/>
      <c r="H114" s="88"/>
      <c r="I114" s="86"/>
      <c r="J114" s="88"/>
      <c r="K114" s="38"/>
      <c r="L114" s="38"/>
      <c r="M114" s="23" t="s">
        <v>681</v>
      </c>
      <c r="N114" s="23"/>
    </row>
    <row r="115" spans="1:14" x14ac:dyDescent="0.3">
      <c r="A115" s="410"/>
      <c r="B115" s="38"/>
      <c r="C115" s="38"/>
      <c r="D115" s="88"/>
      <c r="E115" s="411" t="s">
        <v>424</v>
      </c>
      <c r="F115" s="88"/>
      <c r="G115" s="156">
        <v>1.5183682758620689</v>
      </c>
      <c r="H115" s="156">
        <v>23.114318000000001</v>
      </c>
      <c r="I115" s="155" t="s">
        <v>916</v>
      </c>
      <c r="J115" s="211" t="s">
        <v>915</v>
      </c>
      <c r="K115" s="210" t="s">
        <v>976</v>
      </c>
      <c r="L115" s="38"/>
      <c r="M115" s="23"/>
      <c r="N115" s="23"/>
    </row>
    <row r="116" spans="1:14" x14ac:dyDescent="0.3">
      <c r="A116" s="410"/>
      <c r="B116" s="38"/>
      <c r="C116" s="38"/>
      <c r="D116" s="88"/>
      <c r="E116" s="411"/>
      <c r="F116" s="88"/>
      <c r="G116" s="156">
        <v>7.1412559482758615</v>
      </c>
      <c r="H116" s="156">
        <v>71.15916</v>
      </c>
      <c r="I116" s="155" t="s">
        <v>975</v>
      </c>
      <c r="J116" s="88"/>
      <c r="K116" s="38"/>
      <c r="L116" s="38"/>
      <c r="M116" s="23"/>
      <c r="N116" s="23"/>
    </row>
    <row r="117" spans="1:14" x14ac:dyDescent="0.3">
      <c r="A117" s="410"/>
      <c r="B117" s="38"/>
      <c r="C117" s="38"/>
      <c r="D117" s="88"/>
      <c r="E117" s="88"/>
      <c r="F117" s="88"/>
      <c r="G117" s="88"/>
      <c r="H117" s="88"/>
      <c r="I117" s="86"/>
      <c r="J117" s="88"/>
      <c r="K117" s="38"/>
      <c r="L117" s="38"/>
      <c r="M117" s="23"/>
      <c r="N117" s="23"/>
    </row>
    <row r="118" spans="1:14" x14ac:dyDescent="0.3">
      <c r="A118" s="410"/>
      <c r="B118" s="38"/>
      <c r="C118" s="38"/>
      <c r="D118" s="158" t="s">
        <v>680</v>
      </c>
      <c r="E118" s="25"/>
      <c r="F118" s="157" t="s">
        <v>405</v>
      </c>
      <c r="G118" s="209">
        <f>G119</f>
        <v>4.37</v>
      </c>
      <c r="H118" s="209">
        <f>H119</f>
        <v>63.8</v>
      </c>
      <c r="I118" s="158"/>
      <c r="J118" s="157"/>
      <c r="K118" s="38"/>
      <c r="L118" s="38"/>
      <c r="M118" s="38"/>
      <c r="N118" s="38"/>
    </row>
    <row r="119" spans="1:14" x14ac:dyDescent="0.3">
      <c r="A119" s="410"/>
      <c r="B119" s="38"/>
      <c r="C119" s="88">
        <v>1</v>
      </c>
      <c r="D119" s="88"/>
      <c r="E119" t="s">
        <v>869</v>
      </c>
      <c r="F119" s="88"/>
      <c r="G119" s="104">
        <v>4.37</v>
      </c>
      <c r="H119" s="104">
        <v>63.8</v>
      </c>
      <c r="I119" s="86" t="s">
        <v>511</v>
      </c>
      <c r="J119" s="88"/>
      <c r="K119" s="38"/>
      <c r="L119" s="38"/>
      <c r="M119" s="38"/>
      <c r="N119" s="38"/>
    </row>
    <row r="120" spans="1:14" x14ac:dyDescent="0.3">
      <c r="A120" s="410"/>
      <c r="B120" s="38"/>
      <c r="C120" s="88">
        <v>2</v>
      </c>
      <c r="D120" s="88"/>
      <c r="E120" s="88"/>
      <c r="F120" s="88"/>
      <c r="G120" s="208">
        <v>1.5486246551724137</v>
      </c>
      <c r="H120" s="208">
        <v>28.017334999999999</v>
      </c>
      <c r="I120" s="207" t="s">
        <v>2093</v>
      </c>
      <c r="J120" s="88"/>
      <c r="K120" s="38"/>
      <c r="L120" s="38"/>
      <c r="M120" s="38"/>
      <c r="N120" s="38"/>
    </row>
    <row r="121" spans="1:14" x14ac:dyDescent="0.3">
      <c r="A121" s="410"/>
      <c r="B121" s="38"/>
      <c r="C121" s="88">
        <v>3</v>
      </c>
      <c r="D121" s="88"/>
      <c r="E121" s="88"/>
      <c r="F121" s="88"/>
      <c r="G121" s="115">
        <v>4.041750517241379</v>
      </c>
      <c r="H121" s="115">
        <v>69.192880000000002</v>
      </c>
      <c r="I121" s="123" t="s">
        <v>2094</v>
      </c>
      <c r="J121" s="88"/>
      <c r="K121" s="38" t="s">
        <v>679</v>
      </c>
      <c r="L121" s="38"/>
      <c r="M121" s="38"/>
      <c r="N121" s="38"/>
    </row>
    <row r="122" spans="1:14" x14ac:dyDescent="0.3">
      <c r="A122" s="410"/>
      <c r="B122" s="38"/>
      <c r="C122" s="88">
        <v>4</v>
      </c>
      <c r="D122" s="88"/>
      <c r="E122" s="88"/>
      <c r="F122" s="88"/>
      <c r="G122" s="87"/>
      <c r="H122" s="87"/>
      <c r="I122" s="86"/>
      <c r="J122" s="88"/>
      <c r="K122" s="38"/>
      <c r="L122" s="38"/>
      <c r="M122" s="38"/>
      <c r="N122" s="38"/>
    </row>
    <row r="123" spans="1:14" x14ac:dyDescent="0.3">
      <c r="A123" s="410"/>
      <c r="B123" s="38"/>
      <c r="C123" s="88">
        <v>5</v>
      </c>
      <c r="D123" s="88"/>
      <c r="E123" s="88"/>
      <c r="F123" s="88"/>
      <c r="G123" s="87"/>
      <c r="H123" s="87"/>
      <c r="I123" s="86"/>
      <c r="J123" s="88"/>
      <c r="K123" s="38"/>
      <c r="L123" s="38"/>
      <c r="M123" s="38"/>
      <c r="N123" s="38"/>
    </row>
    <row r="124" spans="1:14" x14ac:dyDescent="0.3">
      <c r="A124" s="410"/>
      <c r="B124" s="38"/>
      <c r="C124" s="38"/>
      <c r="D124" s="88"/>
      <c r="E124" s="88"/>
      <c r="F124" s="88"/>
      <c r="G124" s="88"/>
      <c r="H124" s="88"/>
      <c r="I124" s="86"/>
      <c r="J124" s="88"/>
      <c r="K124" s="38"/>
      <c r="L124" s="38"/>
      <c r="M124" s="38"/>
      <c r="N124" s="38"/>
    </row>
    <row r="125" spans="1:14" x14ac:dyDescent="0.3">
      <c r="A125" s="410"/>
      <c r="B125" s="38"/>
      <c r="C125" s="38"/>
      <c r="D125" s="158" t="s">
        <v>678</v>
      </c>
      <c r="E125" s="25"/>
      <c r="F125" s="157" t="s">
        <v>405</v>
      </c>
      <c r="G125" s="157">
        <f>G127</f>
        <v>4.63</v>
      </c>
      <c r="H125" s="157">
        <f>H127</f>
        <v>69.3</v>
      </c>
      <c r="I125" s="158"/>
      <c r="J125" s="157"/>
      <c r="K125" s="38"/>
      <c r="L125" s="38"/>
      <c r="M125" s="38"/>
      <c r="N125" s="38"/>
    </row>
    <row r="126" spans="1:14" x14ac:dyDescent="0.3">
      <c r="A126" s="410"/>
      <c r="B126" s="38"/>
      <c r="C126" s="88">
        <v>1</v>
      </c>
      <c r="D126" s="88"/>
      <c r="F126" s="88"/>
      <c r="G126" s="208">
        <v>3.0028715517241378</v>
      </c>
      <c r="H126" s="208">
        <v>45.987020999999999</v>
      </c>
      <c r="I126" s="208" t="s">
        <v>884</v>
      </c>
      <c r="J126" s="88"/>
      <c r="K126" s="38"/>
      <c r="L126" s="38"/>
      <c r="M126" s="38"/>
      <c r="N126" s="38"/>
    </row>
    <row r="127" spans="1:14" x14ac:dyDescent="0.3">
      <c r="A127" s="410"/>
      <c r="B127" s="38"/>
      <c r="C127" s="88">
        <v>2</v>
      </c>
      <c r="D127" s="88"/>
      <c r="E127" s="88" t="s">
        <v>869</v>
      </c>
      <c r="F127" s="88"/>
      <c r="G127" s="104">
        <v>4.63</v>
      </c>
      <c r="H127" s="104">
        <v>69.3</v>
      </c>
      <c r="I127" s="86" t="s">
        <v>677</v>
      </c>
      <c r="J127" s="88" t="s">
        <v>676</v>
      </c>
      <c r="K127" s="38"/>
      <c r="L127" s="38"/>
      <c r="M127" s="38"/>
      <c r="N127" s="38"/>
    </row>
    <row r="128" spans="1:14" x14ac:dyDescent="0.3">
      <c r="A128" s="410"/>
      <c r="B128" s="38"/>
      <c r="C128" s="88">
        <v>3</v>
      </c>
      <c r="D128" s="88"/>
      <c r="E128" s="88"/>
      <c r="F128" s="88"/>
      <c r="G128" s="87">
        <v>1.64</v>
      </c>
      <c r="H128" s="87"/>
      <c r="I128" s="86" t="s">
        <v>675</v>
      </c>
      <c r="J128" s="88"/>
      <c r="K128" s="38"/>
      <c r="L128" s="38"/>
      <c r="M128" s="38"/>
      <c r="N128" s="38"/>
    </row>
    <row r="129" spans="1:14" x14ac:dyDescent="0.3">
      <c r="A129" s="410"/>
      <c r="B129" s="38"/>
      <c r="C129" s="88">
        <v>4</v>
      </c>
      <c r="D129" s="88"/>
      <c r="E129" s="88"/>
      <c r="F129" s="88"/>
      <c r="G129" s="87">
        <v>1.55</v>
      </c>
      <c r="H129" s="87"/>
      <c r="I129" s="86" t="s">
        <v>674</v>
      </c>
      <c r="J129" s="86" t="s">
        <v>673</v>
      </c>
      <c r="K129" s="38"/>
      <c r="L129" s="38"/>
      <c r="M129" s="38"/>
      <c r="N129" s="38"/>
    </row>
    <row r="130" spans="1:14" x14ac:dyDescent="0.3">
      <c r="A130" s="410"/>
      <c r="B130" s="38"/>
      <c r="C130" s="88">
        <v>5</v>
      </c>
      <c r="D130" s="88"/>
      <c r="E130" s="88"/>
      <c r="F130" s="88"/>
      <c r="G130" s="87"/>
      <c r="H130" s="87"/>
      <c r="I130" s="86"/>
      <c r="J130" s="88"/>
      <c r="K130" s="38"/>
      <c r="L130" s="38"/>
      <c r="M130" s="38"/>
      <c r="N130" s="38"/>
    </row>
    <row r="131" spans="1:14" x14ac:dyDescent="0.3">
      <c r="A131" s="410"/>
      <c r="B131" s="38"/>
      <c r="C131" s="38"/>
      <c r="D131" s="88"/>
      <c r="E131" s="88"/>
      <c r="F131" s="88"/>
      <c r="G131" s="88"/>
      <c r="H131" s="88"/>
      <c r="I131" s="86"/>
      <c r="J131" s="88"/>
      <c r="K131" s="38"/>
      <c r="L131" s="38"/>
      <c r="M131" s="38"/>
      <c r="N131" s="38"/>
    </row>
    <row r="132" spans="1:14" x14ac:dyDescent="0.3">
      <c r="A132" s="410"/>
      <c r="B132" s="38"/>
      <c r="C132" s="38"/>
      <c r="D132" s="158" t="s">
        <v>357</v>
      </c>
      <c r="E132" s="25"/>
      <c r="F132" s="157" t="s">
        <v>405</v>
      </c>
      <c r="G132" s="175">
        <f>G139</f>
        <v>12.7</v>
      </c>
      <c r="H132" s="157">
        <f>H139</f>
        <v>149</v>
      </c>
      <c r="I132" s="158"/>
      <c r="J132" s="157"/>
      <c r="K132" s="38"/>
      <c r="L132" s="38"/>
      <c r="M132" s="38"/>
      <c r="N132" s="38"/>
    </row>
    <row r="133" spans="1:14" x14ac:dyDescent="0.3">
      <c r="A133" s="410"/>
      <c r="B133" s="38"/>
      <c r="C133" s="88">
        <v>1</v>
      </c>
      <c r="D133" s="88"/>
      <c r="E133" t="s">
        <v>1112</v>
      </c>
      <c r="F133" s="88"/>
      <c r="G133" s="208">
        <v>5.6332569827586205</v>
      </c>
      <c r="H133" s="208">
        <v>109.52543</v>
      </c>
      <c r="I133" s="208" t="s">
        <v>884</v>
      </c>
      <c r="J133" s="88"/>
      <c r="K133" s="38"/>
      <c r="L133" s="38"/>
      <c r="M133" s="38"/>
      <c r="N133" s="38"/>
    </row>
    <row r="134" spans="1:14" x14ac:dyDescent="0.3">
      <c r="A134" s="410"/>
      <c r="B134" s="38"/>
      <c r="C134" s="88">
        <v>2</v>
      </c>
      <c r="D134" s="88"/>
      <c r="E134" s="88"/>
      <c r="F134" s="88"/>
      <c r="G134" s="207"/>
      <c r="H134" s="207"/>
      <c r="I134" s="207"/>
      <c r="J134" s="86"/>
      <c r="K134" s="38"/>
      <c r="L134" s="38"/>
      <c r="M134" s="38"/>
      <c r="N134" s="38"/>
    </row>
    <row r="135" spans="1:14" x14ac:dyDescent="0.3">
      <c r="A135" s="410"/>
      <c r="B135" s="38"/>
      <c r="C135" s="88">
        <v>3</v>
      </c>
      <c r="D135" s="88"/>
      <c r="E135" s="88"/>
      <c r="F135" s="88"/>
      <c r="G135" s="87">
        <v>17.899999999999999</v>
      </c>
      <c r="H135" s="87"/>
      <c r="I135" s="86" t="s">
        <v>672</v>
      </c>
      <c r="J135" s="88"/>
      <c r="K135" s="38"/>
      <c r="L135" s="38"/>
      <c r="M135" s="38"/>
      <c r="N135" s="38"/>
    </row>
    <row r="136" spans="1:14" x14ac:dyDescent="0.3">
      <c r="A136" s="410"/>
      <c r="B136" s="38"/>
      <c r="C136" s="88">
        <v>4</v>
      </c>
      <c r="D136" s="88"/>
      <c r="E136" s="88"/>
      <c r="F136" s="88"/>
      <c r="G136" s="87">
        <v>0.49199999999999999</v>
      </c>
      <c r="H136" s="87"/>
      <c r="I136" s="86" t="s">
        <v>671</v>
      </c>
      <c r="J136" s="88"/>
      <c r="K136" s="38"/>
      <c r="L136" s="38"/>
      <c r="M136" s="38"/>
      <c r="N136" s="38"/>
    </row>
    <row r="137" spans="1:14" x14ac:dyDescent="0.3">
      <c r="A137" s="410"/>
      <c r="B137" s="38"/>
      <c r="C137" s="88">
        <v>5</v>
      </c>
      <c r="D137" s="88"/>
      <c r="E137" s="88"/>
      <c r="F137" s="88"/>
      <c r="G137" s="87">
        <v>9.64</v>
      </c>
      <c r="H137" s="87"/>
      <c r="I137" s="86" t="s">
        <v>670</v>
      </c>
      <c r="J137" s="88"/>
      <c r="K137" s="38"/>
      <c r="L137" s="38"/>
      <c r="M137" s="38"/>
      <c r="N137" s="38"/>
    </row>
    <row r="138" spans="1:14" x14ac:dyDescent="0.3">
      <c r="A138" s="410"/>
      <c r="B138" s="38"/>
      <c r="C138" s="38"/>
      <c r="D138" s="88"/>
      <c r="E138" s="88"/>
      <c r="F138" s="88"/>
      <c r="G138" s="88">
        <v>19.100000000000001</v>
      </c>
      <c r="H138" s="88"/>
      <c r="I138" s="86" t="s">
        <v>669</v>
      </c>
      <c r="J138" s="88"/>
      <c r="K138" s="38"/>
      <c r="L138" s="38"/>
      <c r="M138" s="38"/>
      <c r="N138" s="38"/>
    </row>
    <row r="139" spans="1:14" x14ac:dyDescent="0.3">
      <c r="A139" s="410"/>
      <c r="B139" s="38"/>
      <c r="C139" s="38"/>
      <c r="D139" s="88"/>
      <c r="E139" s="88" t="s">
        <v>869</v>
      </c>
      <c r="F139" s="88"/>
      <c r="G139" s="184">
        <v>12.7</v>
      </c>
      <c r="H139" s="184">
        <v>149</v>
      </c>
      <c r="I139" s="86" t="s">
        <v>668</v>
      </c>
      <c r="J139" s="88" t="s">
        <v>667</v>
      </c>
      <c r="K139" s="38"/>
      <c r="L139" s="38"/>
      <c r="M139" s="38"/>
      <c r="N139" s="38"/>
    </row>
    <row r="140" spans="1:14" x14ac:dyDescent="0.3">
      <c r="A140" s="410"/>
      <c r="B140" s="38"/>
      <c r="C140" s="38"/>
      <c r="D140" s="158" t="s">
        <v>666</v>
      </c>
      <c r="E140" s="25"/>
      <c r="F140" s="157" t="s">
        <v>405</v>
      </c>
      <c r="G140" s="157">
        <f>G141</f>
        <v>2.02</v>
      </c>
      <c r="H140" s="157">
        <f>H141</f>
        <v>25.2</v>
      </c>
      <c r="I140" s="158"/>
      <c r="J140" s="157"/>
      <c r="K140" s="38"/>
      <c r="L140" s="38"/>
      <c r="M140" s="38"/>
      <c r="N140" s="38"/>
    </row>
    <row r="141" spans="1:14" x14ac:dyDescent="0.3">
      <c r="A141" s="410"/>
      <c r="B141" s="38"/>
      <c r="C141" s="88">
        <v>1</v>
      </c>
      <c r="D141" s="88"/>
      <c r="E141" t="s">
        <v>869</v>
      </c>
      <c r="F141" s="88"/>
      <c r="G141" s="184">
        <v>2.02</v>
      </c>
      <c r="H141" s="184">
        <v>25.2</v>
      </c>
      <c r="I141" s="86" t="s">
        <v>665</v>
      </c>
      <c r="J141" s="88"/>
      <c r="K141" s="38"/>
      <c r="L141" s="38"/>
      <c r="M141" s="38"/>
      <c r="N141" s="38"/>
    </row>
    <row r="142" spans="1:14" x14ac:dyDescent="0.3">
      <c r="A142" s="410"/>
      <c r="B142" s="38"/>
      <c r="C142" s="88">
        <v>2</v>
      </c>
      <c r="D142" s="88"/>
      <c r="E142" s="88"/>
      <c r="F142" s="88"/>
      <c r="G142" s="88"/>
      <c r="I142" s="86"/>
      <c r="J142" s="88"/>
      <c r="K142" s="38"/>
      <c r="L142" s="38"/>
      <c r="M142" s="38"/>
      <c r="N142" s="38"/>
    </row>
    <row r="143" spans="1:14" x14ac:dyDescent="0.3">
      <c r="A143" s="410"/>
      <c r="B143" s="38"/>
      <c r="C143" s="88">
        <v>3</v>
      </c>
      <c r="D143" s="88"/>
      <c r="E143" s="88"/>
      <c r="F143" s="88"/>
      <c r="G143" s="88"/>
      <c r="H143" s="88"/>
      <c r="I143" s="86"/>
      <c r="J143" s="88"/>
      <c r="K143" s="38"/>
      <c r="L143" s="38"/>
      <c r="M143" s="38"/>
      <c r="N143" s="38"/>
    </row>
    <row r="144" spans="1:14" x14ac:dyDescent="0.3">
      <c r="A144" s="410"/>
      <c r="B144" s="38"/>
      <c r="C144" s="88">
        <v>4</v>
      </c>
      <c r="D144" s="88"/>
      <c r="E144" s="88"/>
      <c r="F144" s="88"/>
      <c r="G144" s="88"/>
      <c r="H144" s="88"/>
      <c r="I144" s="86"/>
      <c r="J144" s="88"/>
      <c r="K144" s="38"/>
      <c r="L144" s="38"/>
      <c r="M144" s="38"/>
      <c r="N144" s="38"/>
    </row>
    <row r="145" spans="1:20" x14ac:dyDescent="0.3">
      <c r="A145" s="410"/>
      <c r="B145" s="38"/>
      <c r="C145" s="88">
        <v>5</v>
      </c>
      <c r="K145" s="38"/>
      <c r="L145" s="38"/>
      <c r="M145" s="38"/>
      <c r="N145" s="38"/>
    </row>
    <row r="146" spans="1:20" x14ac:dyDescent="0.3">
      <c r="A146" s="410"/>
      <c r="B146" s="38"/>
      <c r="C146" s="38"/>
      <c r="K146" s="38"/>
      <c r="L146" s="38"/>
      <c r="M146" s="38"/>
      <c r="N146" s="38"/>
    </row>
    <row r="147" spans="1:20" x14ac:dyDescent="0.3">
      <c r="A147" s="410"/>
      <c r="B147" s="38"/>
      <c r="C147" s="38"/>
      <c r="D147" s="157" t="s">
        <v>29</v>
      </c>
      <c r="E147" s="179"/>
      <c r="F147" s="157" t="s">
        <v>660</v>
      </c>
      <c r="G147" s="157">
        <f>G148</f>
        <v>2.2799999999999998</v>
      </c>
      <c r="H147" s="157">
        <f>H148</f>
        <v>24.9</v>
      </c>
      <c r="I147" s="180"/>
      <c r="J147" s="179"/>
      <c r="K147" s="38"/>
      <c r="L147" s="38"/>
      <c r="M147" s="38"/>
      <c r="N147" s="38"/>
    </row>
    <row r="148" spans="1:20" x14ac:dyDescent="0.3">
      <c r="A148" s="410"/>
      <c r="B148" s="38"/>
      <c r="C148" s="88">
        <v>1</v>
      </c>
      <c r="D148" s="88"/>
      <c r="E148" s="88" t="s">
        <v>1117</v>
      </c>
      <c r="F148" s="88"/>
      <c r="G148" s="88">
        <v>2.2799999999999998</v>
      </c>
      <c r="H148" s="88">
        <v>24.9</v>
      </c>
      <c r="I148" s="86" t="s">
        <v>1118</v>
      </c>
      <c r="J148" s="88"/>
      <c r="L148" s="38"/>
      <c r="M148" s="38"/>
      <c r="N148" s="38"/>
    </row>
    <row r="149" spans="1:20" x14ac:dyDescent="0.3">
      <c r="A149" s="410"/>
      <c r="B149" s="38"/>
      <c r="C149" s="88">
        <v>2</v>
      </c>
      <c r="L149" s="38"/>
      <c r="M149" s="38"/>
    </row>
    <row r="150" spans="1:20" x14ac:dyDescent="0.3">
      <c r="A150" s="410"/>
      <c r="B150" s="38"/>
      <c r="C150" s="88">
        <v>3</v>
      </c>
      <c r="L150" s="38"/>
      <c r="M150" s="38"/>
    </row>
    <row r="151" spans="1:20" x14ac:dyDescent="0.3">
      <c r="A151" s="410"/>
      <c r="B151" s="38"/>
      <c r="C151" s="88">
        <v>4</v>
      </c>
      <c r="K151" s="38"/>
      <c r="L151" s="38"/>
      <c r="M151" s="38"/>
    </row>
    <row r="152" spans="1:20" x14ac:dyDescent="0.3">
      <c r="A152" s="410"/>
      <c r="B152" s="38"/>
      <c r="C152" s="88"/>
      <c r="D152" s="88"/>
      <c r="E152" s="88"/>
      <c r="F152" s="88"/>
      <c r="G152" s="88"/>
      <c r="H152" s="88"/>
      <c r="I152" s="86"/>
      <c r="J152" s="88"/>
      <c r="K152" s="38"/>
      <c r="L152" s="38"/>
      <c r="M152" s="38"/>
      <c r="N152" s="88"/>
      <c r="O152" s="88"/>
      <c r="P152" s="88"/>
      <c r="Q152" s="88"/>
      <c r="R152" s="88"/>
      <c r="S152" s="86"/>
      <c r="T152" s="88"/>
    </row>
    <row r="153" spans="1:20" x14ac:dyDescent="0.3">
      <c r="A153" s="410"/>
      <c r="B153" s="38"/>
      <c r="C153" s="88"/>
      <c r="D153" s="88"/>
      <c r="E153" s="88"/>
      <c r="F153" s="88"/>
      <c r="G153" s="88"/>
      <c r="H153" s="88"/>
      <c r="I153" s="86"/>
      <c r="J153" s="88"/>
      <c r="K153" s="38"/>
      <c r="L153" s="38"/>
      <c r="M153" s="38"/>
      <c r="N153" s="88"/>
      <c r="O153" s="88"/>
      <c r="P153" s="88"/>
      <c r="Q153" s="88"/>
      <c r="R153" s="88"/>
      <c r="S153" s="86"/>
      <c r="T153" s="88"/>
    </row>
    <row r="154" spans="1:20" x14ac:dyDescent="0.3">
      <c r="A154" s="410"/>
      <c r="B154" s="38"/>
      <c r="C154" s="88"/>
      <c r="D154" s="88"/>
      <c r="E154" s="88"/>
      <c r="F154" s="88"/>
      <c r="G154" s="88"/>
      <c r="H154" s="88"/>
      <c r="I154" s="86"/>
      <c r="J154" s="88"/>
      <c r="K154" s="38"/>
      <c r="L154" s="38"/>
      <c r="M154" s="38"/>
      <c r="N154" s="38"/>
    </row>
    <row r="155" spans="1:20" x14ac:dyDescent="0.3">
      <c r="A155" s="410"/>
      <c r="B155" s="38"/>
      <c r="C155" s="88"/>
      <c r="D155" s="158" t="s">
        <v>110</v>
      </c>
      <c r="E155" s="25"/>
      <c r="F155" s="157" t="s">
        <v>405</v>
      </c>
      <c r="G155" s="157">
        <f>G157</f>
        <v>2.1795</v>
      </c>
      <c r="H155" s="157">
        <f>H157</f>
        <v>26.945</v>
      </c>
      <c r="I155" s="158"/>
      <c r="J155" s="157"/>
      <c r="K155" s="38"/>
      <c r="L155" s="38"/>
      <c r="M155" s="38"/>
      <c r="N155" s="38"/>
    </row>
    <row r="156" spans="1:20" x14ac:dyDescent="0.3">
      <c r="A156" s="410"/>
      <c r="B156" s="38"/>
      <c r="C156" s="88">
        <v>1</v>
      </c>
      <c r="D156" s="88"/>
      <c r="F156" s="88"/>
      <c r="I156" s="95" t="s">
        <v>664</v>
      </c>
      <c r="J156" s="88"/>
      <c r="K156" s="38"/>
      <c r="L156" s="38"/>
      <c r="M156" s="38"/>
      <c r="N156" s="38"/>
    </row>
    <row r="157" spans="1:20" x14ac:dyDescent="0.3">
      <c r="A157" s="410"/>
      <c r="B157" s="38"/>
      <c r="C157" s="88">
        <v>2</v>
      </c>
      <c r="D157" s="88"/>
      <c r="E157" s="88"/>
      <c r="F157" s="88"/>
      <c r="G157" s="2">
        <f>0.5*G239+G140</f>
        <v>2.1795</v>
      </c>
      <c r="H157" s="2">
        <f>0.5*H239+H140</f>
        <v>26.945</v>
      </c>
      <c r="I157" s="206" t="s">
        <v>663</v>
      </c>
      <c r="J157" s="88" t="s">
        <v>662</v>
      </c>
      <c r="K157" s="38"/>
      <c r="L157" s="38"/>
      <c r="M157" s="38"/>
      <c r="N157" s="38"/>
    </row>
    <row r="158" spans="1:20" x14ac:dyDescent="0.3">
      <c r="A158" s="410"/>
      <c r="B158" s="38"/>
      <c r="C158" s="88"/>
      <c r="D158" s="88"/>
      <c r="E158" s="88"/>
      <c r="F158" s="88"/>
      <c r="G158" s="88"/>
      <c r="H158" s="88"/>
      <c r="I158" s="86"/>
      <c r="J158" s="88"/>
      <c r="K158" s="38"/>
      <c r="L158" s="38"/>
      <c r="M158" s="38"/>
      <c r="N158" s="38"/>
    </row>
    <row r="159" spans="1:20" x14ac:dyDescent="0.3">
      <c r="A159" s="410"/>
      <c r="B159" s="38"/>
      <c r="C159" s="88"/>
      <c r="D159" s="88"/>
      <c r="E159" s="88"/>
      <c r="F159" s="88"/>
      <c r="G159" s="88"/>
      <c r="H159" s="88"/>
      <c r="I159" s="86"/>
      <c r="J159" s="88"/>
      <c r="K159" s="38"/>
      <c r="L159" s="38"/>
      <c r="M159" s="38"/>
      <c r="N159" s="38"/>
    </row>
    <row r="160" spans="1:20" x14ac:dyDescent="0.3">
      <c r="A160" s="410"/>
      <c r="B160" s="38"/>
      <c r="C160" s="88"/>
      <c r="D160" s="157" t="s">
        <v>351</v>
      </c>
      <c r="E160" s="179"/>
      <c r="F160" s="157" t="s">
        <v>660</v>
      </c>
      <c r="G160" s="179">
        <f>G161</f>
        <v>29.7</v>
      </c>
      <c r="H160" s="179">
        <f>H161</f>
        <v>434</v>
      </c>
      <c r="I160" s="180"/>
      <c r="J160" s="179"/>
      <c r="K160" s="38"/>
      <c r="L160" s="38"/>
      <c r="M160" s="38"/>
      <c r="N160" s="38"/>
    </row>
    <row r="161" spans="1:14" x14ac:dyDescent="0.3">
      <c r="A161" s="410"/>
      <c r="B161" s="38"/>
      <c r="C161" s="88">
        <v>1</v>
      </c>
      <c r="D161" s="88"/>
      <c r="E161" s="88" t="s">
        <v>869</v>
      </c>
      <c r="F161" s="88"/>
      <c r="G161" s="166">
        <v>29.7</v>
      </c>
      <c r="H161" s="166">
        <v>434</v>
      </c>
      <c r="I161" s="86" t="s">
        <v>661</v>
      </c>
      <c r="J161" s="88" t="s">
        <v>525</v>
      </c>
      <c r="K161" s="38"/>
      <c r="L161" s="38"/>
      <c r="M161" s="38"/>
      <c r="N161" s="38"/>
    </row>
    <row r="162" spans="1:14" x14ac:dyDescent="0.3">
      <c r="A162" s="410"/>
      <c r="B162" s="38"/>
      <c r="C162" s="88">
        <v>2</v>
      </c>
      <c r="D162" s="88"/>
      <c r="E162" s="88"/>
      <c r="F162" s="88"/>
      <c r="G162" s="88"/>
      <c r="H162" s="88"/>
      <c r="I162" s="86"/>
      <c r="J162" s="88"/>
      <c r="K162" s="38"/>
      <c r="L162" s="38"/>
      <c r="M162" s="38"/>
      <c r="N162" s="38"/>
    </row>
    <row r="163" spans="1:14" x14ac:dyDescent="0.3">
      <c r="A163" s="410"/>
      <c r="B163" s="38"/>
      <c r="C163" s="88"/>
      <c r="D163" s="88"/>
      <c r="E163" s="88"/>
      <c r="F163" s="88"/>
      <c r="G163" s="88"/>
      <c r="H163" s="88"/>
      <c r="I163" s="86"/>
      <c r="J163" s="88"/>
      <c r="K163" s="38"/>
      <c r="L163" s="38"/>
      <c r="M163" s="38"/>
      <c r="N163" s="38"/>
    </row>
    <row r="164" spans="1:14" x14ac:dyDescent="0.3">
      <c r="A164" s="410"/>
      <c r="B164" s="38"/>
      <c r="C164" s="88"/>
      <c r="D164" s="157" t="s">
        <v>111</v>
      </c>
      <c r="E164" s="179"/>
      <c r="F164" s="157" t="s">
        <v>660</v>
      </c>
      <c r="G164" s="179">
        <f>G165</f>
        <v>4.37</v>
      </c>
      <c r="H164" s="179">
        <f>H165</f>
        <v>63.8</v>
      </c>
      <c r="I164" s="180"/>
      <c r="J164" s="179"/>
      <c r="K164" s="38"/>
      <c r="L164" s="38"/>
      <c r="M164" s="38"/>
      <c r="N164" s="38"/>
    </row>
    <row r="165" spans="1:14" x14ac:dyDescent="0.3">
      <c r="A165" s="410"/>
      <c r="B165" s="38"/>
      <c r="C165" s="88">
        <v>1</v>
      </c>
      <c r="D165" s="88"/>
      <c r="E165" s="88"/>
      <c r="F165" s="88"/>
      <c r="G165" s="295">
        <v>4.37</v>
      </c>
      <c r="H165" s="295">
        <v>63.8</v>
      </c>
      <c r="I165" s="86" t="s">
        <v>1004</v>
      </c>
      <c r="J165" s="88"/>
      <c r="K165" s="38" t="s">
        <v>1005</v>
      </c>
      <c r="L165" s="38"/>
      <c r="M165" s="86" t="s">
        <v>441</v>
      </c>
      <c r="N165" s="38"/>
    </row>
    <row r="166" spans="1:14" x14ac:dyDescent="0.3">
      <c r="A166" s="410"/>
      <c r="B166" s="38"/>
      <c r="C166" s="88">
        <v>2</v>
      </c>
      <c r="D166" s="88"/>
      <c r="E166" s="88"/>
      <c r="F166" s="88"/>
      <c r="G166" s="88"/>
      <c r="H166" s="88"/>
      <c r="I166" s="86"/>
      <c r="J166" s="88"/>
      <c r="K166" s="38"/>
      <c r="L166" s="38"/>
      <c r="M166" s="38"/>
      <c r="N166" s="38"/>
    </row>
    <row r="167" spans="1:14" x14ac:dyDescent="0.3">
      <c r="A167" s="410"/>
      <c r="B167" s="38"/>
      <c r="C167" s="88"/>
      <c r="D167" s="88"/>
      <c r="E167" s="88"/>
      <c r="F167" s="88"/>
      <c r="G167" s="88"/>
      <c r="H167" s="88"/>
      <c r="I167" s="86"/>
      <c r="J167" s="88"/>
      <c r="K167" s="38"/>
      <c r="L167" s="38"/>
      <c r="M167" s="38"/>
      <c r="N167" s="38"/>
    </row>
    <row r="168" spans="1:14" x14ac:dyDescent="0.3">
      <c r="A168" s="410"/>
      <c r="B168" s="38"/>
      <c r="C168" s="38"/>
      <c r="D168" s="158" t="s">
        <v>323</v>
      </c>
      <c r="E168" s="25"/>
      <c r="F168" s="157" t="s">
        <v>405</v>
      </c>
      <c r="G168" s="157">
        <f>G169</f>
        <v>1.81</v>
      </c>
      <c r="H168" s="157">
        <f>H169</f>
        <v>20.3</v>
      </c>
      <c r="I168" s="158"/>
      <c r="J168" s="157"/>
      <c r="K168" s="38"/>
      <c r="L168" s="38"/>
      <c r="M168" s="38"/>
      <c r="N168" s="38"/>
    </row>
    <row r="169" spans="1:14" x14ac:dyDescent="0.3">
      <c r="A169" s="410"/>
      <c r="B169" s="38"/>
      <c r="C169" s="88">
        <v>1</v>
      </c>
      <c r="D169" s="88"/>
      <c r="E169" t="s">
        <v>869</v>
      </c>
      <c r="F169" s="88"/>
      <c r="G169" s="88">
        <v>1.81</v>
      </c>
      <c r="H169" s="88">
        <v>20.3</v>
      </c>
      <c r="I169" s="86" t="s">
        <v>445</v>
      </c>
      <c r="J169" s="88"/>
      <c r="K169" s="38"/>
      <c r="L169" s="38"/>
      <c r="M169" s="38"/>
      <c r="N169" s="38"/>
    </row>
    <row r="170" spans="1:14" x14ac:dyDescent="0.3">
      <c r="A170" s="410"/>
      <c r="B170" s="38"/>
      <c r="C170" s="88">
        <v>2</v>
      </c>
      <c r="D170" s="88"/>
      <c r="E170" s="88"/>
      <c r="F170" s="88"/>
      <c r="G170" s="88"/>
      <c r="H170" s="88"/>
      <c r="I170" s="86"/>
      <c r="J170" s="88"/>
      <c r="K170" s="38"/>
      <c r="L170" s="38"/>
      <c r="M170" s="38"/>
      <c r="N170" s="38"/>
    </row>
    <row r="171" spans="1:14" x14ac:dyDescent="0.3">
      <c r="A171" s="410"/>
      <c r="B171" s="38"/>
      <c r="C171" s="88">
        <v>3</v>
      </c>
      <c r="D171" s="88"/>
      <c r="E171" s="88"/>
      <c r="F171" s="88"/>
      <c r="G171" s="88"/>
      <c r="H171" s="88"/>
      <c r="I171" s="86"/>
      <c r="J171" s="88"/>
      <c r="K171" s="38"/>
      <c r="L171" s="38"/>
      <c r="M171" s="38"/>
      <c r="N171" s="38"/>
    </row>
    <row r="172" spans="1:14" x14ac:dyDescent="0.3">
      <c r="A172" s="410"/>
      <c r="B172" s="38"/>
      <c r="C172" s="88">
        <v>4</v>
      </c>
      <c r="D172" s="88"/>
      <c r="E172" s="88"/>
      <c r="F172" s="88"/>
      <c r="G172" s="88"/>
      <c r="H172" s="88"/>
      <c r="I172" s="86"/>
      <c r="J172" s="88"/>
      <c r="K172" s="38"/>
      <c r="L172" s="38"/>
      <c r="M172" s="38"/>
      <c r="N172" s="38"/>
    </row>
    <row r="173" spans="1:14" x14ac:dyDescent="0.3">
      <c r="A173" s="410"/>
      <c r="B173" s="38"/>
      <c r="C173" s="88">
        <v>5</v>
      </c>
      <c r="D173" s="88"/>
      <c r="E173" s="88"/>
      <c r="F173" s="88"/>
      <c r="G173" s="88"/>
      <c r="H173" s="88"/>
      <c r="I173" s="86"/>
      <c r="J173" s="88"/>
      <c r="K173" s="38"/>
      <c r="L173" s="38"/>
      <c r="M173" s="38"/>
      <c r="N173" s="38"/>
    </row>
    <row r="174" spans="1:14" x14ac:dyDescent="0.3">
      <c r="A174" s="410"/>
      <c r="B174" s="38"/>
      <c r="C174" s="38"/>
      <c r="D174" s="158" t="s">
        <v>1095</v>
      </c>
      <c r="E174" s="25"/>
      <c r="F174" s="157" t="s">
        <v>405</v>
      </c>
      <c r="G174" s="157">
        <f>G175</f>
        <v>2.4900000000000002</v>
      </c>
      <c r="H174" s="157">
        <f>H175</f>
        <v>28.3</v>
      </c>
      <c r="I174" s="158"/>
      <c r="J174" s="157"/>
      <c r="K174" s="38"/>
      <c r="L174" s="38"/>
      <c r="M174" s="38"/>
      <c r="N174" s="38"/>
    </row>
    <row r="175" spans="1:14" x14ac:dyDescent="0.3">
      <c r="A175" s="222"/>
      <c r="B175" s="38"/>
      <c r="C175" s="88">
        <v>1</v>
      </c>
      <c r="D175" s="88"/>
      <c r="E175" t="s">
        <v>1116</v>
      </c>
      <c r="F175" s="88"/>
      <c r="G175" s="88">
        <v>2.4900000000000002</v>
      </c>
      <c r="H175" s="88">
        <v>28.3</v>
      </c>
      <c r="I175" s="86" t="s">
        <v>1096</v>
      </c>
      <c r="J175" s="88"/>
      <c r="K175" s="38"/>
      <c r="L175" s="38"/>
      <c r="M175" s="38"/>
      <c r="N175" s="38"/>
    </row>
    <row r="176" spans="1:14" x14ac:dyDescent="0.3">
      <c r="A176" s="222"/>
      <c r="B176" s="38"/>
      <c r="C176" s="88">
        <v>2</v>
      </c>
      <c r="D176" s="88"/>
      <c r="E176" s="88"/>
      <c r="F176" s="88"/>
      <c r="G176" s="88"/>
      <c r="H176" s="88"/>
      <c r="I176" s="86"/>
      <c r="J176" s="88"/>
      <c r="K176" s="38"/>
      <c r="L176" s="38"/>
      <c r="M176" s="38"/>
      <c r="N176" s="38"/>
    </row>
    <row r="177" spans="1:16" x14ac:dyDescent="0.3">
      <c r="A177" s="222"/>
      <c r="B177" s="38"/>
      <c r="C177" s="88">
        <v>3</v>
      </c>
      <c r="D177" s="88"/>
      <c r="E177" s="88"/>
      <c r="F177" s="88"/>
      <c r="G177" s="88"/>
      <c r="H177" s="88"/>
      <c r="I177" s="86"/>
      <c r="J177" s="88"/>
      <c r="K177" s="38"/>
      <c r="L177" s="38"/>
      <c r="M177" s="38"/>
      <c r="N177" s="38"/>
    </row>
    <row r="178" spans="1:16" x14ac:dyDescent="0.3">
      <c r="A178" s="222"/>
      <c r="B178" s="38"/>
      <c r="C178" s="88">
        <v>4</v>
      </c>
      <c r="D178" s="88"/>
      <c r="E178" s="88"/>
      <c r="F178" s="88"/>
      <c r="G178" s="88"/>
      <c r="H178" s="88"/>
      <c r="I178" s="86"/>
      <c r="J178" s="88"/>
      <c r="K178" s="38"/>
      <c r="L178" s="38"/>
      <c r="M178" s="38"/>
      <c r="N178" s="38"/>
    </row>
    <row r="179" spans="1:16" x14ac:dyDescent="0.3">
      <c r="A179" s="222"/>
      <c r="B179" s="38"/>
      <c r="C179" s="88">
        <v>5</v>
      </c>
      <c r="D179" s="88"/>
      <c r="E179" s="88"/>
      <c r="F179" s="88"/>
      <c r="G179" s="88"/>
      <c r="H179" s="88"/>
      <c r="I179" s="86"/>
      <c r="J179" s="88"/>
      <c r="K179" s="38"/>
      <c r="L179" s="38"/>
      <c r="M179" s="38"/>
      <c r="N179" s="38"/>
    </row>
    <row r="180" spans="1:16" x14ac:dyDescent="0.3">
      <c r="A180" s="222"/>
      <c r="B180" s="38"/>
      <c r="C180" s="88"/>
      <c r="D180" s="88"/>
      <c r="E180" s="88"/>
      <c r="F180" s="88"/>
      <c r="G180" s="88"/>
      <c r="H180" s="88"/>
      <c r="I180" s="86"/>
      <c r="J180" s="88"/>
      <c r="K180" s="38"/>
      <c r="L180" s="38"/>
      <c r="M180" s="38"/>
      <c r="N180" s="38"/>
    </row>
    <row r="181" spans="1:16" x14ac:dyDescent="0.3">
      <c r="A181" s="222"/>
      <c r="B181" s="38"/>
      <c r="C181" s="38"/>
      <c r="D181" s="158" t="s">
        <v>1106</v>
      </c>
      <c r="E181" s="25"/>
      <c r="F181" s="157" t="s">
        <v>405</v>
      </c>
      <c r="G181" s="157">
        <f>G182</f>
        <v>0</v>
      </c>
      <c r="H181" s="157">
        <f>H182</f>
        <v>0</v>
      </c>
      <c r="I181" s="158"/>
      <c r="J181" s="157"/>
      <c r="K181" s="38"/>
      <c r="L181" s="38"/>
      <c r="M181" s="38"/>
      <c r="N181" s="38"/>
    </row>
    <row r="182" spans="1:16" x14ac:dyDescent="0.3">
      <c r="A182" s="222"/>
      <c r="B182" s="38"/>
      <c r="C182" s="88">
        <v>1</v>
      </c>
      <c r="D182" s="88"/>
      <c r="F182" s="88"/>
      <c r="G182" s="88"/>
      <c r="H182" s="88"/>
      <c r="I182" s="86"/>
      <c r="J182" s="88"/>
      <c r="K182" s="38"/>
      <c r="L182" s="38"/>
      <c r="M182" s="38"/>
      <c r="N182" s="38"/>
    </row>
    <row r="183" spans="1:16" x14ac:dyDescent="0.3">
      <c r="A183" s="222"/>
      <c r="B183" s="38"/>
      <c r="C183" s="88">
        <v>2</v>
      </c>
      <c r="D183" s="88"/>
      <c r="E183" s="88"/>
      <c r="F183" s="88"/>
      <c r="G183" s="88"/>
      <c r="H183" s="88"/>
      <c r="I183" s="86"/>
      <c r="J183" s="88"/>
      <c r="K183" s="38"/>
      <c r="L183" s="38"/>
      <c r="M183" s="38"/>
      <c r="N183" s="38"/>
    </row>
    <row r="184" spans="1:16" x14ac:dyDescent="0.3">
      <c r="A184" s="222"/>
      <c r="B184" s="38"/>
      <c r="C184" s="88">
        <v>3</v>
      </c>
      <c r="D184" s="88"/>
      <c r="E184" s="88"/>
      <c r="F184" s="88"/>
      <c r="G184" s="88"/>
      <c r="H184" s="88"/>
      <c r="I184" s="86"/>
      <c r="J184" s="88"/>
      <c r="K184" s="38"/>
      <c r="L184" s="38"/>
      <c r="M184" s="38"/>
      <c r="N184" s="38"/>
    </row>
    <row r="185" spans="1:16" x14ac:dyDescent="0.3">
      <c r="A185" s="222"/>
      <c r="B185" s="38"/>
      <c r="C185" s="88">
        <v>4</v>
      </c>
      <c r="D185" s="88"/>
      <c r="E185" s="88"/>
      <c r="F185" s="88"/>
      <c r="G185" s="88"/>
      <c r="H185" s="88"/>
      <c r="I185" s="86"/>
      <c r="J185" s="88"/>
      <c r="K185" s="38"/>
      <c r="L185" s="38"/>
      <c r="M185" s="38"/>
      <c r="N185" s="38"/>
    </row>
    <row r="186" spans="1:16" x14ac:dyDescent="0.3">
      <c r="A186" s="222"/>
      <c r="B186" s="38"/>
      <c r="C186" s="88">
        <v>5</v>
      </c>
      <c r="D186" s="88"/>
      <c r="E186" s="88"/>
      <c r="F186" s="88"/>
      <c r="G186" s="88"/>
      <c r="H186" s="88"/>
      <c r="I186" s="86"/>
      <c r="J186" s="88"/>
      <c r="K186" s="38"/>
      <c r="L186" s="38"/>
      <c r="M186" s="38"/>
      <c r="N186" s="38"/>
    </row>
    <row r="187" spans="1:16" x14ac:dyDescent="0.3">
      <c r="A187" s="222"/>
      <c r="B187" s="38"/>
      <c r="C187" s="88"/>
      <c r="D187" s="88"/>
      <c r="E187" s="88"/>
      <c r="F187" s="88"/>
      <c r="G187" s="88"/>
      <c r="H187" s="88"/>
      <c r="I187" s="86"/>
      <c r="J187" s="88"/>
      <c r="K187" s="38"/>
      <c r="L187" s="38"/>
      <c r="M187" s="38"/>
      <c r="N187" s="38"/>
      <c r="P187" t="s">
        <v>1108</v>
      </c>
    </row>
    <row r="188" spans="1:16" x14ac:dyDescent="0.3">
      <c r="A188" s="222"/>
      <c r="B188" s="38"/>
      <c r="C188" s="38"/>
      <c r="D188" s="158" t="s">
        <v>416</v>
      </c>
      <c r="E188" s="25"/>
      <c r="F188" s="157" t="s">
        <v>405</v>
      </c>
      <c r="G188" s="157">
        <f>G189</f>
        <v>10.8</v>
      </c>
      <c r="H188" s="157">
        <f>H189</f>
        <v>169</v>
      </c>
      <c r="I188" s="158"/>
      <c r="J188" s="157"/>
      <c r="K188" s="38"/>
      <c r="L188" s="38"/>
      <c r="M188" s="38"/>
      <c r="N188" s="38"/>
    </row>
    <row r="189" spans="1:16" x14ac:dyDescent="0.3">
      <c r="A189" s="222"/>
      <c r="B189" s="38"/>
      <c r="C189" s="88">
        <v>1</v>
      </c>
      <c r="D189" s="88"/>
      <c r="F189" s="88"/>
      <c r="G189" s="88">
        <v>10.8</v>
      </c>
      <c r="H189" s="88">
        <v>169</v>
      </c>
      <c r="I189" s="86" t="s">
        <v>1119</v>
      </c>
      <c r="J189" s="88"/>
      <c r="K189" s="38"/>
      <c r="L189" s="38" t="s">
        <v>1107</v>
      </c>
      <c r="M189" s="38"/>
      <c r="N189" s="38"/>
    </row>
    <row r="190" spans="1:16" x14ac:dyDescent="0.3">
      <c r="A190" s="222"/>
      <c r="B190" s="38"/>
      <c r="C190" s="88">
        <v>2</v>
      </c>
      <c r="D190" s="88"/>
      <c r="E190" s="88"/>
      <c r="F190" s="88"/>
      <c r="G190" s="88"/>
      <c r="H190" s="88"/>
      <c r="I190" s="86"/>
      <c r="J190" s="88"/>
      <c r="K190" s="38"/>
      <c r="L190" s="38"/>
      <c r="M190" s="38"/>
      <c r="N190" s="38"/>
    </row>
    <row r="191" spans="1:16" x14ac:dyDescent="0.3">
      <c r="A191" s="222"/>
      <c r="B191" s="38"/>
      <c r="C191" s="88">
        <v>3</v>
      </c>
      <c r="D191" s="88"/>
      <c r="E191" s="88"/>
      <c r="F191" s="88"/>
      <c r="G191" s="88"/>
      <c r="H191" s="88"/>
      <c r="I191" s="86"/>
      <c r="J191" s="88"/>
      <c r="K191" s="38"/>
      <c r="L191" s="38"/>
      <c r="M191" s="38"/>
      <c r="N191" s="38"/>
    </row>
    <row r="192" spans="1:16" x14ac:dyDescent="0.3">
      <c r="A192" s="222"/>
      <c r="B192" s="38"/>
      <c r="C192" s="88">
        <v>4</v>
      </c>
      <c r="D192" s="88"/>
      <c r="E192" s="88"/>
      <c r="F192" s="88"/>
      <c r="G192" s="88"/>
      <c r="H192" s="88"/>
      <c r="I192" s="86"/>
      <c r="J192" s="88"/>
      <c r="K192" s="38"/>
      <c r="L192" s="38"/>
      <c r="M192" s="38"/>
      <c r="N192" s="38"/>
    </row>
    <row r="193" spans="1:15" x14ac:dyDescent="0.3">
      <c r="A193" s="222"/>
      <c r="B193" s="38"/>
      <c r="C193" s="88">
        <v>5</v>
      </c>
      <c r="D193" s="88"/>
      <c r="E193" s="88"/>
      <c r="F193" s="88"/>
      <c r="G193" s="88"/>
      <c r="H193" s="88"/>
      <c r="I193" s="86"/>
      <c r="J193" s="88"/>
      <c r="K193" s="38"/>
      <c r="L193" s="38"/>
      <c r="M193" s="38"/>
      <c r="N193" s="38"/>
    </row>
    <row r="194" spans="1:15" x14ac:dyDescent="0.3">
      <c r="A194" s="222"/>
      <c r="B194" s="38"/>
      <c r="C194" s="38"/>
      <c r="D194" s="158" t="s">
        <v>1099</v>
      </c>
      <c r="E194" s="25"/>
      <c r="F194" s="157" t="s">
        <v>405</v>
      </c>
      <c r="G194" s="157">
        <f>G195</f>
        <v>2.0275999999999996</v>
      </c>
      <c r="H194" s="157">
        <f>H195</f>
        <v>27.291999999999998</v>
      </c>
      <c r="I194" s="158"/>
      <c r="J194" s="157"/>
      <c r="K194" s="38"/>
      <c r="L194" s="38"/>
      <c r="M194" s="38"/>
      <c r="N194" s="38"/>
    </row>
    <row r="195" spans="1:15" x14ac:dyDescent="0.3">
      <c r="A195" s="222"/>
      <c r="B195" s="38"/>
      <c r="C195" s="88">
        <v>1</v>
      </c>
      <c r="D195" s="88"/>
      <c r="F195" s="88"/>
      <c r="G195" s="88">
        <f>L195*G189+N195*G108</f>
        <v>2.0275999999999996</v>
      </c>
      <c r="H195" s="88">
        <f>L195*H188+N195*H108</f>
        <v>27.291999999999998</v>
      </c>
      <c r="I195" s="86"/>
      <c r="J195" s="88"/>
      <c r="K195" s="38"/>
      <c r="L195" s="307">
        <v>3.5999999999999997E-2</v>
      </c>
      <c r="M195" s="38" t="s">
        <v>1120</v>
      </c>
      <c r="N195" s="307">
        <f>1-L195</f>
        <v>0.96399999999999997</v>
      </c>
      <c r="O195" t="s">
        <v>23</v>
      </c>
    </row>
    <row r="196" spans="1:15" x14ac:dyDescent="0.3">
      <c r="A196" s="222"/>
      <c r="B196" s="38"/>
      <c r="C196" s="88">
        <v>2</v>
      </c>
      <c r="D196" s="88"/>
      <c r="E196" s="88"/>
      <c r="F196" s="88"/>
      <c r="G196" s="88"/>
      <c r="H196" s="88"/>
      <c r="I196" s="86"/>
      <c r="J196" s="88"/>
      <c r="K196" s="38"/>
      <c r="L196" s="38"/>
      <c r="M196" s="38"/>
      <c r="N196" s="38"/>
    </row>
    <row r="197" spans="1:15" x14ac:dyDescent="0.3">
      <c r="A197" s="222"/>
      <c r="B197" s="38"/>
      <c r="C197" s="88">
        <v>3</v>
      </c>
      <c r="D197" s="88"/>
      <c r="E197" s="88"/>
      <c r="F197" s="88"/>
      <c r="G197" s="88"/>
      <c r="H197" s="88"/>
      <c r="I197" s="86"/>
      <c r="J197" s="88"/>
      <c r="K197" s="38"/>
      <c r="L197" s="38"/>
      <c r="M197" s="38"/>
      <c r="N197" s="38"/>
    </row>
    <row r="198" spans="1:15" x14ac:dyDescent="0.3">
      <c r="A198" s="222"/>
      <c r="B198" s="38"/>
      <c r="C198" s="88">
        <v>4</v>
      </c>
      <c r="D198" s="88"/>
      <c r="E198" s="88"/>
      <c r="F198" s="88"/>
      <c r="G198" s="88"/>
      <c r="H198" s="88"/>
      <c r="I198" s="86"/>
      <c r="J198" s="88"/>
      <c r="K198" s="38"/>
      <c r="L198" s="38"/>
      <c r="M198" s="38"/>
      <c r="N198" s="38"/>
    </row>
    <row r="199" spans="1:15" x14ac:dyDescent="0.3">
      <c r="A199" s="222"/>
      <c r="B199" s="38"/>
      <c r="C199" s="88">
        <v>5</v>
      </c>
      <c r="D199" s="88"/>
      <c r="E199" s="88"/>
      <c r="F199" s="88"/>
      <c r="G199" s="88"/>
      <c r="H199" s="88"/>
      <c r="I199" s="86"/>
      <c r="J199" s="88"/>
      <c r="K199" s="38"/>
      <c r="L199" s="38"/>
      <c r="M199" s="38"/>
      <c r="N199" s="38"/>
    </row>
    <row r="200" spans="1:15" x14ac:dyDescent="0.3">
      <c r="A200" s="222"/>
      <c r="B200" s="38"/>
      <c r="C200" s="88"/>
      <c r="D200" s="88"/>
      <c r="E200" s="88"/>
      <c r="F200" s="88"/>
      <c r="G200" s="88"/>
      <c r="H200" s="88"/>
      <c r="I200" s="86"/>
      <c r="J200" s="88"/>
      <c r="K200" s="38"/>
      <c r="L200" s="38"/>
      <c r="M200" s="38"/>
      <c r="N200" s="38"/>
    </row>
    <row r="201" spans="1:15" x14ac:dyDescent="0.3">
      <c r="A201" s="222"/>
      <c r="B201" s="38"/>
      <c r="C201" s="88"/>
      <c r="D201" s="88"/>
      <c r="E201" s="88"/>
      <c r="F201" s="88"/>
      <c r="G201" s="88"/>
      <c r="H201" s="88"/>
      <c r="I201" s="86"/>
      <c r="J201" s="88"/>
      <c r="K201" s="38"/>
      <c r="L201" s="38"/>
      <c r="M201" s="38"/>
      <c r="N201" s="38"/>
    </row>
    <row r="202" spans="1:15" x14ac:dyDescent="0.3">
      <c r="A202" s="222"/>
      <c r="B202" s="38"/>
      <c r="C202" s="88"/>
      <c r="D202" s="88"/>
      <c r="E202" s="88"/>
      <c r="F202" s="88"/>
      <c r="G202" s="88"/>
      <c r="H202" s="88"/>
      <c r="I202" s="86"/>
      <c r="J202" s="88"/>
      <c r="K202" s="38"/>
      <c r="L202" s="38"/>
      <c r="M202" s="38"/>
      <c r="N202" s="38"/>
    </row>
    <row r="203" spans="1:15" s="70" customFormat="1" x14ac:dyDescent="0.3">
      <c r="A203" s="221"/>
      <c r="B203" s="133"/>
      <c r="C203" s="133"/>
      <c r="D203" s="144"/>
      <c r="E203" s="144"/>
      <c r="F203" s="144"/>
      <c r="G203" s="144" t="s">
        <v>32</v>
      </c>
      <c r="H203" s="144" t="s">
        <v>162</v>
      </c>
      <c r="I203" s="132"/>
      <c r="J203" s="144"/>
      <c r="K203" s="133"/>
      <c r="L203" s="133"/>
      <c r="M203" s="133"/>
      <c r="N203" s="133"/>
    </row>
    <row r="204" spans="1:15" x14ac:dyDescent="0.3">
      <c r="A204" s="220"/>
      <c r="B204" s="38"/>
      <c r="C204" s="38"/>
      <c r="D204" s="158" t="s">
        <v>642</v>
      </c>
      <c r="E204" s="25"/>
      <c r="F204" s="157" t="s">
        <v>405</v>
      </c>
      <c r="G204" s="157">
        <f>G206</f>
        <v>0.5</v>
      </c>
      <c r="H204" s="157">
        <f>H206</f>
        <v>9.5399999999999991</v>
      </c>
      <c r="I204" s="158"/>
      <c r="J204" s="157"/>
      <c r="K204" s="38"/>
      <c r="L204" s="38"/>
      <c r="M204" s="38"/>
      <c r="N204" s="38"/>
    </row>
    <row r="205" spans="1:15" x14ac:dyDescent="0.3">
      <c r="A205" s="220"/>
      <c r="B205" s="38"/>
      <c r="C205" s="88">
        <v>1</v>
      </c>
      <c r="D205" s="88"/>
      <c r="F205" s="88"/>
      <c r="G205" s="166">
        <v>0.622</v>
      </c>
      <c r="H205" s="166">
        <v>9.6199999999999992</v>
      </c>
      <c r="I205" s="86" t="s">
        <v>641</v>
      </c>
      <c r="J205" s="88" t="s">
        <v>657</v>
      </c>
      <c r="K205" s="38"/>
      <c r="L205" s="38"/>
      <c r="M205" s="38"/>
      <c r="N205" s="38"/>
    </row>
    <row r="206" spans="1:15" x14ac:dyDescent="0.3">
      <c r="A206" s="220"/>
      <c r="B206" s="38"/>
      <c r="C206" s="88">
        <v>2</v>
      </c>
      <c r="D206" s="88"/>
      <c r="E206" s="88"/>
      <c r="F206" s="88"/>
      <c r="G206" s="252">
        <v>0.5</v>
      </c>
      <c r="H206" s="252">
        <v>9.5399999999999991</v>
      </c>
      <c r="I206" s="86" t="s">
        <v>870</v>
      </c>
      <c r="J206" s="88" t="s">
        <v>865</v>
      </c>
      <c r="K206" s="38"/>
      <c r="L206" s="38"/>
      <c r="M206" s="38"/>
      <c r="N206" s="38"/>
    </row>
    <row r="207" spans="1:15" x14ac:dyDescent="0.3">
      <c r="A207" s="220"/>
      <c r="B207" s="38"/>
      <c r="C207" s="88">
        <v>3</v>
      </c>
      <c r="D207" s="88"/>
      <c r="E207" s="88"/>
      <c r="F207" s="88"/>
      <c r="G207" s="88">
        <v>0.69299999999999995</v>
      </c>
      <c r="H207" s="88">
        <v>9.67</v>
      </c>
      <c r="I207" s="86" t="s">
        <v>870</v>
      </c>
      <c r="J207" s="88" t="s">
        <v>871</v>
      </c>
      <c r="K207" s="38"/>
      <c r="L207" s="38"/>
      <c r="M207" s="38"/>
      <c r="N207" s="38"/>
    </row>
    <row r="208" spans="1:15" x14ac:dyDescent="0.3">
      <c r="A208" s="220"/>
      <c r="B208" s="38"/>
      <c r="C208" s="88">
        <v>4</v>
      </c>
      <c r="D208" s="88"/>
      <c r="E208" s="88"/>
      <c r="F208" s="88"/>
      <c r="G208" s="88"/>
      <c r="H208" s="88"/>
      <c r="I208" s="86"/>
      <c r="J208" s="88"/>
      <c r="K208" s="38"/>
      <c r="L208" s="38"/>
      <c r="M208" s="38"/>
      <c r="N208" s="38"/>
    </row>
    <row r="209" spans="1:14" x14ac:dyDescent="0.3">
      <c r="A209" s="220"/>
      <c r="B209" s="38"/>
      <c r="C209" s="88">
        <v>5</v>
      </c>
      <c r="D209" s="88"/>
      <c r="E209" s="88"/>
      <c r="F209" s="88"/>
      <c r="G209" s="88"/>
      <c r="H209" s="88"/>
      <c r="I209" s="86"/>
      <c r="J209" s="88"/>
      <c r="K209" s="38"/>
      <c r="L209" s="38"/>
      <c r="M209" s="38"/>
      <c r="N209" s="38"/>
    </row>
    <row r="210" spans="1:14" x14ac:dyDescent="0.3">
      <c r="A210" s="220"/>
      <c r="B210" s="38"/>
      <c r="C210" s="38"/>
      <c r="D210" s="88"/>
      <c r="E210" s="88"/>
      <c r="F210" s="88"/>
      <c r="G210" s="88"/>
      <c r="H210" s="88"/>
      <c r="I210" s="86"/>
      <c r="J210" s="88"/>
      <c r="K210" s="38"/>
      <c r="L210" s="38"/>
      <c r="M210" s="38"/>
      <c r="N210" s="38"/>
    </row>
    <row r="211" spans="1:14" x14ac:dyDescent="0.3">
      <c r="A211" s="399" t="s">
        <v>659</v>
      </c>
      <c r="B211" s="38"/>
      <c r="C211" s="38"/>
      <c r="D211" s="158" t="s">
        <v>658</v>
      </c>
      <c r="E211" s="25"/>
      <c r="F211" s="157" t="s">
        <v>405</v>
      </c>
      <c r="G211" s="157">
        <f>G214</f>
        <v>0.24</v>
      </c>
      <c r="H211" s="157">
        <f>H214</f>
        <v>4.32</v>
      </c>
      <c r="I211" s="158"/>
      <c r="J211" s="157"/>
      <c r="K211" s="38"/>
      <c r="L211" s="38"/>
      <c r="M211" s="38"/>
      <c r="N211" s="38"/>
    </row>
    <row r="212" spans="1:14" x14ac:dyDescent="0.3">
      <c r="A212" s="399"/>
      <c r="B212" s="38"/>
      <c r="C212" s="88">
        <v>1</v>
      </c>
      <c r="D212" s="88"/>
      <c r="F212" s="88"/>
      <c r="G212" s="166">
        <v>0.26800000000000002</v>
      </c>
      <c r="H212" s="166">
        <v>3.99</v>
      </c>
      <c r="I212" s="86" t="s">
        <v>655</v>
      </c>
      <c r="J212" s="88" t="s">
        <v>657</v>
      </c>
      <c r="K212" s="38"/>
      <c r="L212" s="38"/>
      <c r="M212" s="38"/>
      <c r="N212" s="38"/>
    </row>
    <row r="213" spans="1:14" x14ac:dyDescent="0.3">
      <c r="A213" s="399"/>
      <c r="B213" s="38"/>
      <c r="C213" s="88">
        <v>2</v>
      </c>
      <c r="D213" s="88"/>
      <c r="E213" s="88"/>
      <c r="F213" s="88"/>
      <c r="G213" s="88"/>
      <c r="H213" s="166"/>
      <c r="I213" s="86"/>
      <c r="J213" s="88"/>
      <c r="K213" s="38"/>
      <c r="L213" s="205" t="s">
        <v>656</v>
      </c>
      <c r="M213" s="38"/>
      <c r="N213" s="38"/>
    </row>
    <row r="214" spans="1:14" x14ac:dyDescent="0.3">
      <c r="A214" s="399"/>
      <c r="B214" s="38"/>
      <c r="C214" s="88">
        <v>3</v>
      </c>
      <c r="D214" s="88"/>
      <c r="E214" s="88"/>
      <c r="F214" s="88"/>
      <c r="G214" s="252">
        <v>0.24</v>
      </c>
      <c r="H214" s="252">
        <v>4.32</v>
      </c>
      <c r="I214" s="86" t="s">
        <v>655</v>
      </c>
      <c r="J214" s="88" t="s">
        <v>654</v>
      </c>
      <c r="K214" s="38"/>
      <c r="L214" s="38"/>
      <c r="M214" s="38"/>
      <c r="N214" s="38"/>
    </row>
    <row r="215" spans="1:14" x14ac:dyDescent="0.3">
      <c r="A215" s="399"/>
      <c r="B215" s="38"/>
      <c r="C215" s="88">
        <v>4</v>
      </c>
      <c r="D215" s="88"/>
      <c r="E215" s="88"/>
      <c r="F215" s="88"/>
      <c r="G215" s="88"/>
      <c r="H215" s="88"/>
      <c r="I215" s="86"/>
      <c r="J215" s="88"/>
      <c r="K215" s="38"/>
      <c r="L215" s="38"/>
      <c r="M215" s="38"/>
      <c r="N215" s="38"/>
    </row>
    <row r="216" spans="1:14" x14ac:dyDescent="0.3">
      <c r="A216" s="399"/>
      <c r="B216" s="38"/>
      <c r="C216" s="88">
        <v>5</v>
      </c>
      <c r="D216" s="88"/>
      <c r="E216" s="88"/>
      <c r="F216" s="88"/>
      <c r="G216" s="88"/>
      <c r="H216" s="88"/>
      <c r="I216" s="86"/>
      <c r="J216" s="88"/>
      <c r="K216" s="38"/>
      <c r="L216" s="38"/>
      <c r="M216" s="38"/>
      <c r="N216" s="38"/>
    </row>
    <row r="217" spans="1:14" x14ac:dyDescent="0.3">
      <c r="A217" s="399"/>
      <c r="B217" s="38"/>
      <c r="C217" s="38"/>
      <c r="D217" s="88"/>
      <c r="E217" s="88"/>
      <c r="F217" s="88"/>
      <c r="G217" s="88"/>
      <c r="H217" s="88"/>
      <c r="I217" s="86"/>
      <c r="J217" s="88"/>
      <c r="K217" s="38"/>
      <c r="L217" s="38"/>
      <c r="M217" s="38"/>
      <c r="N217" s="38"/>
    </row>
    <row r="218" spans="1:14" x14ac:dyDescent="0.3">
      <c r="A218" s="399"/>
      <c r="B218" s="38"/>
      <c r="C218" s="38"/>
      <c r="D218" s="158" t="s">
        <v>653</v>
      </c>
      <c r="E218" s="25"/>
      <c r="F218" s="157" t="s">
        <v>405</v>
      </c>
      <c r="G218" s="157">
        <f>G219</f>
        <v>0.49</v>
      </c>
      <c r="H218" s="157"/>
      <c r="I218" s="158" t="s">
        <v>652</v>
      </c>
      <c r="J218" s="157"/>
      <c r="K218" s="38"/>
      <c r="L218" s="38"/>
      <c r="M218" s="38"/>
      <c r="N218" s="38"/>
    </row>
    <row r="219" spans="1:14" x14ac:dyDescent="0.3">
      <c r="A219" s="399"/>
      <c r="B219" s="38"/>
      <c r="C219" s="88">
        <v>1</v>
      </c>
      <c r="D219" s="88"/>
      <c r="F219" s="88"/>
      <c r="G219" s="110">
        <v>0.49</v>
      </c>
      <c r="H219" s="110"/>
      <c r="I219" s="86" t="s">
        <v>874</v>
      </c>
      <c r="J219" s="88"/>
      <c r="K219" s="38"/>
      <c r="L219" s="38"/>
      <c r="M219" s="38"/>
      <c r="N219" s="38"/>
    </row>
    <row r="220" spans="1:14" x14ac:dyDescent="0.3">
      <c r="A220" s="399"/>
      <c r="B220" s="38"/>
      <c r="C220" s="88">
        <v>2</v>
      </c>
      <c r="D220" s="88"/>
      <c r="E220" s="88"/>
      <c r="F220" s="88"/>
      <c r="G220" s="88"/>
      <c r="H220" s="88"/>
      <c r="I220" s="86"/>
      <c r="J220" s="88"/>
      <c r="K220" s="38"/>
      <c r="L220" s="38"/>
      <c r="M220" s="38"/>
      <c r="N220" s="38"/>
    </row>
    <row r="221" spans="1:14" x14ac:dyDescent="0.3">
      <c r="A221" s="399"/>
      <c r="B221" s="38"/>
      <c r="C221" s="88">
        <v>3</v>
      </c>
      <c r="D221" s="88"/>
      <c r="E221" s="88"/>
      <c r="F221" s="88"/>
      <c r="G221" s="88"/>
      <c r="H221" s="88"/>
      <c r="I221" s="86"/>
      <c r="J221" s="88"/>
      <c r="K221" s="38"/>
      <c r="L221" s="38"/>
      <c r="M221" s="38"/>
      <c r="N221" s="38"/>
    </row>
    <row r="222" spans="1:14" x14ac:dyDescent="0.3">
      <c r="A222" s="399"/>
      <c r="B222" s="38"/>
      <c r="C222" s="88">
        <v>4</v>
      </c>
      <c r="D222" s="88"/>
      <c r="E222" s="88"/>
      <c r="F222" s="88"/>
      <c r="G222" s="88"/>
      <c r="H222" s="88"/>
      <c r="I222" s="86"/>
      <c r="J222" s="88"/>
      <c r="K222" s="38"/>
      <c r="L222" s="38"/>
      <c r="M222" s="38"/>
      <c r="N222" s="38"/>
    </row>
    <row r="223" spans="1:14" x14ac:dyDescent="0.3">
      <c r="A223" s="399"/>
      <c r="B223" s="38"/>
      <c r="C223" s="88">
        <v>5</v>
      </c>
      <c r="D223" s="88"/>
      <c r="E223" s="88"/>
      <c r="F223" s="88"/>
      <c r="G223" s="88"/>
      <c r="H223" s="88"/>
      <c r="I223" s="86"/>
      <c r="J223" s="88"/>
      <c r="K223" s="38"/>
      <c r="L223" s="38"/>
      <c r="M223" s="38"/>
      <c r="N223" s="38"/>
    </row>
    <row r="224" spans="1:14" x14ac:dyDescent="0.3">
      <c r="A224" s="399"/>
      <c r="B224" s="38"/>
      <c r="C224" s="38"/>
      <c r="D224" s="88"/>
      <c r="E224" s="88"/>
      <c r="F224" s="88"/>
      <c r="G224" s="88"/>
      <c r="H224" s="88"/>
      <c r="I224" s="86"/>
      <c r="J224" s="88"/>
      <c r="K224" s="38"/>
      <c r="L224" s="38"/>
      <c r="M224" s="38"/>
      <c r="N224" s="38"/>
    </row>
    <row r="225" spans="1:14" x14ac:dyDescent="0.3">
      <c r="A225" s="399"/>
      <c r="B225" s="38"/>
      <c r="C225" s="38"/>
      <c r="D225" s="158" t="s">
        <v>651</v>
      </c>
      <c r="E225" s="25"/>
      <c r="F225" s="157" t="s">
        <v>405</v>
      </c>
      <c r="G225" s="157">
        <f>G227</f>
        <v>1.6</v>
      </c>
      <c r="H225" s="157">
        <f>H227</f>
        <v>27.8</v>
      </c>
      <c r="I225" s="158"/>
      <c r="J225" s="157"/>
      <c r="K225" s="38"/>
      <c r="L225" s="38"/>
      <c r="M225" s="38"/>
      <c r="N225" s="38"/>
    </row>
    <row r="226" spans="1:14" x14ac:dyDescent="0.3">
      <c r="A226" s="399"/>
      <c r="B226" s="38"/>
      <c r="C226" s="88">
        <v>1</v>
      </c>
      <c r="D226" s="88"/>
      <c r="F226" s="88"/>
      <c r="G226" s="166">
        <v>1.6</v>
      </c>
      <c r="H226" s="166"/>
      <c r="I226" s="86" t="s">
        <v>12</v>
      </c>
      <c r="J226" s="88"/>
      <c r="K226" s="38"/>
      <c r="L226" s="38"/>
      <c r="M226" s="38"/>
      <c r="N226" s="38"/>
    </row>
    <row r="227" spans="1:14" x14ac:dyDescent="0.3">
      <c r="A227" s="399"/>
      <c r="B227" s="38"/>
      <c r="C227" s="88">
        <v>2</v>
      </c>
      <c r="D227" s="88" t="s">
        <v>869</v>
      </c>
      <c r="E227" s="88"/>
      <c r="F227" s="88"/>
      <c r="G227" s="252">
        <v>1.6</v>
      </c>
      <c r="H227" s="252">
        <v>27.8</v>
      </c>
      <c r="I227" s="86" t="s">
        <v>868</v>
      </c>
      <c r="J227" s="88" t="s">
        <v>867</v>
      </c>
      <c r="K227" s="38" t="s">
        <v>1334</v>
      </c>
      <c r="L227" s="38"/>
      <c r="M227" s="38"/>
      <c r="N227" s="38"/>
    </row>
    <row r="228" spans="1:14" x14ac:dyDescent="0.3">
      <c r="A228" s="399"/>
      <c r="B228" s="38"/>
      <c r="C228" s="88">
        <v>3</v>
      </c>
      <c r="D228" s="88"/>
      <c r="E228" s="88"/>
      <c r="F228" s="88"/>
      <c r="G228" s="88"/>
      <c r="H228" s="166">
        <v>2.2200000000000002</v>
      </c>
      <c r="I228" s="86" t="s">
        <v>650</v>
      </c>
      <c r="J228" s="204" t="s">
        <v>649</v>
      </c>
      <c r="K228" s="38"/>
      <c r="L228" s="38"/>
      <c r="M228" s="38"/>
      <c r="N228" s="38"/>
    </row>
    <row r="229" spans="1:14" x14ac:dyDescent="0.3">
      <c r="A229" s="399"/>
      <c r="B229" s="38"/>
      <c r="C229" s="88">
        <v>4</v>
      </c>
      <c r="D229" s="88"/>
      <c r="E229" s="88"/>
      <c r="F229" s="88"/>
      <c r="G229" s="88"/>
      <c r="H229" s="166">
        <v>30.3</v>
      </c>
      <c r="I229" s="86" t="s">
        <v>648</v>
      </c>
      <c r="J229" s="88" t="s">
        <v>511</v>
      </c>
      <c r="K229" s="38"/>
      <c r="L229" s="38"/>
      <c r="M229" s="38"/>
      <c r="N229" s="38"/>
    </row>
    <row r="230" spans="1:14" x14ac:dyDescent="0.3">
      <c r="A230" s="399"/>
      <c r="B230" s="38"/>
      <c r="C230" s="88">
        <v>5</v>
      </c>
      <c r="D230" s="88"/>
      <c r="E230" s="88"/>
      <c r="F230" s="88"/>
      <c r="G230" s="88"/>
      <c r="H230" s="166">
        <v>29.9</v>
      </c>
      <c r="I230" s="86" t="s">
        <v>647</v>
      </c>
      <c r="J230" s="88" t="s">
        <v>607</v>
      </c>
      <c r="K230" s="38"/>
      <c r="L230" s="38"/>
      <c r="M230" s="38"/>
      <c r="N230" s="38"/>
    </row>
    <row r="231" spans="1:14" x14ac:dyDescent="0.3">
      <c r="A231" s="399"/>
      <c r="B231" s="38"/>
      <c r="C231" s="38"/>
      <c r="D231" s="88"/>
      <c r="E231" s="88"/>
      <c r="F231" s="88"/>
      <c r="G231" s="88"/>
      <c r="H231" s="166">
        <v>28.1</v>
      </c>
      <c r="I231" s="86" t="s">
        <v>646</v>
      </c>
      <c r="J231" s="88" t="s">
        <v>645</v>
      </c>
      <c r="K231" s="38"/>
      <c r="L231" s="38"/>
      <c r="M231" s="38"/>
      <c r="N231" s="38"/>
    </row>
    <row r="232" spans="1:14" x14ac:dyDescent="0.3">
      <c r="A232" s="399"/>
      <c r="B232" s="38"/>
      <c r="C232" s="38"/>
      <c r="D232" s="158" t="s">
        <v>644</v>
      </c>
      <c r="E232" s="25"/>
      <c r="F232" s="157" t="s">
        <v>405</v>
      </c>
      <c r="G232" s="157">
        <f>G234</f>
        <v>2.23</v>
      </c>
      <c r="H232" s="157">
        <f>H234</f>
        <v>37.6</v>
      </c>
      <c r="I232" s="158"/>
      <c r="J232" s="157"/>
      <c r="K232" s="38"/>
      <c r="L232" s="38"/>
      <c r="M232" s="38"/>
      <c r="N232" s="38"/>
    </row>
    <row r="233" spans="1:14" x14ac:dyDescent="0.3">
      <c r="A233" s="399"/>
      <c r="B233" s="38"/>
      <c r="C233" s="88">
        <v>1</v>
      </c>
      <c r="D233" s="88"/>
      <c r="F233" s="88"/>
      <c r="G233" s="166">
        <v>2.59</v>
      </c>
      <c r="H233" s="166">
        <v>37.9</v>
      </c>
      <c r="I233" s="95" t="s">
        <v>866</v>
      </c>
      <c r="J233" s="88" t="s">
        <v>525</v>
      </c>
      <c r="K233" s="38" t="s">
        <v>1334</v>
      </c>
      <c r="L233" s="38"/>
      <c r="M233" s="38"/>
      <c r="N233" s="38"/>
    </row>
    <row r="234" spans="1:14" x14ac:dyDescent="0.3">
      <c r="A234" s="399"/>
      <c r="B234" s="38"/>
      <c r="C234" s="88">
        <v>2</v>
      </c>
      <c r="D234" s="88" t="s">
        <v>869</v>
      </c>
      <c r="E234" s="88"/>
      <c r="F234" s="88"/>
      <c r="G234" s="252">
        <v>2.23</v>
      </c>
      <c r="H234" s="252">
        <v>37.6</v>
      </c>
      <c r="I234" s="86" t="s">
        <v>866</v>
      </c>
      <c r="J234" s="88" t="s">
        <v>867</v>
      </c>
      <c r="K234" s="38"/>
      <c r="L234" s="38"/>
      <c r="M234" s="38"/>
      <c r="N234" s="38"/>
    </row>
    <row r="235" spans="1:14" x14ac:dyDescent="0.3">
      <c r="A235" s="399"/>
      <c r="B235" s="38"/>
      <c r="C235" s="88">
        <v>3</v>
      </c>
      <c r="D235" s="88"/>
      <c r="E235" s="88"/>
      <c r="F235" s="88"/>
      <c r="G235" s="88"/>
      <c r="H235" s="88"/>
      <c r="I235" s="86"/>
      <c r="J235" s="88"/>
      <c r="K235" s="38"/>
      <c r="L235" s="38"/>
      <c r="M235" s="38"/>
      <c r="N235" s="38"/>
    </row>
    <row r="236" spans="1:14" x14ac:dyDescent="0.3">
      <c r="A236" s="399"/>
      <c r="B236" s="38"/>
      <c r="C236" s="88">
        <v>4</v>
      </c>
      <c r="D236" s="88"/>
      <c r="E236" s="88"/>
      <c r="F236" s="88"/>
      <c r="G236" s="88"/>
      <c r="H236" s="88"/>
      <c r="I236" s="86"/>
      <c r="J236" s="88"/>
      <c r="K236" s="38"/>
      <c r="L236" s="38"/>
      <c r="M236" s="38"/>
      <c r="N236" s="38"/>
    </row>
    <row r="237" spans="1:14" x14ac:dyDescent="0.3">
      <c r="A237" s="399"/>
      <c r="B237" s="38"/>
      <c r="C237" s="88">
        <v>5</v>
      </c>
      <c r="D237" s="88"/>
      <c r="E237" s="88"/>
      <c r="F237" s="88"/>
      <c r="G237" s="88"/>
      <c r="H237" s="88"/>
      <c r="I237" s="86"/>
      <c r="J237" s="88"/>
      <c r="K237" s="38"/>
      <c r="L237" s="38"/>
      <c r="M237" s="38"/>
      <c r="N237" s="38"/>
    </row>
    <row r="238" spans="1:14" x14ac:dyDescent="0.3">
      <c r="A238" s="399"/>
      <c r="B238" s="38"/>
      <c r="C238" s="38"/>
      <c r="D238" s="88"/>
      <c r="E238" s="88"/>
      <c r="F238" s="88"/>
      <c r="G238" s="88"/>
      <c r="H238" s="88"/>
      <c r="I238" s="86"/>
      <c r="J238" s="88"/>
      <c r="K238" s="38"/>
      <c r="L238" s="38"/>
      <c r="M238" s="38"/>
      <c r="N238" s="38"/>
    </row>
    <row r="239" spans="1:14" x14ac:dyDescent="0.3">
      <c r="A239" s="399"/>
      <c r="B239" s="38"/>
      <c r="C239" s="38"/>
      <c r="D239" s="158" t="s">
        <v>643</v>
      </c>
      <c r="E239" s="25"/>
      <c r="F239" s="157" t="s">
        <v>405</v>
      </c>
      <c r="G239" s="157">
        <f>G241</f>
        <v>0.31900000000000001</v>
      </c>
      <c r="H239" s="157">
        <f>H241</f>
        <v>3.49</v>
      </c>
      <c r="I239" s="158"/>
      <c r="J239" s="157"/>
      <c r="K239" s="38"/>
      <c r="L239" s="38"/>
      <c r="M239" s="38"/>
      <c r="N239" s="38"/>
    </row>
    <row r="240" spans="1:14" x14ac:dyDescent="0.3">
      <c r="A240" s="399"/>
      <c r="B240" s="38"/>
      <c r="C240" s="88">
        <v>1</v>
      </c>
      <c r="D240" s="88"/>
      <c r="F240" s="88"/>
      <c r="G240" s="166">
        <v>0.33400000000000002</v>
      </c>
      <c r="H240" s="166">
        <v>3.42</v>
      </c>
      <c r="I240" s="86" t="s">
        <v>872</v>
      </c>
      <c r="J240" s="88" t="s">
        <v>525</v>
      </c>
      <c r="K240" s="38"/>
      <c r="L240" s="38"/>
      <c r="M240" s="38"/>
      <c r="N240" s="38"/>
    </row>
    <row r="241" spans="1:14" x14ac:dyDescent="0.3">
      <c r="A241" s="399"/>
      <c r="B241" s="38"/>
      <c r="C241" s="88">
        <v>2</v>
      </c>
      <c r="D241" s="88" t="s">
        <v>869</v>
      </c>
      <c r="E241" s="88"/>
      <c r="F241" s="88"/>
      <c r="G241" s="252">
        <v>0.31900000000000001</v>
      </c>
      <c r="H241" s="252">
        <v>3.49</v>
      </c>
      <c r="I241" s="86" t="s">
        <v>872</v>
      </c>
      <c r="J241" s="88" t="s">
        <v>865</v>
      </c>
      <c r="K241" s="38"/>
      <c r="L241" s="38"/>
      <c r="M241" s="38"/>
      <c r="N241" s="38"/>
    </row>
    <row r="242" spans="1:14" x14ac:dyDescent="0.3">
      <c r="A242" s="399"/>
      <c r="B242" s="38"/>
      <c r="C242" s="88">
        <v>3</v>
      </c>
      <c r="D242" s="88"/>
      <c r="E242" s="88"/>
      <c r="F242" s="88"/>
      <c r="G242" s="88"/>
      <c r="H242" s="88"/>
      <c r="I242" s="86"/>
      <c r="J242" s="88"/>
      <c r="K242" s="38"/>
      <c r="L242" s="38"/>
      <c r="M242" s="38"/>
      <c r="N242" s="38"/>
    </row>
    <row r="243" spans="1:14" x14ac:dyDescent="0.3">
      <c r="A243" s="399"/>
      <c r="B243" s="38"/>
      <c r="C243" s="88">
        <v>4</v>
      </c>
      <c r="D243" s="88"/>
      <c r="E243" s="88"/>
      <c r="F243" s="88"/>
      <c r="G243" s="88"/>
      <c r="H243" s="88"/>
      <c r="I243" s="86"/>
      <c r="J243" s="88"/>
      <c r="K243" s="38"/>
      <c r="L243" s="38"/>
      <c r="M243" s="38"/>
      <c r="N243" s="38"/>
    </row>
    <row r="244" spans="1:14" x14ac:dyDescent="0.3">
      <c r="A244" s="399"/>
      <c r="B244" s="38"/>
      <c r="C244" s="88">
        <v>5</v>
      </c>
      <c r="D244" s="88"/>
      <c r="E244" s="88"/>
      <c r="F244" s="88"/>
      <c r="G244" s="88"/>
      <c r="H244" s="88"/>
      <c r="I244" s="86"/>
      <c r="J244" s="88"/>
      <c r="K244" s="38"/>
      <c r="L244" s="38"/>
      <c r="M244" s="38"/>
      <c r="N244" s="38"/>
    </row>
    <row r="245" spans="1:14" x14ac:dyDescent="0.3">
      <c r="A245" s="399"/>
      <c r="B245" s="38"/>
      <c r="C245" s="38"/>
      <c r="D245" s="88"/>
      <c r="E245" s="88"/>
      <c r="F245" s="88"/>
      <c r="G245" s="88"/>
      <c r="H245" s="88"/>
      <c r="I245" s="86"/>
      <c r="J245" s="88"/>
      <c r="K245" s="38"/>
      <c r="L245" s="38"/>
      <c r="M245" s="38"/>
      <c r="N245" s="38"/>
    </row>
    <row r="246" spans="1:14" x14ac:dyDescent="0.3">
      <c r="A246" s="399"/>
      <c r="C246" s="38"/>
      <c r="D246" s="158" t="s">
        <v>636</v>
      </c>
      <c r="E246" s="25"/>
      <c r="F246" s="157" t="s">
        <v>405</v>
      </c>
      <c r="G246" s="157">
        <f>G248</f>
        <v>0.14899999999999999</v>
      </c>
      <c r="H246" s="157">
        <f>H248</f>
        <v>2.58</v>
      </c>
      <c r="I246" s="158"/>
      <c r="J246" s="157"/>
      <c r="K246" s="38"/>
      <c r="L246" s="38"/>
      <c r="M246" s="38"/>
      <c r="N246" s="38"/>
    </row>
    <row r="247" spans="1:14" x14ac:dyDescent="0.3">
      <c r="A247" s="399"/>
      <c r="C247" s="88">
        <v>1</v>
      </c>
      <c r="D247" s="88"/>
      <c r="F247" s="88" t="s">
        <v>635</v>
      </c>
      <c r="G247" s="88">
        <v>0.158</v>
      </c>
      <c r="H247" s="88">
        <v>2.4900000000000002</v>
      </c>
      <c r="I247" s="86" t="s">
        <v>634</v>
      </c>
      <c r="J247" s="88" t="s">
        <v>511</v>
      </c>
      <c r="K247" s="38"/>
      <c r="L247" s="38"/>
      <c r="M247" s="38"/>
      <c r="N247" s="38"/>
    </row>
    <row r="248" spans="1:14" x14ac:dyDescent="0.3">
      <c r="A248" s="399"/>
      <c r="C248" s="88">
        <v>2</v>
      </c>
      <c r="D248" s="88"/>
      <c r="E248" s="88"/>
      <c r="F248" s="88" t="s">
        <v>635</v>
      </c>
      <c r="G248" s="252">
        <v>0.14899999999999999</v>
      </c>
      <c r="H248" s="252">
        <v>2.58</v>
      </c>
      <c r="I248" s="86" t="s">
        <v>634</v>
      </c>
      <c r="J248" s="88" t="s">
        <v>873</v>
      </c>
      <c r="K248" s="38"/>
      <c r="L248" s="38"/>
      <c r="M248" s="38"/>
      <c r="N248" s="38"/>
    </row>
    <row r="249" spans="1:14" x14ac:dyDescent="0.3">
      <c r="A249" s="399"/>
      <c r="C249" s="88">
        <v>3</v>
      </c>
      <c r="D249" s="88"/>
      <c r="E249" s="88"/>
      <c r="F249" s="88"/>
      <c r="G249" s="88"/>
      <c r="H249" s="88"/>
      <c r="I249" s="86"/>
      <c r="J249" s="88"/>
      <c r="K249" s="38"/>
      <c r="L249" s="38"/>
      <c r="M249" s="38"/>
      <c r="N249" s="38"/>
    </row>
    <row r="250" spans="1:14" x14ac:dyDescent="0.3">
      <c r="A250" s="399"/>
      <c r="C250" s="88">
        <v>4</v>
      </c>
      <c r="D250" s="88"/>
      <c r="E250" s="88"/>
      <c r="F250" s="88"/>
      <c r="G250" s="88"/>
      <c r="H250" s="88"/>
      <c r="I250" s="86"/>
      <c r="J250" s="88"/>
      <c r="K250" s="38"/>
      <c r="L250" s="38"/>
      <c r="M250" s="38"/>
      <c r="N250" s="38"/>
    </row>
    <row r="251" spans="1:14" x14ac:dyDescent="0.3">
      <c r="A251" s="399"/>
      <c r="C251" s="88">
        <v>5</v>
      </c>
      <c r="D251" s="88"/>
      <c r="E251" s="88"/>
      <c r="F251" s="88"/>
      <c r="G251" s="88"/>
      <c r="H251" s="88"/>
      <c r="I251" s="86"/>
      <c r="J251" s="88"/>
      <c r="K251" s="38"/>
      <c r="L251" s="38"/>
      <c r="M251" s="38"/>
      <c r="N251" s="38"/>
    </row>
    <row r="252" spans="1:14" x14ac:dyDescent="0.3">
      <c r="A252" s="399"/>
      <c r="B252" s="38"/>
      <c r="C252" s="38"/>
      <c r="D252" s="88"/>
      <c r="E252" s="88"/>
      <c r="F252" s="88"/>
      <c r="G252" s="88"/>
      <c r="H252" s="88"/>
      <c r="I252" s="86"/>
      <c r="J252" s="88"/>
      <c r="K252" s="38"/>
      <c r="L252" s="38"/>
      <c r="M252" s="38"/>
      <c r="N252" s="38"/>
    </row>
    <row r="253" spans="1:14" x14ac:dyDescent="0.3">
      <c r="A253" s="399"/>
      <c r="B253" s="38"/>
      <c r="C253" s="88"/>
      <c r="D253" s="157" t="s">
        <v>109</v>
      </c>
      <c r="E253" s="179"/>
      <c r="F253" s="157" t="s">
        <v>405</v>
      </c>
      <c r="G253" s="179">
        <f>G255</f>
        <v>5.0999999999999996</v>
      </c>
      <c r="H253" s="179">
        <f>H255</f>
        <v>89.3</v>
      </c>
      <c r="I253" s="180"/>
      <c r="J253" s="179"/>
      <c r="K253" s="38"/>
      <c r="L253" s="38"/>
      <c r="M253" s="38"/>
      <c r="N253" s="38"/>
    </row>
    <row r="254" spans="1:14" x14ac:dyDescent="0.3">
      <c r="A254" s="399"/>
      <c r="B254" s="38"/>
      <c r="C254" s="88">
        <v>1</v>
      </c>
      <c r="D254" s="88" t="s">
        <v>485</v>
      </c>
      <c r="E254" s="88"/>
      <c r="F254" s="178" t="s">
        <v>484</v>
      </c>
      <c r="G254" s="177">
        <v>5.6</v>
      </c>
      <c r="H254" s="177">
        <v>89.3</v>
      </c>
      <c r="I254" s="176" t="s">
        <v>483</v>
      </c>
      <c r="J254" s="88" t="s">
        <v>482</v>
      </c>
      <c r="K254" s="38" t="s">
        <v>481</v>
      </c>
      <c r="L254" s="38"/>
      <c r="M254" s="38"/>
      <c r="N254" s="38"/>
    </row>
    <row r="255" spans="1:14" x14ac:dyDescent="0.3">
      <c r="A255" s="399"/>
      <c r="B255" s="38"/>
      <c r="C255" s="88"/>
      <c r="D255" s="88"/>
      <c r="E255" s="88"/>
      <c r="F255" s="88" t="s">
        <v>484</v>
      </c>
      <c r="G255" s="252">
        <v>5.0999999999999996</v>
      </c>
      <c r="H255" s="252">
        <v>89.3</v>
      </c>
      <c r="I255" s="86" t="s">
        <v>1115</v>
      </c>
      <c r="J255" s="88" t="s">
        <v>873</v>
      </c>
      <c r="K255" s="38"/>
      <c r="L255" s="38"/>
      <c r="M255" s="38"/>
      <c r="N255" s="38"/>
    </row>
    <row r="256" spans="1:14" x14ac:dyDescent="0.3">
      <c r="A256" s="399"/>
      <c r="B256" s="38"/>
      <c r="C256" s="88">
        <v>3</v>
      </c>
      <c r="D256" s="88"/>
      <c r="E256" s="88"/>
      <c r="F256" s="88"/>
      <c r="G256" s="88"/>
      <c r="H256" s="88"/>
      <c r="I256" s="86"/>
      <c r="J256" s="88"/>
      <c r="K256" s="38"/>
      <c r="L256" s="38"/>
      <c r="M256" s="38"/>
      <c r="N256" s="38"/>
    </row>
    <row r="257" spans="1:13" x14ac:dyDescent="0.3">
      <c r="A257" s="399"/>
      <c r="B257" s="38"/>
      <c r="C257" s="88">
        <v>4</v>
      </c>
      <c r="D257" s="88"/>
      <c r="E257" s="88"/>
      <c r="F257" s="88"/>
      <c r="G257" s="88"/>
      <c r="H257" s="88"/>
      <c r="I257" s="86"/>
      <c r="J257" s="88"/>
      <c r="K257" s="38"/>
      <c r="L257" s="38"/>
      <c r="M257" s="38"/>
    </row>
    <row r="258" spans="1:13" x14ac:dyDescent="0.3">
      <c r="A258" s="399"/>
      <c r="B258" s="38"/>
      <c r="C258" s="88">
        <v>5</v>
      </c>
      <c r="D258" s="88"/>
      <c r="E258" s="88"/>
      <c r="F258" s="88"/>
      <c r="G258" s="88"/>
      <c r="H258" s="88"/>
      <c r="I258" s="86"/>
      <c r="J258" s="88"/>
      <c r="K258" s="38"/>
      <c r="L258" s="38"/>
      <c r="M258" s="38"/>
    </row>
    <row r="259" spans="1:13" x14ac:dyDescent="0.3">
      <c r="A259" s="399"/>
      <c r="B259" s="38"/>
      <c r="C259" s="38"/>
      <c r="D259" s="158" t="s">
        <v>640</v>
      </c>
      <c r="E259" s="25"/>
      <c r="F259" s="157" t="s">
        <v>405</v>
      </c>
      <c r="G259" s="157">
        <f>G261</f>
        <v>2.23</v>
      </c>
      <c r="H259" s="157">
        <f>H261</f>
        <v>37.9</v>
      </c>
      <c r="I259" s="158"/>
      <c r="J259" s="157"/>
      <c r="K259" s="38" t="s">
        <v>1334</v>
      </c>
      <c r="L259" s="38"/>
      <c r="M259" s="38"/>
    </row>
    <row r="260" spans="1:13" x14ac:dyDescent="0.3">
      <c r="A260" s="399"/>
      <c r="B260" s="38"/>
      <c r="C260" s="88">
        <v>1</v>
      </c>
      <c r="D260" s="88"/>
      <c r="F260" s="88"/>
      <c r="G260" s="166">
        <v>2.59</v>
      </c>
      <c r="H260" s="166">
        <v>38.200000000000003</v>
      </c>
      <c r="I260" s="86" t="s">
        <v>639</v>
      </c>
      <c r="J260" s="88" t="s">
        <v>638</v>
      </c>
      <c r="K260" s="38"/>
      <c r="L260" s="38"/>
      <c r="M260" s="38"/>
    </row>
    <row r="261" spans="1:13" x14ac:dyDescent="0.3">
      <c r="A261" s="399"/>
      <c r="B261" s="38"/>
      <c r="C261" s="88">
        <v>2</v>
      </c>
      <c r="D261" s="88"/>
      <c r="E261" s="88"/>
      <c r="F261" s="88"/>
      <c r="G261" s="252">
        <v>2.23</v>
      </c>
      <c r="H261" s="252">
        <v>37.9</v>
      </c>
      <c r="I261" s="86" t="s">
        <v>637</v>
      </c>
      <c r="J261" s="88" t="s">
        <v>654</v>
      </c>
      <c r="K261" s="38"/>
      <c r="L261" s="38"/>
      <c r="M261" s="38"/>
    </row>
    <row r="262" spans="1:13" x14ac:dyDescent="0.3">
      <c r="A262" s="399"/>
      <c r="B262" s="38"/>
      <c r="C262" s="88">
        <v>3</v>
      </c>
      <c r="D262" s="88"/>
      <c r="E262" s="88"/>
      <c r="F262" s="88"/>
      <c r="G262" s="88"/>
      <c r="H262" s="88"/>
      <c r="I262" s="86"/>
      <c r="J262" s="88"/>
      <c r="K262" s="38"/>
      <c r="L262" s="38"/>
      <c r="M262" s="38"/>
    </row>
    <row r="263" spans="1:13" x14ac:dyDescent="0.3">
      <c r="A263" s="399"/>
      <c r="B263" s="38"/>
      <c r="C263" s="88">
        <v>4</v>
      </c>
      <c r="D263" s="88"/>
      <c r="E263" s="88"/>
      <c r="F263" s="88"/>
      <c r="G263" s="88"/>
      <c r="H263" s="88"/>
      <c r="I263" s="86"/>
      <c r="J263" s="88"/>
      <c r="K263" s="38"/>
      <c r="L263" s="38"/>
      <c r="M263" s="38"/>
    </row>
    <row r="264" spans="1:13" x14ac:dyDescent="0.3">
      <c r="A264" s="399"/>
      <c r="B264" s="38"/>
      <c r="C264" s="88">
        <v>5</v>
      </c>
      <c r="D264" s="88"/>
      <c r="E264" s="88"/>
      <c r="F264" s="88"/>
      <c r="G264" s="88"/>
      <c r="H264" s="88"/>
      <c r="I264" s="86"/>
      <c r="J264" s="88"/>
      <c r="K264" s="38"/>
      <c r="L264" s="38"/>
      <c r="M264" s="38"/>
    </row>
    <row r="265" spans="1:13" x14ac:dyDescent="0.3">
      <c r="A265" s="399"/>
      <c r="B265" s="38"/>
      <c r="K265" s="38"/>
      <c r="L265" s="38"/>
      <c r="M265" s="38"/>
    </row>
    <row r="266" spans="1:13" x14ac:dyDescent="0.3">
      <c r="A266" s="399"/>
      <c r="B266" s="253"/>
      <c r="C266" s="38"/>
      <c r="D266" s="158" t="s">
        <v>863</v>
      </c>
      <c r="E266" s="25"/>
      <c r="F266" s="157" t="s">
        <v>405</v>
      </c>
      <c r="G266" s="157">
        <f>G267</f>
        <v>3.53</v>
      </c>
      <c r="H266" s="157">
        <f>H267</f>
        <v>49.7</v>
      </c>
      <c r="I266" s="158"/>
      <c r="J266" s="157"/>
      <c r="K266" s="38"/>
      <c r="L266" s="38"/>
      <c r="M266" s="38"/>
    </row>
    <row r="267" spans="1:13" x14ac:dyDescent="0.3">
      <c r="A267" s="399"/>
      <c r="B267" s="38"/>
      <c r="C267" s="88">
        <v>1</v>
      </c>
      <c r="D267" s="88" t="s">
        <v>869</v>
      </c>
      <c r="F267" s="88"/>
      <c r="G267" s="252">
        <v>3.53</v>
      </c>
      <c r="H267" s="252">
        <v>49.7</v>
      </c>
      <c r="I267" s="86" t="s">
        <v>864</v>
      </c>
      <c r="J267" s="88" t="s">
        <v>865</v>
      </c>
      <c r="K267" s="38" t="s">
        <v>1332</v>
      </c>
      <c r="L267" s="38"/>
      <c r="M267" s="38"/>
    </row>
    <row r="268" spans="1:13" x14ac:dyDescent="0.3">
      <c r="A268" s="399"/>
      <c r="B268" s="38"/>
      <c r="C268" s="88">
        <v>2</v>
      </c>
      <c r="D268" s="88"/>
      <c r="E268" s="88"/>
      <c r="F268" s="88"/>
      <c r="G268" s="88"/>
      <c r="H268" s="88"/>
      <c r="I268" s="86"/>
      <c r="J268" s="88"/>
      <c r="K268" s="38"/>
      <c r="L268" s="38"/>
      <c r="M268" s="38"/>
    </row>
    <row r="269" spans="1:13" x14ac:dyDescent="0.3">
      <c r="A269" s="399"/>
      <c r="B269" s="38"/>
      <c r="C269" s="88">
        <v>3</v>
      </c>
      <c r="D269" s="88"/>
      <c r="E269" s="88"/>
      <c r="F269" s="88"/>
      <c r="G269" s="88"/>
      <c r="H269" s="88"/>
      <c r="I269" s="86"/>
      <c r="J269" s="88"/>
      <c r="K269" s="38"/>
      <c r="L269" s="38"/>
      <c r="M269" s="38"/>
    </row>
    <row r="270" spans="1:13" x14ac:dyDescent="0.3">
      <c r="A270" s="399"/>
      <c r="B270" s="38"/>
      <c r="C270" s="88">
        <v>4</v>
      </c>
      <c r="D270" s="88"/>
      <c r="E270" s="88"/>
      <c r="F270" s="88"/>
      <c r="G270" s="88"/>
      <c r="H270" s="88"/>
      <c r="I270" s="86"/>
      <c r="J270" s="88"/>
      <c r="K270" s="38"/>
      <c r="L270" s="38"/>
      <c r="M270" s="38"/>
    </row>
    <row r="271" spans="1:13" x14ac:dyDescent="0.3">
      <c r="A271" s="399"/>
      <c r="B271" s="38"/>
      <c r="C271" s="88">
        <v>5</v>
      </c>
      <c r="D271" s="88"/>
      <c r="E271" s="88"/>
      <c r="F271" s="88"/>
      <c r="G271" s="88"/>
      <c r="H271" s="88"/>
      <c r="I271" s="86"/>
      <c r="J271" s="88"/>
      <c r="K271" s="38"/>
      <c r="L271" s="38"/>
      <c r="M271" s="38"/>
    </row>
    <row r="272" spans="1:13" x14ac:dyDescent="0.3">
      <c r="A272" s="399"/>
      <c r="B272" s="38"/>
      <c r="C272" s="38"/>
      <c r="D272" s="158" t="s">
        <v>1270</v>
      </c>
      <c r="E272" s="25"/>
      <c r="F272" s="157" t="s">
        <v>405</v>
      </c>
      <c r="G272" s="157">
        <f>G273</f>
        <v>3.27</v>
      </c>
      <c r="H272" s="157">
        <f>H273</f>
        <v>65</v>
      </c>
      <c r="I272" s="158"/>
      <c r="J272" s="157"/>
      <c r="K272" s="38"/>
      <c r="L272" s="38"/>
      <c r="M272" s="38"/>
    </row>
    <row r="273" spans="1:14" x14ac:dyDescent="0.3">
      <c r="A273" s="399"/>
      <c r="B273" s="38"/>
      <c r="C273" s="88">
        <v>1</v>
      </c>
      <c r="D273" s="88" t="s">
        <v>869</v>
      </c>
      <c r="F273" s="88"/>
      <c r="G273" s="252">
        <v>3.27</v>
      </c>
      <c r="H273" s="252">
        <v>65</v>
      </c>
      <c r="I273" s="86" t="s">
        <v>1271</v>
      </c>
      <c r="J273" s="88" t="s">
        <v>865</v>
      </c>
      <c r="K273" s="38"/>
      <c r="L273" s="38"/>
      <c r="M273" s="38"/>
    </row>
    <row r="274" spans="1:14" x14ac:dyDescent="0.3">
      <c r="A274" s="399"/>
      <c r="B274" s="38"/>
      <c r="C274" s="88">
        <v>2</v>
      </c>
      <c r="D274" s="88"/>
      <c r="E274" s="88"/>
      <c r="F274" s="88"/>
      <c r="G274" s="88"/>
      <c r="H274" s="88"/>
      <c r="I274" s="86"/>
      <c r="J274" s="88"/>
      <c r="K274" s="38"/>
      <c r="L274" s="38"/>
      <c r="M274" s="38"/>
    </row>
    <row r="275" spans="1:14" x14ac:dyDescent="0.3">
      <c r="A275" s="399"/>
      <c r="B275" s="38"/>
      <c r="C275" s="88">
        <v>3</v>
      </c>
      <c r="D275" s="88"/>
      <c r="E275" s="88"/>
      <c r="F275" s="88"/>
      <c r="G275" s="88"/>
      <c r="H275" s="88"/>
      <c r="I275" s="86"/>
      <c r="J275" s="88"/>
      <c r="K275" s="38"/>
      <c r="L275" s="38"/>
      <c r="M275" s="38"/>
    </row>
    <row r="276" spans="1:14" x14ac:dyDescent="0.3">
      <c r="A276" s="399"/>
      <c r="B276" s="38"/>
      <c r="C276" s="88">
        <v>4</v>
      </c>
      <c r="D276" s="88"/>
      <c r="E276" s="88"/>
      <c r="F276" s="88"/>
      <c r="G276" s="88"/>
      <c r="H276" s="88"/>
      <c r="I276" s="86"/>
      <c r="J276" s="88"/>
      <c r="K276" s="38"/>
      <c r="L276" s="38"/>
      <c r="M276" s="38"/>
    </row>
    <row r="277" spans="1:14" x14ac:dyDescent="0.3">
      <c r="A277" s="399"/>
      <c r="B277" s="38"/>
      <c r="C277" s="88">
        <v>5</v>
      </c>
      <c r="D277" s="88"/>
      <c r="E277" s="88"/>
      <c r="F277" s="88"/>
      <c r="G277" s="88"/>
      <c r="H277" s="88"/>
      <c r="I277" s="86"/>
      <c r="J277" s="88"/>
      <c r="K277" s="38"/>
      <c r="L277" s="38"/>
      <c r="M277" s="38"/>
    </row>
    <row r="278" spans="1:14" x14ac:dyDescent="0.3">
      <c r="A278" s="399"/>
      <c r="B278" s="38"/>
      <c r="C278" s="38"/>
      <c r="D278" s="158" t="s">
        <v>1330</v>
      </c>
      <c r="E278" s="25"/>
      <c r="F278" s="157" t="s">
        <v>405</v>
      </c>
      <c r="G278" s="157">
        <f>G279</f>
        <v>7.92</v>
      </c>
      <c r="H278" s="157">
        <f>H279</f>
        <v>121</v>
      </c>
      <c r="I278" s="158"/>
      <c r="J278" s="157"/>
      <c r="K278" s="38"/>
      <c r="L278" s="38"/>
      <c r="M278" s="38"/>
    </row>
    <row r="279" spans="1:14" x14ac:dyDescent="0.3">
      <c r="A279" s="399"/>
      <c r="B279" s="38"/>
      <c r="C279" s="88">
        <v>1</v>
      </c>
      <c r="D279" s="88" t="s">
        <v>869</v>
      </c>
      <c r="F279" s="88"/>
      <c r="G279" s="252">
        <v>7.92</v>
      </c>
      <c r="H279" s="252">
        <v>121</v>
      </c>
      <c r="I279" s="86" t="s">
        <v>1331</v>
      </c>
      <c r="J279" s="88" t="s">
        <v>865</v>
      </c>
      <c r="K279" s="38" t="s">
        <v>1332</v>
      </c>
      <c r="L279" s="38"/>
      <c r="M279" s="38"/>
    </row>
    <row r="280" spans="1:14" x14ac:dyDescent="0.3">
      <c r="A280" s="399"/>
      <c r="B280" s="38"/>
      <c r="C280" s="88">
        <v>2</v>
      </c>
      <c r="D280" s="88"/>
      <c r="E280" s="88"/>
      <c r="F280" s="88"/>
      <c r="G280" s="88"/>
      <c r="H280" s="88"/>
      <c r="I280" s="86"/>
      <c r="J280" s="88"/>
      <c r="K280" s="38"/>
      <c r="L280" s="38"/>
      <c r="M280" s="38"/>
    </row>
    <row r="281" spans="1:14" x14ac:dyDescent="0.3">
      <c r="A281" s="399"/>
      <c r="B281" s="38"/>
      <c r="C281" s="88">
        <v>3</v>
      </c>
      <c r="D281" s="88"/>
      <c r="E281" s="88"/>
      <c r="F281" s="88"/>
      <c r="G281" s="88"/>
      <c r="H281" s="88"/>
      <c r="I281" s="86"/>
      <c r="J281" s="88"/>
      <c r="K281" s="38"/>
      <c r="L281" s="38"/>
      <c r="M281" s="38"/>
    </row>
    <row r="282" spans="1:14" x14ac:dyDescent="0.3">
      <c r="A282" s="399"/>
      <c r="B282" s="38"/>
      <c r="C282" s="88"/>
      <c r="D282" s="88"/>
      <c r="E282" s="88"/>
      <c r="F282" s="88"/>
      <c r="G282" s="88"/>
      <c r="H282" s="88"/>
      <c r="I282" s="86"/>
      <c r="J282" s="88"/>
      <c r="K282" s="38"/>
      <c r="L282" s="38"/>
      <c r="M282" s="38"/>
    </row>
    <row r="283" spans="1:14" x14ac:dyDescent="0.3">
      <c r="A283" s="399"/>
      <c r="B283" s="38"/>
      <c r="C283" s="88"/>
      <c r="D283" s="88"/>
      <c r="E283" s="88"/>
      <c r="F283" s="88"/>
      <c r="G283" s="88"/>
      <c r="H283" s="88"/>
      <c r="I283" s="86"/>
      <c r="J283" s="88"/>
      <c r="K283" s="38"/>
      <c r="L283" s="38"/>
      <c r="M283" s="38"/>
    </row>
    <row r="284" spans="1:14" x14ac:dyDescent="0.3">
      <c r="A284" s="399"/>
      <c r="B284" s="38"/>
      <c r="C284" s="88"/>
      <c r="D284" s="88"/>
      <c r="E284" s="88"/>
      <c r="F284" s="88"/>
      <c r="G284" s="88"/>
      <c r="H284" s="88"/>
      <c r="I284" s="86"/>
      <c r="J284" s="88"/>
      <c r="K284" s="38"/>
      <c r="L284" s="38"/>
      <c r="M284" s="38"/>
    </row>
    <row r="285" spans="1:14" x14ac:dyDescent="0.3">
      <c r="A285" s="399"/>
      <c r="B285" s="38"/>
      <c r="C285" s="88"/>
      <c r="D285" s="88"/>
      <c r="E285" s="88"/>
      <c r="F285" s="88"/>
      <c r="G285" s="88"/>
      <c r="H285" s="88"/>
      <c r="I285" s="86"/>
      <c r="J285" s="88"/>
      <c r="K285" s="38"/>
      <c r="L285" s="38"/>
      <c r="M285" s="38"/>
    </row>
    <row r="286" spans="1:14" s="70" customFormat="1" x14ac:dyDescent="0.3">
      <c r="A286" s="399"/>
      <c r="B286" s="133"/>
      <c r="I286" s="219"/>
      <c r="K286" s="133"/>
      <c r="L286" s="133"/>
      <c r="M286" s="133"/>
    </row>
    <row r="287" spans="1:14" x14ac:dyDescent="0.3">
      <c r="A287" s="405"/>
      <c r="B287" s="38"/>
      <c r="C287" s="38"/>
      <c r="D287" s="158" t="s">
        <v>129</v>
      </c>
      <c r="E287" s="25"/>
      <c r="F287" s="157" t="s">
        <v>405</v>
      </c>
      <c r="G287" s="157">
        <f>G290</f>
        <v>2.42</v>
      </c>
      <c r="H287" s="157">
        <f>H290</f>
        <v>59.4</v>
      </c>
      <c r="I287" s="158"/>
      <c r="J287" s="157"/>
      <c r="K287" s="38"/>
      <c r="L287" s="38"/>
      <c r="M287" s="38"/>
      <c r="N287" s="38"/>
    </row>
    <row r="288" spans="1:14" x14ac:dyDescent="0.3">
      <c r="A288" s="405"/>
      <c r="B288" s="38"/>
      <c r="C288" s="88">
        <v>1</v>
      </c>
      <c r="D288" s="88"/>
      <c r="F288" s="88"/>
      <c r="G288" s="156">
        <v>2.1082220689655173</v>
      </c>
      <c r="H288" s="156">
        <v>86.163245000000003</v>
      </c>
      <c r="I288" s="156" t="s">
        <v>883</v>
      </c>
      <c r="J288" s="88"/>
      <c r="K288" s="38"/>
      <c r="L288" s="38"/>
      <c r="M288" s="38"/>
      <c r="N288" s="38"/>
    </row>
    <row r="289" spans="1:14" x14ac:dyDescent="0.3">
      <c r="A289" s="405"/>
      <c r="B289" s="38"/>
      <c r="C289" s="88">
        <v>2</v>
      </c>
      <c r="D289" s="88"/>
      <c r="E289" s="88"/>
      <c r="F289" s="88"/>
      <c r="G289" s="166">
        <v>2.57</v>
      </c>
      <c r="H289" s="88"/>
      <c r="I289" s="86" t="s">
        <v>534</v>
      </c>
      <c r="J289" s="88"/>
      <c r="K289" s="38"/>
      <c r="L289" s="38"/>
      <c r="M289" s="38"/>
      <c r="N289" s="38"/>
    </row>
    <row r="290" spans="1:14" x14ac:dyDescent="0.3">
      <c r="A290" s="405"/>
      <c r="B290" s="38"/>
      <c r="C290" s="88">
        <v>3</v>
      </c>
      <c r="D290" s="88"/>
      <c r="E290" s="88"/>
      <c r="F290" s="88"/>
      <c r="G290" s="184">
        <v>2.42</v>
      </c>
      <c r="H290" s="184">
        <v>59.4</v>
      </c>
      <c r="I290" s="86" t="s">
        <v>533</v>
      </c>
      <c r="J290" s="88"/>
      <c r="K290" s="38" t="s">
        <v>532</v>
      </c>
      <c r="L290" s="38"/>
      <c r="M290" s="38"/>
      <c r="N290" s="38"/>
    </row>
    <row r="291" spans="1:14" x14ac:dyDescent="0.3">
      <c r="A291" s="405"/>
      <c r="B291" s="38"/>
      <c r="C291" s="88">
        <v>4</v>
      </c>
      <c r="D291" s="88"/>
      <c r="E291" s="88"/>
      <c r="F291" s="88"/>
      <c r="G291" s="88"/>
      <c r="I291" s="86"/>
      <c r="J291" s="88"/>
      <c r="K291" s="38"/>
      <c r="L291" s="38"/>
      <c r="M291" s="38"/>
      <c r="N291" s="38"/>
    </row>
    <row r="292" spans="1:14" x14ac:dyDescent="0.3">
      <c r="A292" s="405"/>
      <c r="B292" s="38"/>
      <c r="C292" s="88">
        <v>5</v>
      </c>
      <c r="D292" s="88"/>
      <c r="E292" s="88"/>
      <c r="F292" s="88"/>
      <c r="G292" s="88"/>
      <c r="H292" s="88"/>
      <c r="I292" s="86"/>
      <c r="J292" s="88"/>
      <c r="K292" s="38"/>
      <c r="L292" s="38"/>
      <c r="M292" s="38"/>
      <c r="N292" s="38"/>
    </row>
    <row r="293" spans="1:14" x14ac:dyDescent="0.3">
      <c r="A293" s="405"/>
      <c r="B293" s="38"/>
      <c r="C293" s="38"/>
      <c r="D293" s="88"/>
      <c r="E293" s="88"/>
      <c r="F293" s="88"/>
      <c r="G293" s="88"/>
      <c r="H293" s="88"/>
      <c r="I293" s="86"/>
      <c r="J293" s="88"/>
      <c r="K293" s="38"/>
      <c r="L293" s="38"/>
      <c r="M293" s="38"/>
      <c r="N293" s="38"/>
    </row>
    <row r="294" spans="1:14" x14ac:dyDescent="0.3">
      <c r="A294" s="405"/>
      <c r="B294" s="38"/>
      <c r="C294" s="38"/>
      <c r="D294" s="158" t="s">
        <v>127</v>
      </c>
      <c r="E294" s="25"/>
      <c r="F294" s="157" t="s">
        <v>405</v>
      </c>
      <c r="G294" s="157">
        <f>G296</f>
        <v>2.46</v>
      </c>
      <c r="H294" s="157">
        <f>H296</f>
        <v>82.9</v>
      </c>
      <c r="I294" s="188" t="s">
        <v>530</v>
      </c>
      <c r="J294" s="157"/>
      <c r="K294" s="38"/>
      <c r="L294" s="38"/>
      <c r="M294" s="38"/>
      <c r="N294" s="38"/>
    </row>
    <row r="295" spans="1:14" x14ac:dyDescent="0.3">
      <c r="A295" s="405"/>
      <c r="B295" s="38"/>
      <c r="C295" s="88">
        <v>1</v>
      </c>
      <c r="D295" s="88"/>
      <c r="F295" s="88"/>
      <c r="G295" s="156">
        <v>1.8742219827586206</v>
      </c>
      <c r="H295" s="156">
        <v>132.84284</v>
      </c>
      <c r="I295" s="156" t="s">
        <v>882</v>
      </c>
      <c r="J295" s="88"/>
      <c r="K295" s="38"/>
      <c r="L295" s="38"/>
      <c r="M295" s="38"/>
      <c r="N295" s="38"/>
    </row>
    <row r="296" spans="1:14" x14ac:dyDescent="0.3">
      <c r="A296" s="405"/>
      <c r="B296" s="38"/>
      <c r="C296" s="88">
        <v>2</v>
      </c>
      <c r="D296" s="88"/>
      <c r="E296" s="88"/>
      <c r="F296" s="88"/>
      <c r="G296" s="184">
        <v>2.46</v>
      </c>
      <c r="H296" s="184">
        <v>82.9</v>
      </c>
      <c r="I296" s="86" t="s">
        <v>529</v>
      </c>
      <c r="J296" s="88"/>
      <c r="K296" s="38"/>
      <c r="L296" s="38"/>
      <c r="M296" s="38"/>
      <c r="N296" s="38"/>
    </row>
    <row r="297" spans="1:14" x14ac:dyDescent="0.3">
      <c r="A297" s="405"/>
      <c r="B297" s="38"/>
      <c r="C297" s="88">
        <v>3</v>
      </c>
      <c r="D297" s="88"/>
      <c r="E297" s="88"/>
      <c r="F297" s="88"/>
      <c r="G297" s="88"/>
      <c r="H297" s="88"/>
      <c r="I297" s="86"/>
      <c r="J297" s="88"/>
      <c r="K297" s="38"/>
      <c r="L297" s="38"/>
      <c r="M297" s="38"/>
      <c r="N297" s="38"/>
    </row>
    <row r="298" spans="1:14" x14ac:dyDescent="0.3">
      <c r="A298" s="405"/>
      <c r="B298" s="38"/>
      <c r="C298" s="88">
        <v>4</v>
      </c>
      <c r="D298" s="88"/>
      <c r="E298" s="88"/>
      <c r="F298" s="88"/>
      <c r="G298" s="88"/>
      <c r="H298" s="88"/>
      <c r="I298" s="86"/>
      <c r="J298" s="88"/>
      <c r="K298" s="38"/>
      <c r="L298" s="38"/>
      <c r="M298" s="38"/>
      <c r="N298" s="38"/>
    </row>
    <row r="299" spans="1:14" x14ac:dyDescent="0.3">
      <c r="A299" s="405"/>
      <c r="B299" s="38"/>
      <c r="K299" s="38"/>
      <c r="L299" s="38"/>
      <c r="M299" s="38"/>
      <c r="N299" s="38"/>
    </row>
    <row r="300" spans="1:14" x14ac:dyDescent="0.3">
      <c r="A300" s="405"/>
      <c r="B300" s="38"/>
      <c r="C300" s="38"/>
      <c r="D300" s="158" t="s">
        <v>125</v>
      </c>
      <c r="E300" s="25"/>
      <c r="F300" s="157" t="s">
        <v>405</v>
      </c>
      <c r="G300" s="157">
        <f>G302</f>
        <v>2.29</v>
      </c>
      <c r="H300" s="157">
        <f>H302</f>
        <v>80.400000000000006</v>
      </c>
      <c r="I300" s="158"/>
      <c r="J300" s="157"/>
      <c r="K300" s="38"/>
      <c r="L300" s="38"/>
      <c r="M300" s="38"/>
      <c r="N300" s="38"/>
    </row>
    <row r="301" spans="1:14" x14ac:dyDescent="0.3">
      <c r="A301" s="405"/>
      <c r="B301" s="38"/>
      <c r="C301" s="88">
        <v>1</v>
      </c>
      <c r="D301" s="88"/>
      <c r="F301" s="88"/>
      <c r="G301" s="156">
        <v>1.8042219827586206</v>
      </c>
      <c r="H301" s="156">
        <v>129.93284</v>
      </c>
      <c r="I301" s="156" t="s">
        <v>881</v>
      </c>
      <c r="J301" s="88"/>
      <c r="K301" s="38"/>
      <c r="L301" s="38"/>
      <c r="M301" s="38"/>
      <c r="N301" s="38"/>
    </row>
    <row r="302" spans="1:14" x14ac:dyDescent="0.3">
      <c r="A302" s="405"/>
      <c r="B302" s="38"/>
      <c r="C302" s="88">
        <v>2</v>
      </c>
      <c r="D302" s="88"/>
      <c r="E302" s="88"/>
      <c r="F302" s="88"/>
      <c r="G302" s="184">
        <v>2.29</v>
      </c>
      <c r="H302" s="184">
        <v>80.400000000000006</v>
      </c>
      <c r="I302" s="86" t="s">
        <v>531</v>
      </c>
      <c r="J302" s="88"/>
      <c r="K302" s="38"/>
      <c r="L302" s="38"/>
      <c r="M302" s="38"/>
      <c r="N302" s="38"/>
    </row>
    <row r="303" spans="1:14" x14ac:dyDescent="0.3">
      <c r="A303" s="405"/>
      <c r="B303" s="38"/>
      <c r="C303" s="88">
        <v>3</v>
      </c>
      <c r="D303" s="88"/>
      <c r="E303" s="88"/>
      <c r="F303" s="88"/>
      <c r="H303" s="88"/>
      <c r="I303" s="86"/>
      <c r="J303" s="88"/>
      <c r="K303" s="38"/>
      <c r="L303" s="38"/>
      <c r="M303" s="38"/>
      <c r="N303" s="38"/>
    </row>
    <row r="304" spans="1:14" x14ac:dyDescent="0.3">
      <c r="A304" s="405"/>
      <c r="B304" s="38"/>
      <c r="C304" s="88">
        <v>4</v>
      </c>
      <c r="D304" s="88"/>
      <c r="E304" s="88"/>
      <c r="F304" s="88"/>
      <c r="G304" s="88"/>
      <c r="H304" s="88"/>
      <c r="I304" s="86"/>
      <c r="J304" s="88"/>
      <c r="K304" s="38"/>
      <c r="L304" s="38"/>
      <c r="M304" s="38"/>
      <c r="N304" s="38"/>
    </row>
    <row r="305" spans="1:14" x14ac:dyDescent="0.3">
      <c r="A305" s="405"/>
      <c r="B305" s="38"/>
      <c r="C305" s="88">
        <v>5</v>
      </c>
      <c r="D305" s="88"/>
      <c r="E305" s="88"/>
      <c r="F305" s="88"/>
      <c r="G305" s="88"/>
      <c r="H305" s="88"/>
      <c r="I305" s="86"/>
      <c r="J305" s="88"/>
      <c r="K305" s="38"/>
      <c r="L305" s="38"/>
      <c r="M305" s="38"/>
      <c r="N305" s="38"/>
    </row>
    <row r="306" spans="1:14" x14ac:dyDescent="0.3">
      <c r="A306" s="405"/>
      <c r="B306" s="38"/>
      <c r="C306" s="38"/>
      <c r="D306" s="158" t="s">
        <v>1080</v>
      </c>
      <c r="E306" s="25"/>
      <c r="F306" s="157" t="s">
        <v>405</v>
      </c>
      <c r="G306" s="157">
        <f>G308</f>
        <v>1.21</v>
      </c>
      <c r="H306" s="157">
        <f>H308</f>
        <v>14.9</v>
      </c>
      <c r="I306" s="158"/>
      <c r="J306" s="157"/>
      <c r="K306" s="38"/>
      <c r="L306" s="38"/>
      <c r="M306" s="38"/>
      <c r="N306" s="38"/>
    </row>
    <row r="307" spans="1:14" x14ac:dyDescent="0.3">
      <c r="A307" s="405"/>
      <c r="B307" s="38"/>
      <c r="C307" s="88">
        <v>1</v>
      </c>
      <c r="D307" s="88"/>
      <c r="F307" s="88"/>
      <c r="G307" s="156"/>
      <c r="H307" s="156"/>
      <c r="I307" s="156"/>
      <c r="J307" s="88"/>
      <c r="K307" s="38"/>
      <c r="L307" s="38"/>
      <c r="M307" s="38"/>
      <c r="N307" s="38"/>
    </row>
    <row r="308" spans="1:14" x14ac:dyDescent="0.3">
      <c r="A308" s="405"/>
      <c r="B308" s="38"/>
      <c r="C308" s="88">
        <v>2</v>
      </c>
      <c r="D308" s="88"/>
      <c r="E308" s="88"/>
      <c r="F308" s="88"/>
      <c r="G308" s="184">
        <v>1.21</v>
      </c>
      <c r="H308" s="184">
        <v>14.9</v>
      </c>
      <c r="I308" s="86" t="s">
        <v>1081</v>
      </c>
      <c r="J308" s="88" t="s">
        <v>1082</v>
      </c>
      <c r="K308" s="38"/>
      <c r="L308" s="38"/>
      <c r="M308" s="38"/>
      <c r="N308" s="38"/>
    </row>
    <row r="309" spans="1:14" x14ac:dyDescent="0.3">
      <c r="A309" s="405"/>
      <c r="B309" s="38"/>
      <c r="C309" s="88">
        <v>3</v>
      </c>
      <c r="D309" s="88"/>
      <c r="E309" s="88"/>
      <c r="F309" s="88"/>
      <c r="H309" s="88"/>
      <c r="I309" s="86"/>
      <c r="J309" s="88"/>
      <c r="K309" s="38"/>
      <c r="L309" s="38"/>
      <c r="M309" s="38"/>
      <c r="N309" s="38"/>
    </row>
    <row r="310" spans="1:14" x14ac:dyDescent="0.3">
      <c r="A310" s="405"/>
      <c r="B310" s="38"/>
      <c r="C310" s="88">
        <v>4</v>
      </c>
      <c r="D310" s="88"/>
      <c r="E310" s="88"/>
      <c r="F310" s="88"/>
      <c r="G310" s="88"/>
      <c r="H310" s="88"/>
      <c r="I310" s="86"/>
      <c r="J310" s="88"/>
      <c r="K310" s="38"/>
      <c r="L310" s="38"/>
      <c r="M310" s="38"/>
      <c r="N310" s="38">
        <v>0.75</v>
      </c>
    </row>
    <row r="311" spans="1:14" x14ac:dyDescent="0.3">
      <c r="A311" s="405"/>
      <c r="B311" s="38"/>
      <c r="C311" s="88">
        <v>5</v>
      </c>
      <c r="D311" s="88"/>
      <c r="E311" s="88"/>
      <c r="F311" s="88"/>
      <c r="G311" s="88"/>
      <c r="H311" s="88"/>
      <c r="I311" s="86"/>
      <c r="J311" s="88"/>
      <c r="K311" s="38"/>
      <c r="L311" s="38"/>
      <c r="M311" s="38"/>
      <c r="N311" s="38">
        <v>2</v>
      </c>
    </row>
    <row r="312" spans="1:14" x14ac:dyDescent="0.3">
      <c r="A312" s="405"/>
      <c r="B312" s="38"/>
      <c r="K312" s="38"/>
      <c r="L312" s="38"/>
      <c r="M312" s="38"/>
      <c r="N312" s="38"/>
    </row>
    <row r="313" spans="1:14" x14ac:dyDescent="0.3">
      <c r="A313" s="405"/>
      <c r="B313" s="38"/>
      <c r="C313" s="38"/>
      <c r="D313" s="158" t="s">
        <v>1276</v>
      </c>
      <c r="E313" s="25"/>
      <c r="F313" s="157" t="s">
        <v>405</v>
      </c>
      <c r="G313" s="157">
        <f>G315</f>
        <v>2.74</v>
      </c>
      <c r="H313" s="157">
        <f>H315</f>
        <v>87</v>
      </c>
      <c r="I313" s="158"/>
      <c r="J313" s="157"/>
      <c r="K313" s="38"/>
      <c r="L313" s="38"/>
      <c r="M313" s="38"/>
      <c r="N313" s="38"/>
    </row>
    <row r="314" spans="1:14" x14ac:dyDescent="0.3">
      <c r="A314" s="405"/>
      <c r="B314" s="38"/>
      <c r="C314" s="88">
        <v>1</v>
      </c>
      <c r="D314" s="88"/>
      <c r="F314" s="88"/>
      <c r="G314" s="156"/>
      <c r="H314" s="156"/>
      <c r="I314" s="156"/>
      <c r="J314" s="88"/>
      <c r="K314" s="38"/>
      <c r="L314" s="38"/>
      <c r="M314" s="38"/>
      <c r="N314" s="38"/>
    </row>
    <row r="315" spans="1:14" x14ac:dyDescent="0.3">
      <c r="A315" s="405"/>
      <c r="B315" s="38"/>
      <c r="C315" s="88">
        <v>2</v>
      </c>
      <c r="D315" s="88"/>
      <c r="E315" s="88"/>
      <c r="F315" s="88"/>
      <c r="G315" s="184">
        <v>2.74</v>
      </c>
      <c r="H315" s="184">
        <v>87</v>
      </c>
      <c r="I315" s="86" t="s">
        <v>1277</v>
      </c>
      <c r="J315" s="88"/>
      <c r="K315" s="38"/>
      <c r="L315" s="38"/>
      <c r="M315" s="38"/>
      <c r="N315" s="38"/>
    </row>
    <row r="316" spans="1:14" x14ac:dyDescent="0.3">
      <c r="A316" s="405"/>
      <c r="B316" s="38"/>
      <c r="K316" s="38"/>
      <c r="L316" s="38"/>
      <c r="M316" s="38"/>
      <c r="N316" s="38"/>
    </row>
    <row r="317" spans="1:14" x14ac:dyDescent="0.3">
      <c r="A317" s="405"/>
      <c r="B317" s="38"/>
      <c r="K317" s="38"/>
      <c r="L317" s="38"/>
      <c r="M317" s="38"/>
      <c r="N317" s="38"/>
    </row>
    <row r="318" spans="1:14" x14ac:dyDescent="0.3">
      <c r="A318" s="405"/>
      <c r="B318" s="38"/>
      <c r="K318" s="38"/>
      <c r="L318" s="38"/>
      <c r="M318" s="38"/>
      <c r="N318" s="38"/>
    </row>
    <row r="319" spans="1:14" x14ac:dyDescent="0.3">
      <c r="A319" s="405"/>
      <c r="B319" s="38"/>
      <c r="K319" s="38"/>
      <c r="L319" s="38"/>
      <c r="M319" s="38"/>
      <c r="N319" s="38"/>
    </row>
    <row r="320" spans="1:14" x14ac:dyDescent="0.3">
      <c r="A320" s="405"/>
      <c r="B320" s="38"/>
      <c r="K320" s="38"/>
      <c r="L320" s="38"/>
      <c r="M320" s="38"/>
      <c r="N320" s="38"/>
    </row>
    <row r="321" spans="1:20" x14ac:dyDescent="0.3">
      <c r="A321" s="405"/>
      <c r="B321" s="38"/>
      <c r="K321" s="38"/>
      <c r="L321" s="38"/>
      <c r="M321" s="38"/>
      <c r="N321" s="38"/>
    </row>
    <row r="322" spans="1:20" x14ac:dyDescent="0.3">
      <c r="A322" s="405"/>
      <c r="B322" s="38"/>
      <c r="K322" s="38"/>
      <c r="L322" s="38"/>
      <c r="M322" s="38"/>
      <c r="N322" s="38"/>
    </row>
    <row r="323" spans="1:20" x14ac:dyDescent="0.3">
      <c r="A323" s="405"/>
      <c r="B323" s="133"/>
      <c r="C323" s="70"/>
      <c r="D323" s="70"/>
      <c r="E323" s="70"/>
      <c r="F323" s="70"/>
      <c r="G323" s="70"/>
      <c r="H323" s="70"/>
      <c r="I323" s="219"/>
      <c r="J323" s="70"/>
      <c r="K323" s="133"/>
      <c r="L323" s="133"/>
      <c r="M323" s="133"/>
      <c r="N323" s="133"/>
      <c r="O323" s="70"/>
      <c r="P323" s="70"/>
      <c r="Q323" s="70"/>
      <c r="R323" s="70"/>
      <c r="S323" s="70"/>
      <c r="T323" s="70"/>
    </row>
    <row r="324" spans="1:20" x14ac:dyDescent="0.3">
      <c r="A324" s="405"/>
      <c r="B324" s="38"/>
      <c r="C324" s="38"/>
      <c r="D324" s="158" t="s">
        <v>528</v>
      </c>
      <c r="E324" s="25"/>
      <c r="F324" s="157" t="s">
        <v>405</v>
      </c>
      <c r="G324" s="175">
        <f>G329</f>
        <v>0.29199999999999998</v>
      </c>
      <c r="H324" s="175">
        <f>H329</f>
        <v>7.26</v>
      </c>
      <c r="I324" s="158"/>
      <c r="J324" s="157"/>
      <c r="K324" s="38"/>
      <c r="L324" s="38"/>
      <c r="M324" s="38"/>
      <c r="N324" s="38"/>
    </row>
    <row r="325" spans="1:20" x14ac:dyDescent="0.3">
      <c r="A325" s="405"/>
      <c r="B325" s="38"/>
      <c r="C325" s="88">
        <v>1</v>
      </c>
      <c r="D325" s="88"/>
      <c r="F325" s="88"/>
      <c r="G325" s="166">
        <v>0.43</v>
      </c>
      <c r="H325" s="166"/>
      <c r="I325" s="86" t="s">
        <v>527</v>
      </c>
      <c r="J325" s="88"/>
      <c r="K325" s="38"/>
      <c r="L325" s="38"/>
      <c r="M325" s="38"/>
      <c r="N325" s="38"/>
    </row>
    <row r="326" spans="1:20" x14ac:dyDescent="0.3">
      <c r="A326" s="405"/>
      <c r="B326" s="38"/>
      <c r="C326" s="88">
        <v>2</v>
      </c>
      <c r="D326" s="88"/>
      <c r="E326" s="88"/>
      <c r="F326" s="88"/>
      <c r="G326" s="187">
        <v>0.18051568103448273</v>
      </c>
      <c r="H326" s="187">
        <v>3.4865314999999999</v>
      </c>
      <c r="I326" s="155" t="s">
        <v>885</v>
      </c>
      <c r="J326" s="88"/>
      <c r="K326" s="38"/>
      <c r="L326" s="38"/>
      <c r="M326" s="38"/>
      <c r="N326" s="38"/>
    </row>
    <row r="327" spans="1:20" x14ac:dyDescent="0.3">
      <c r="A327" s="405"/>
      <c r="B327" s="38"/>
      <c r="C327" s="88">
        <v>3</v>
      </c>
      <c r="D327" s="88"/>
      <c r="E327" s="88"/>
      <c r="F327" s="88"/>
      <c r="G327" s="187">
        <v>0.97232310344827577</v>
      </c>
      <c r="H327" s="187">
        <v>18.779726</v>
      </c>
      <c r="I327" s="155" t="s">
        <v>886</v>
      </c>
      <c r="J327" s="88"/>
      <c r="K327" s="38"/>
      <c r="L327" s="38"/>
      <c r="M327" s="38"/>
      <c r="N327" s="38"/>
    </row>
    <row r="328" spans="1:20" x14ac:dyDescent="0.3">
      <c r="A328" s="405"/>
      <c r="B328" s="38"/>
      <c r="C328" s="88">
        <v>4</v>
      </c>
      <c r="D328" s="88"/>
      <c r="E328" s="88"/>
      <c r="F328" s="88"/>
      <c r="G328" s="187">
        <v>0.91488629310344827</v>
      </c>
      <c r="H328" s="187">
        <v>17.670375</v>
      </c>
      <c r="I328" s="155" t="s">
        <v>887</v>
      </c>
      <c r="J328" s="88"/>
      <c r="K328" s="38"/>
      <c r="L328" s="38"/>
      <c r="M328" s="38"/>
      <c r="N328" s="38"/>
    </row>
    <row r="329" spans="1:20" x14ac:dyDescent="0.3">
      <c r="A329" s="405"/>
      <c r="B329" s="38"/>
      <c r="C329" s="88">
        <v>5</v>
      </c>
      <c r="D329" s="88"/>
      <c r="E329" s="88"/>
      <c r="F329" s="88"/>
      <c r="G329" s="252">
        <v>0.29199999999999998</v>
      </c>
      <c r="H329" s="252">
        <v>7.26</v>
      </c>
      <c r="I329" s="86" t="s">
        <v>527</v>
      </c>
      <c r="J329" s="88" t="s">
        <v>888</v>
      </c>
      <c r="K329" s="38"/>
      <c r="L329" s="38"/>
      <c r="M329" s="38"/>
      <c r="N329" s="38"/>
    </row>
    <row r="330" spans="1:20" x14ac:dyDescent="0.3">
      <c r="A330" s="405"/>
      <c r="B330" s="38"/>
      <c r="G330" s="255">
        <v>0.434</v>
      </c>
      <c r="H330" s="255">
        <v>7.48</v>
      </c>
      <c r="I330" s="86" t="s">
        <v>527</v>
      </c>
      <c r="J330" t="s">
        <v>525</v>
      </c>
      <c r="K330" s="38"/>
      <c r="L330" s="38"/>
      <c r="M330" s="38"/>
      <c r="N330" s="38"/>
    </row>
    <row r="331" spans="1:20" x14ac:dyDescent="0.3">
      <c r="A331" s="405"/>
      <c r="B331" s="38"/>
      <c r="K331" s="38"/>
      <c r="L331" s="38"/>
      <c r="M331" s="38"/>
      <c r="N331" s="38"/>
    </row>
    <row r="332" spans="1:20" x14ac:dyDescent="0.3">
      <c r="A332" s="405"/>
      <c r="B332" s="38"/>
      <c r="K332" s="38"/>
      <c r="L332" s="38"/>
      <c r="M332" s="38"/>
      <c r="N332" s="38"/>
    </row>
    <row r="333" spans="1:20" x14ac:dyDescent="0.3">
      <c r="A333" s="405"/>
      <c r="B333" s="38"/>
      <c r="K333" s="38"/>
      <c r="L333" s="38"/>
      <c r="M333" s="38"/>
      <c r="N333" s="38"/>
    </row>
    <row r="334" spans="1:20" x14ac:dyDescent="0.3">
      <c r="A334" s="405"/>
      <c r="B334" s="38"/>
      <c r="K334" s="38"/>
      <c r="L334" s="38"/>
      <c r="M334" s="38"/>
    </row>
    <row r="335" spans="1:20" x14ac:dyDescent="0.3">
      <c r="A335" s="405"/>
      <c r="B335" s="38"/>
      <c r="K335" s="38"/>
      <c r="L335" s="38"/>
      <c r="M335" s="38"/>
    </row>
    <row r="336" spans="1:20" x14ac:dyDescent="0.3">
      <c r="A336" s="405"/>
      <c r="B336" s="38"/>
      <c r="K336" s="38"/>
      <c r="L336" s="38"/>
      <c r="M336" s="38"/>
    </row>
    <row r="337" spans="1:18" x14ac:dyDescent="0.3">
      <c r="A337" s="405"/>
      <c r="B337" s="38"/>
      <c r="K337" s="38"/>
      <c r="L337" s="38"/>
      <c r="M337" s="38"/>
    </row>
    <row r="338" spans="1:18" x14ac:dyDescent="0.3">
      <c r="A338" s="405"/>
      <c r="B338" s="38"/>
      <c r="K338" s="38"/>
      <c r="L338" s="38"/>
      <c r="M338" s="38"/>
    </row>
    <row r="339" spans="1:18" x14ac:dyDescent="0.3">
      <c r="A339" s="405"/>
      <c r="B339" s="38"/>
      <c r="K339" s="38"/>
      <c r="L339" s="38"/>
      <c r="M339" s="38"/>
    </row>
    <row r="340" spans="1:18" x14ac:dyDescent="0.3">
      <c r="A340" s="405"/>
      <c r="B340" s="38"/>
      <c r="K340" s="38"/>
      <c r="L340" s="38"/>
      <c r="M340" s="38"/>
    </row>
    <row r="341" spans="1:18" x14ac:dyDescent="0.3">
      <c r="A341" s="405"/>
      <c r="B341" s="38"/>
      <c r="K341" s="38"/>
      <c r="L341" s="38"/>
      <c r="M341" s="38"/>
    </row>
    <row r="342" spans="1:18" x14ac:dyDescent="0.3">
      <c r="A342" s="405"/>
      <c r="B342" s="38"/>
      <c r="K342" s="38"/>
      <c r="L342" s="38"/>
      <c r="M342" s="38"/>
    </row>
    <row r="343" spans="1:18" x14ac:dyDescent="0.3">
      <c r="A343" s="405"/>
      <c r="B343" s="38"/>
      <c r="K343" s="38"/>
      <c r="L343" s="38"/>
      <c r="M343" s="38"/>
      <c r="N343" s="38"/>
      <c r="O343" s="38"/>
      <c r="P343" s="38"/>
      <c r="Q343" s="38"/>
    </row>
    <row r="344" spans="1:18" x14ac:dyDescent="0.3">
      <c r="A344" s="405"/>
      <c r="B344" s="38"/>
      <c r="K344" s="38"/>
      <c r="L344" s="304"/>
      <c r="M344" s="16"/>
      <c r="N344" s="16"/>
      <c r="O344" s="16"/>
      <c r="P344" s="16" t="s">
        <v>32</v>
      </c>
      <c r="Q344" s="16" t="s">
        <v>162</v>
      </c>
      <c r="R344" s="16"/>
    </row>
    <row r="345" spans="1:18" x14ac:dyDescent="0.3">
      <c r="A345" s="405"/>
      <c r="B345" s="38"/>
      <c r="K345" s="38"/>
      <c r="L345" s="304"/>
      <c r="M345" s="42" t="s">
        <v>633</v>
      </c>
      <c r="N345" s="147">
        <v>0.88</v>
      </c>
      <c r="O345" t="s">
        <v>623</v>
      </c>
      <c r="P345">
        <f>N345*G360</f>
        <v>7.48</v>
      </c>
      <c r="Q345">
        <f>N345*H360</f>
        <v>264</v>
      </c>
      <c r="R345" s="16"/>
    </row>
    <row r="346" spans="1:18" x14ac:dyDescent="0.3">
      <c r="A346" s="405"/>
      <c r="B346" s="38"/>
      <c r="K346" s="38"/>
      <c r="L346" s="304"/>
      <c r="N346" s="147">
        <v>0.12</v>
      </c>
      <c r="O346" t="s">
        <v>2</v>
      </c>
      <c r="P346">
        <f>N346*G306</f>
        <v>0.1452</v>
      </c>
      <c r="Q346">
        <f>N346*H306</f>
        <v>1.788</v>
      </c>
      <c r="R346" s="16"/>
    </row>
    <row r="347" spans="1:18" x14ac:dyDescent="0.3">
      <c r="A347" s="169"/>
      <c r="B347" s="172"/>
      <c r="C347" s="172"/>
      <c r="D347" s="167"/>
      <c r="E347" s="167"/>
      <c r="F347" s="167"/>
      <c r="G347" s="167"/>
      <c r="H347" s="167"/>
      <c r="I347" s="168"/>
      <c r="J347" s="167"/>
      <c r="K347" s="38"/>
      <c r="L347" s="304"/>
      <c r="N347" s="147">
        <v>1</v>
      </c>
      <c r="O347" t="s">
        <v>1073</v>
      </c>
      <c r="P347">
        <f>G380*N347</f>
        <v>0.72499999999999998</v>
      </c>
      <c r="Q347">
        <f>H380*N347</f>
        <v>14.1</v>
      </c>
      <c r="R347" s="16"/>
    </row>
    <row r="348" spans="1:18" x14ac:dyDescent="0.3">
      <c r="B348" s="189" t="s">
        <v>632</v>
      </c>
      <c r="C348" s="189"/>
      <c r="D348" s="51"/>
      <c r="E348" s="51"/>
      <c r="F348" s="51"/>
      <c r="G348" s="51"/>
      <c r="H348" s="51"/>
      <c r="I348" s="190"/>
      <c r="J348" s="51"/>
      <c r="K348" s="38"/>
      <c r="L348" s="304"/>
      <c r="N348" s="147">
        <v>1</v>
      </c>
      <c r="O348" t="s">
        <v>1074</v>
      </c>
      <c r="P348">
        <f>G381*N348</f>
        <v>0.52100000000000002</v>
      </c>
      <c r="Q348">
        <f>H381*N348</f>
        <v>7.95</v>
      </c>
      <c r="R348" s="16"/>
    </row>
    <row r="349" spans="1:18" x14ac:dyDescent="0.3">
      <c r="B349" s="189"/>
      <c r="C349" s="38"/>
      <c r="D349" s="88" t="s">
        <v>631</v>
      </c>
      <c r="E349" s="88"/>
      <c r="F349" s="88"/>
      <c r="G349" s="203">
        <f>P349</f>
        <v>8.8712000000000018</v>
      </c>
      <c r="H349" s="203">
        <f>Q349</f>
        <v>287.83800000000002</v>
      </c>
      <c r="I349" s="86"/>
      <c r="J349" s="88"/>
      <c r="K349" s="38"/>
      <c r="L349" s="304"/>
      <c r="M349" s="38"/>
      <c r="N349" t="s">
        <v>191</v>
      </c>
      <c r="P349">
        <f>SUM(P345:P348)</f>
        <v>8.8712000000000018</v>
      </c>
      <c r="Q349">
        <f>SUM(Q345:Q348)</f>
        <v>287.83800000000002</v>
      </c>
      <c r="R349" s="16"/>
    </row>
    <row r="350" spans="1:18" x14ac:dyDescent="0.3">
      <c r="B350" s="189"/>
      <c r="C350" s="38"/>
      <c r="D350" s="88"/>
      <c r="E350" s="88"/>
      <c r="F350" s="88"/>
      <c r="G350" s="88"/>
      <c r="H350" s="88"/>
      <c r="I350" s="86"/>
      <c r="J350" s="88"/>
      <c r="K350" s="38"/>
      <c r="L350" s="304"/>
      <c r="M350" s="304"/>
      <c r="N350" s="16"/>
      <c r="O350" s="16"/>
      <c r="P350" s="16"/>
      <c r="Q350" s="16"/>
      <c r="R350" s="16"/>
    </row>
    <row r="351" spans="1:18" x14ac:dyDescent="0.3">
      <c r="B351" s="189"/>
      <c r="C351" s="38"/>
      <c r="D351" s="88"/>
      <c r="E351" s="88"/>
      <c r="F351" s="88"/>
      <c r="G351" s="88"/>
      <c r="H351" s="88"/>
      <c r="I351" s="86"/>
      <c r="J351" s="88"/>
      <c r="K351" s="38"/>
      <c r="L351" s="38"/>
      <c r="M351" s="38"/>
      <c r="N351" s="38"/>
      <c r="P351">
        <f>P348+P347</f>
        <v>1.246</v>
      </c>
      <c r="Q351">
        <f>Q348+Q347</f>
        <v>22.05</v>
      </c>
    </row>
    <row r="352" spans="1:18" x14ac:dyDescent="0.3">
      <c r="B352" s="189"/>
      <c r="C352" s="38"/>
      <c r="D352" s="88"/>
      <c r="E352" s="88"/>
      <c r="F352" s="88"/>
      <c r="G352" s="88"/>
      <c r="H352" s="88"/>
      <c r="I352" s="86"/>
      <c r="J352" s="88"/>
      <c r="K352" s="38"/>
      <c r="L352" s="38"/>
      <c r="M352" s="38"/>
      <c r="N352" s="38"/>
    </row>
    <row r="353" spans="1:22" x14ac:dyDescent="0.3">
      <c r="B353" s="189"/>
      <c r="C353" s="38"/>
      <c r="D353" s="88"/>
      <c r="E353" s="88"/>
      <c r="F353" s="88"/>
      <c r="G353" s="88"/>
      <c r="H353" s="88"/>
      <c r="I353" s="86"/>
      <c r="J353" s="88"/>
      <c r="K353" s="38"/>
      <c r="L353" s="38"/>
      <c r="M353" s="38"/>
      <c r="N353" s="38"/>
    </row>
    <row r="354" spans="1:22" x14ac:dyDescent="0.3">
      <c r="A354" s="398" t="s">
        <v>14</v>
      </c>
      <c r="B354" s="202" t="s">
        <v>14</v>
      </c>
      <c r="C354" s="202"/>
      <c r="D354" s="190" t="s">
        <v>630</v>
      </c>
      <c r="E354" s="51"/>
      <c r="F354" s="51" t="s">
        <v>405</v>
      </c>
      <c r="G354" s="51">
        <f>G360+G374</f>
        <v>9.7460000000000004</v>
      </c>
      <c r="H354" s="51"/>
      <c r="I354" s="190"/>
      <c r="J354" s="51"/>
      <c r="K354" s="38"/>
      <c r="L354" s="38"/>
      <c r="M354" s="38" t="s">
        <v>629</v>
      </c>
      <c r="N354" s="38"/>
    </row>
    <row r="355" spans="1:22" x14ac:dyDescent="0.3">
      <c r="A355" s="398"/>
      <c r="B355" s="202"/>
      <c r="C355" s="202"/>
      <c r="D355" s="86" t="s">
        <v>628</v>
      </c>
      <c r="E355" s="88"/>
      <c r="F355" s="88"/>
      <c r="G355" s="192">
        <f>G361+G374</f>
        <v>15.646000000000001</v>
      </c>
      <c r="H355" s="88"/>
      <c r="I355" s="86" t="s">
        <v>627</v>
      </c>
      <c r="J355" s="88" t="s">
        <v>1078</v>
      </c>
      <c r="K355" s="38"/>
      <c r="L355" s="38"/>
      <c r="M355" s="38"/>
      <c r="N355" s="38" t="s">
        <v>626</v>
      </c>
    </row>
    <row r="356" spans="1:22" x14ac:dyDescent="0.3">
      <c r="A356" s="398"/>
      <c r="B356" s="202"/>
      <c r="C356" s="202"/>
      <c r="D356" s="86"/>
      <c r="E356" s="88"/>
      <c r="F356" s="88"/>
      <c r="G356" s="88">
        <f>G362+G374</f>
        <v>11.346</v>
      </c>
      <c r="H356" s="88"/>
      <c r="I356" s="86"/>
      <c r="J356" s="88" t="s">
        <v>1078</v>
      </c>
      <c r="K356" s="38"/>
      <c r="L356" s="38"/>
      <c r="M356" s="38" t="s">
        <v>625</v>
      </c>
      <c r="N356" s="38"/>
    </row>
    <row r="357" spans="1:22" x14ac:dyDescent="0.3">
      <c r="A357" s="398"/>
      <c r="B357" s="202"/>
      <c r="C357" s="202"/>
      <c r="D357" s="86"/>
      <c r="E357" s="88"/>
      <c r="F357" s="88"/>
      <c r="G357" s="88">
        <f>G363+G374</f>
        <v>10.646000000000001</v>
      </c>
      <c r="H357" s="88"/>
      <c r="I357" s="86"/>
      <c r="J357" s="88" t="s">
        <v>1078</v>
      </c>
      <c r="K357" s="38"/>
      <c r="L357" s="38"/>
      <c r="M357" s="38"/>
      <c r="N357" s="38" t="s">
        <v>624</v>
      </c>
    </row>
    <row r="358" spans="1:22" x14ac:dyDescent="0.3">
      <c r="A358" s="398"/>
      <c r="B358" s="202"/>
      <c r="C358" s="202"/>
      <c r="D358" s="86"/>
      <c r="E358" s="88"/>
      <c r="F358" s="88"/>
      <c r="G358" s="88">
        <f>G364+G374</f>
        <v>6.3460000000000001</v>
      </c>
      <c r="H358" s="88"/>
      <c r="I358" s="86"/>
      <c r="J358" s="88" t="s">
        <v>1078</v>
      </c>
      <c r="K358" s="38"/>
      <c r="L358" s="38"/>
      <c r="M358" s="38"/>
    </row>
    <row r="359" spans="1:22" x14ac:dyDescent="0.3">
      <c r="A359" s="398"/>
      <c r="B359" s="202"/>
      <c r="C359" s="202"/>
      <c r="D359" s="86"/>
      <c r="E359" s="88"/>
      <c r="F359" s="88"/>
      <c r="G359" s="88"/>
      <c r="H359" s="88"/>
      <c r="I359" s="86"/>
      <c r="J359" s="88" t="s">
        <v>1078</v>
      </c>
      <c r="K359" s="38"/>
      <c r="L359" s="38"/>
      <c r="M359" s="38"/>
      <c r="N359" s="38"/>
      <c r="Q359" t="s">
        <v>162</v>
      </c>
    </row>
    <row r="360" spans="1:22" x14ac:dyDescent="0.3">
      <c r="A360" s="398"/>
      <c r="B360" s="189"/>
      <c r="C360" s="201"/>
      <c r="D360" s="158" t="s">
        <v>623</v>
      </c>
      <c r="E360" s="25"/>
      <c r="F360" s="157" t="s">
        <v>405</v>
      </c>
      <c r="G360" s="157">
        <f>G365</f>
        <v>8.5</v>
      </c>
      <c r="H360" s="157">
        <f>H365</f>
        <v>300</v>
      </c>
      <c r="I360" s="158"/>
      <c r="J360" s="157"/>
      <c r="K360" s="38"/>
      <c r="L360" s="38"/>
      <c r="N360" s="38" t="s">
        <v>622</v>
      </c>
      <c r="P360">
        <f>G360</f>
        <v>8.5</v>
      </c>
      <c r="Q360" t="s">
        <v>621</v>
      </c>
    </row>
    <row r="361" spans="1:22" x14ac:dyDescent="0.3">
      <c r="A361" s="398"/>
      <c r="B361" s="189"/>
      <c r="C361" s="88">
        <v>1</v>
      </c>
      <c r="D361" s="86"/>
      <c r="E361">
        <v>2013</v>
      </c>
      <c r="F361" s="88"/>
      <c r="G361" s="88">
        <v>14.4</v>
      </c>
      <c r="H361" s="88"/>
      <c r="I361" s="86" t="s">
        <v>1075</v>
      </c>
      <c r="J361" s="88"/>
      <c r="K361" s="38"/>
      <c r="L361" s="38"/>
      <c r="N361" s="38" t="s">
        <v>125</v>
      </c>
      <c r="P361">
        <f>G300</f>
        <v>2.29</v>
      </c>
      <c r="Q361">
        <f>H300</f>
        <v>80.400000000000006</v>
      </c>
    </row>
    <row r="362" spans="1:22" x14ac:dyDescent="0.3">
      <c r="A362" s="398"/>
      <c r="B362" s="189"/>
      <c r="C362" s="88">
        <v>2</v>
      </c>
      <c r="D362" s="86"/>
      <c r="E362" s="88" t="s">
        <v>620</v>
      </c>
      <c r="F362" s="88"/>
      <c r="G362" s="192">
        <v>10.1</v>
      </c>
      <c r="H362" s="192"/>
      <c r="I362" s="86" t="s">
        <v>1075</v>
      </c>
      <c r="J362" s="88"/>
      <c r="K362" s="38"/>
      <c r="L362" s="38"/>
      <c r="N362" s="38" t="s">
        <v>619</v>
      </c>
    </row>
    <row r="363" spans="1:22" x14ac:dyDescent="0.3">
      <c r="A363" s="398"/>
      <c r="B363" s="189"/>
      <c r="C363" s="88">
        <v>3</v>
      </c>
      <c r="D363" s="86"/>
      <c r="E363" s="88" t="s">
        <v>615</v>
      </c>
      <c r="F363" s="88"/>
      <c r="G363" s="88">
        <f>G361-5</f>
        <v>9.4</v>
      </c>
      <c r="H363" s="88"/>
      <c r="I363" s="86" t="s">
        <v>1076</v>
      </c>
      <c r="J363" s="200" t="s">
        <v>618</v>
      </c>
      <c r="K363" s="38"/>
      <c r="L363" s="38"/>
      <c r="P363">
        <f>P360-P361</f>
        <v>6.21</v>
      </c>
      <c r="Q363" t="s">
        <v>617</v>
      </c>
      <c r="U363" s="38" t="s">
        <v>616</v>
      </c>
      <c r="V363" s="38"/>
    </row>
    <row r="364" spans="1:22" x14ac:dyDescent="0.3">
      <c r="A364" s="398"/>
      <c r="B364" s="189"/>
      <c r="C364" s="88">
        <v>4</v>
      </c>
      <c r="D364" s="86"/>
      <c r="E364" s="88" t="s">
        <v>615</v>
      </c>
      <c r="F364" s="88"/>
      <c r="G364" s="192">
        <f>G362-5</f>
        <v>5.0999999999999996</v>
      </c>
      <c r="H364" s="192"/>
      <c r="I364" s="86" t="s">
        <v>1076</v>
      </c>
      <c r="J364" s="88"/>
      <c r="K364" s="38"/>
      <c r="L364" s="38"/>
      <c r="U364" s="38" t="s">
        <v>614</v>
      </c>
      <c r="V364" s="38">
        <f>G300</f>
        <v>2.29</v>
      </c>
    </row>
    <row r="365" spans="1:22" x14ac:dyDescent="0.3">
      <c r="A365" s="398"/>
      <c r="B365" s="189"/>
      <c r="C365" s="88">
        <v>5</v>
      </c>
      <c r="D365" s="86"/>
      <c r="E365" s="88" t="s">
        <v>613</v>
      </c>
      <c r="F365" s="88"/>
      <c r="G365" s="88">
        <v>8.5</v>
      </c>
      <c r="H365" s="88">
        <v>300</v>
      </c>
      <c r="I365" s="86" t="s">
        <v>1077</v>
      </c>
      <c r="J365" s="88"/>
      <c r="K365" s="38"/>
      <c r="L365" s="38"/>
      <c r="N365" s="38" t="s">
        <v>612</v>
      </c>
      <c r="U365" s="38" t="s">
        <v>611</v>
      </c>
      <c r="V365" s="38">
        <f>G354</f>
        <v>9.7460000000000004</v>
      </c>
    </row>
    <row r="366" spans="1:22" x14ac:dyDescent="0.3">
      <c r="A366" s="398"/>
      <c r="B366" s="189"/>
      <c r="C366" s="189"/>
      <c r="D366" s="86"/>
      <c r="E366" s="88"/>
      <c r="F366" s="88"/>
      <c r="G366" s="88"/>
      <c r="H366" s="88"/>
      <c r="I366" s="86"/>
      <c r="J366" s="88"/>
      <c r="K366" s="38"/>
      <c r="L366" s="38"/>
      <c r="N366" s="38" t="s">
        <v>610</v>
      </c>
      <c r="Q366" s="14">
        <f>G645</f>
        <v>0.17499999999999999</v>
      </c>
      <c r="R366" s="14">
        <f>H645</f>
        <v>2.72</v>
      </c>
      <c r="U366" s="38" t="s">
        <v>563</v>
      </c>
      <c r="V366" s="38">
        <f>V365-V364</f>
        <v>7.4560000000000004</v>
      </c>
    </row>
    <row r="367" spans="1:22" x14ac:dyDescent="0.3">
      <c r="A367" s="398"/>
      <c r="B367" s="189"/>
      <c r="C367" s="189"/>
      <c r="D367" s="158" t="s">
        <v>567</v>
      </c>
      <c r="E367" s="25"/>
      <c r="F367" s="157" t="s">
        <v>405</v>
      </c>
      <c r="G367" s="175">
        <f>G368</f>
        <v>5.26</v>
      </c>
      <c r="H367" s="175">
        <f>H368</f>
        <v>106</v>
      </c>
      <c r="I367" s="158"/>
      <c r="J367" s="157"/>
      <c r="K367" s="38"/>
      <c r="L367" s="38"/>
      <c r="M367" s="23" t="s">
        <v>609</v>
      </c>
      <c r="Q367" s="14">
        <f>G660</f>
        <v>5.1282864655172414E-2</v>
      </c>
      <c r="R367" s="14">
        <f>H660</f>
        <v>0.99049189999999998</v>
      </c>
    </row>
    <row r="368" spans="1:22" x14ac:dyDescent="0.3">
      <c r="A368" s="398"/>
      <c r="B368" s="189"/>
      <c r="C368" s="88">
        <v>1</v>
      </c>
      <c r="D368" s="86"/>
      <c r="F368" s="88"/>
      <c r="G368" s="184">
        <v>5.26</v>
      </c>
      <c r="H368" s="184">
        <f>106</f>
        <v>106</v>
      </c>
      <c r="I368" s="86" t="s">
        <v>608</v>
      </c>
      <c r="J368" s="88" t="s">
        <v>607</v>
      </c>
      <c r="K368" s="38"/>
      <c r="L368" s="38"/>
      <c r="M368" s="38"/>
      <c r="N368" s="38" t="s">
        <v>606</v>
      </c>
      <c r="P368" t="s">
        <v>605</v>
      </c>
      <c r="Q368">
        <f>(Q367+Q366)/2</f>
        <v>0.11314143232758619</v>
      </c>
      <c r="R368">
        <f>(R367+R366)/2</f>
        <v>1.85524595</v>
      </c>
    </row>
    <row r="369" spans="1:18" x14ac:dyDescent="0.3">
      <c r="A369" s="398"/>
      <c r="B369" s="189"/>
      <c r="C369" s="88">
        <v>2</v>
      </c>
      <c r="D369" s="86"/>
      <c r="E369" s="88"/>
      <c r="F369" s="88"/>
      <c r="G369" s="156">
        <v>2.9053667241379308</v>
      </c>
      <c r="H369" s="156">
        <v>132.87545</v>
      </c>
      <c r="I369" s="156" t="s">
        <v>889</v>
      </c>
      <c r="J369" s="88"/>
      <c r="K369" s="38"/>
      <c r="L369" s="38"/>
      <c r="M369" s="38"/>
      <c r="N369" s="38"/>
    </row>
    <row r="370" spans="1:18" x14ac:dyDescent="0.3">
      <c r="A370" s="398"/>
      <c r="B370" s="189"/>
      <c r="C370" s="88">
        <v>3</v>
      </c>
      <c r="D370" s="86"/>
      <c r="E370" s="88"/>
      <c r="F370" s="88"/>
      <c r="G370" s="88"/>
      <c r="I370" s="86"/>
      <c r="J370" s="88"/>
      <c r="K370" s="38"/>
      <c r="L370" s="38"/>
      <c r="M370" s="38"/>
      <c r="N370" s="38" t="s">
        <v>604</v>
      </c>
      <c r="Q370">
        <f>P363/Q368</f>
        <v>54.887054832572375</v>
      </c>
    </row>
    <row r="371" spans="1:18" x14ac:dyDescent="0.3">
      <c r="A371" s="398"/>
      <c r="B371" s="189"/>
      <c r="C371" s="88">
        <v>4</v>
      </c>
      <c r="D371" s="86"/>
      <c r="E371" s="88"/>
      <c r="F371" s="88"/>
      <c r="G371" s="88"/>
      <c r="H371" s="88"/>
      <c r="I371" s="86"/>
      <c r="J371" s="88"/>
      <c r="K371" s="38"/>
      <c r="L371" s="38"/>
      <c r="M371" s="38">
        <v>0.5</v>
      </c>
      <c r="N371" s="38">
        <f>Q370*M371</f>
        <v>27.443527416286187</v>
      </c>
      <c r="O371" t="s">
        <v>603</v>
      </c>
      <c r="Q371">
        <f>Q366*N371</f>
        <v>4.8026172978500821</v>
      </c>
      <c r="R371">
        <f>N371*R366</f>
        <v>74.646394572298433</v>
      </c>
    </row>
    <row r="372" spans="1:18" x14ac:dyDescent="0.3">
      <c r="A372" s="398"/>
      <c r="B372" s="189"/>
      <c r="C372" s="88">
        <v>5</v>
      </c>
      <c r="D372" s="86"/>
      <c r="E372" s="88"/>
      <c r="F372" s="88"/>
      <c r="G372" s="88"/>
      <c r="H372" s="88"/>
      <c r="I372" s="86"/>
      <c r="J372" s="88"/>
      <c r="K372" s="38"/>
      <c r="L372" s="38"/>
      <c r="M372" s="38"/>
      <c r="N372" s="38">
        <f>Q370*(1-M371)</f>
        <v>27.443527416286187</v>
      </c>
      <c r="Q372">
        <f>N372*Q367</f>
        <v>1.4073827021499181</v>
      </c>
      <c r="R372">
        <f>N372*R367</f>
        <v>27.182591613259397</v>
      </c>
    </row>
    <row r="373" spans="1:18" x14ac:dyDescent="0.3">
      <c r="A373" s="398"/>
      <c r="B373" s="189"/>
      <c r="C373" s="189"/>
      <c r="D373" s="86"/>
      <c r="E373" s="88"/>
      <c r="F373" s="88"/>
      <c r="G373" s="88"/>
      <c r="H373" s="88"/>
      <c r="I373" s="86"/>
      <c r="J373" s="88"/>
      <c r="K373" s="38"/>
      <c r="L373" s="38"/>
      <c r="M373" s="38"/>
      <c r="N373" s="38"/>
    </row>
    <row r="374" spans="1:18" x14ac:dyDescent="0.3">
      <c r="A374" s="398"/>
      <c r="B374" s="189"/>
      <c r="C374" s="189"/>
      <c r="D374" s="158" t="s">
        <v>602</v>
      </c>
      <c r="E374" s="25"/>
      <c r="F374" s="157" t="s">
        <v>405</v>
      </c>
      <c r="G374" s="157">
        <f>G379</f>
        <v>1.246</v>
      </c>
      <c r="H374" s="157">
        <f>H379</f>
        <v>22.05</v>
      </c>
      <c r="I374" s="158"/>
      <c r="J374" s="157"/>
      <c r="K374" s="38"/>
      <c r="L374" s="38"/>
      <c r="M374" s="38"/>
      <c r="N374" s="38"/>
    </row>
    <row r="375" spans="1:18" x14ac:dyDescent="0.3">
      <c r="A375" s="398"/>
      <c r="B375" s="189"/>
      <c r="C375" s="88">
        <v>1</v>
      </c>
      <c r="D375" s="86"/>
      <c r="E375" t="s">
        <v>601</v>
      </c>
      <c r="G375" s="87">
        <f>G376+G378</f>
        <v>3.8559299999999999</v>
      </c>
      <c r="H375" s="87"/>
      <c r="K375" s="38"/>
      <c r="L375" s="38"/>
      <c r="M375" s="38"/>
      <c r="N375" s="38"/>
      <c r="Q375">
        <f>Q372+Q371+P361</f>
        <v>8.5</v>
      </c>
      <c r="R375">
        <f>R372+R371+Q361</f>
        <v>182.22898618555783</v>
      </c>
    </row>
    <row r="376" spans="1:18" x14ac:dyDescent="0.3">
      <c r="A376" s="398"/>
      <c r="B376" s="189"/>
      <c r="C376" s="88">
        <v>2</v>
      </c>
      <c r="D376" s="86"/>
      <c r="F376" s="12" t="s">
        <v>600</v>
      </c>
      <c r="G376" s="192">
        <v>1.1525399999999999</v>
      </c>
      <c r="H376" s="194"/>
      <c r="I376" s="195"/>
      <c r="J376" s="194"/>
      <c r="K376" s="38"/>
      <c r="L376" s="38"/>
      <c r="M376" s="38"/>
      <c r="N376" s="38"/>
    </row>
    <row r="377" spans="1:18" x14ac:dyDescent="0.3">
      <c r="A377" s="398"/>
      <c r="B377" s="189"/>
      <c r="C377" s="88">
        <v>3</v>
      </c>
      <c r="D377" s="86"/>
      <c r="E377" s="88"/>
      <c r="F377" s="88"/>
      <c r="G377" s="88"/>
      <c r="H377" s="88"/>
      <c r="I377" s="86" t="s">
        <v>599</v>
      </c>
      <c r="J377" s="88"/>
      <c r="K377" s="38"/>
      <c r="L377" s="38"/>
      <c r="M377" s="38"/>
      <c r="N377" s="38" t="s">
        <v>598</v>
      </c>
    </row>
    <row r="378" spans="1:18" x14ac:dyDescent="0.3">
      <c r="A378" s="398"/>
      <c r="B378" s="189"/>
      <c r="C378" s="88">
        <v>4</v>
      </c>
      <c r="D378" s="86"/>
      <c r="F378" s="195" t="s">
        <v>597</v>
      </c>
      <c r="G378" s="192">
        <v>2.7033900000000002</v>
      </c>
      <c r="H378" s="194"/>
      <c r="I378" s="195"/>
      <c r="J378" s="194"/>
      <c r="K378" s="38"/>
      <c r="L378" s="38"/>
      <c r="M378" s="38"/>
      <c r="N378" s="38" t="s">
        <v>596</v>
      </c>
      <c r="P378">
        <f>P363/Q366</f>
        <v>35.485714285714288</v>
      </c>
      <c r="Q378">
        <f>P378*Q366</f>
        <v>6.21</v>
      </c>
      <c r="R378">
        <f>P378*R366</f>
        <v>96.521142857142863</v>
      </c>
    </row>
    <row r="379" spans="1:18" x14ac:dyDescent="0.3">
      <c r="A379" s="398"/>
      <c r="B379" s="189"/>
      <c r="C379" s="88">
        <v>5</v>
      </c>
      <c r="D379" s="86"/>
      <c r="E379" s="88"/>
      <c r="F379" s="88"/>
      <c r="G379" s="182">
        <f>G380+G381</f>
        <v>1.246</v>
      </c>
      <c r="H379" s="182">
        <f>H380+H381</f>
        <v>22.05</v>
      </c>
      <c r="I379" s="86" t="s">
        <v>1087</v>
      </c>
      <c r="J379" s="88"/>
      <c r="K379" s="38"/>
      <c r="L379" s="38"/>
      <c r="M379" s="38"/>
      <c r="N379" s="38"/>
    </row>
    <row r="380" spans="1:18" x14ac:dyDescent="0.3">
      <c r="A380" s="398"/>
      <c r="B380" s="189"/>
      <c r="C380" s="189"/>
      <c r="D380" s="88"/>
      <c r="E380" s="88" t="s">
        <v>1006</v>
      </c>
      <c r="F380" s="88"/>
      <c r="G380" s="252">
        <v>0.72499999999999998</v>
      </c>
      <c r="H380" s="252">
        <v>14.1</v>
      </c>
      <c r="I380" s="86" t="s">
        <v>875</v>
      </c>
      <c r="J380" s="88"/>
      <c r="K380" s="38"/>
      <c r="L380" s="38"/>
      <c r="M380" s="38"/>
      <c r="N380" s="38"/>
    </row>
    <row r="381" spans="1:18" x14ac:dyDescent="0.3">
      <c r="A381" s="199"/>
      <c r="B381" s="189"/>
      <c r="C381" s="189"/>
      <c r="D381" s="88"/>
      <c r="E381" s="88"/>
      <c r="F381" s="88"/>
      <c r="G381" s="252">
        <v>0.52100000000000002</v>
      </c>
      <c r="H381" s="252">
        <v>7.95</v>
      </c>
      <c r="I381" s="86" t="s">
        <v>1007</v>
      </c>
      <c r="J381" s="88" t="s">
        <v>1079</v>
      </c>
      <c r="K381" s="38"/>
      <c r="L381" s="38"/>
      <c r="M381" s="38"/>
      <c r="N381" s="38"/>
    </row>
    <row r="382" spans="1:18" x14ac:dyDescent="0.3">
      <c r="A382" s="199"/>
      <c r="B382" s="189"/>
      <c r="C382" s="189"/>
      <c r="D382" s="158" t="s">
        <v>595</v>
      </c>
      <c r="E382" s="25"/>
      <c r="F382" s="157" t="s">
        <v>405</v>
      </c>
      <c r="G382" s="157">
        <f>G383</f>
        <v>0</v>
      </c>
      <c r="H382" s="157">
        <f>H383</f>
        <v>0</v>
      </c>
      <c r="I382" s="158"/>
      <c r="J382" s="157" t="s">
        <v>1078</v>
      </c>
      <c r="K382" s="38"/>
      <c r="L382" s="38"/>
      <c r="M382" s="38"/>
      <c r="N382" s="38"/>
    </row>
    <row r="383" spans="1:18" x14ac:dyDescent="0.3">
      <c r="A383" s="199"/>
      <c r="B383" s="189"/>
      <c r="C383" s="88">
        <v>1</v>
      </c>
      <c r="D383" s="86"/>
      <c r="F383" s="88"/>
      <c r="G383" s="144"/>
      <c r="H383" s="144"/>
      <c r="I383" s="86"/>
      <c r="J383" s="88"/>
      <c r="K383" s="38"/>
      <c r="L383" s="38"/>
      <c r="M383" s="38"/>
      <c r="N383" s="38"/>
    </row>
    <row r="384" spans="1:18" x14ac:dyDescent="0.3">
      <c r="A384" s="199"/>
      <c r="B384" s="189"/>
      <c r="C384" s="88">
        <v>2</v>
      </c>
      <c r="D384" s="86"/>
      <c r="E384" s="88"/>
      <c r="F384" s="88"/>
      <c r="G384" s="88"/>
      <c r="H384" s="88"/>
      <c r="I384" s="86"/>
      <c r="J384" s="88"/>
      <c r="K384" s="38"/>
      <c r="L384" s="38"/>
      <c r="M384" s="38"/>
      <c r="N384" s="38"/>
    </row>
    <row r="385" spans="1:16" x14ac:dyDescent="0.3">
      <c r="A385" s="199"/>
      <c r="B385" s="189"/>
      <c r="C385" s="88">
        <v>3</v>
      </c>
      <c r="D385" s="86"/>
      <c r="E385" s="88"/>
      <c r="F385" s="88"/>
      <c r="G385" s="88"/>
      <c r="H385" s="88"/>
      <c r="I385" s="86"/>
      <c r="J385" s="88"/>
      <c r="K385" s="38"/>
      <c r="L385" s="38"/>
      <c r="M385" s="38"/>
      <c r="N385" s="38"/>
    </row>
    <row r="386" spans="1:16" x14ac:dyDescent="0.3">
      <c r="A386" s="199"/>
      <c r="B386" s="189"/>
      <c r="C386" s="88">
        <v>4</v>
      </c>
      <c r="D386" s="86"/>
      <c r="E386" s="88"/>
      <c r="F386" s="88"/>
      <c r="G386" s="110">
        <v>0.73</v>
      </c>
      <c r="H386" s="110">
        <v>14.06</v>
      </c>
      <c r="I386" s="86" t="s">
        <v>594</v>
      </c>
      <c r="J386" s="88"/>
      <c r="K386" s="38"/>
      <c r="L386" s="38"/>
      <c r="M386" s="38"/>
      <c r="N386" s="38"/>
    </row>
    <row r="387" spans="1:16" x14ac:dyDescent="0.3">
      <c r="A387" s="199"/>
      <c r="B387" s="189"/>
      <c r="C387" s="88">
        <v>5</v>
      </c>
      <c r="D387" s="86"/>
      <c r="E387" s="88"/>
      <c r="F387" s="88"/>
      <c r="G387" s="88"/>
      <c r="H387" s="88"/>
      <c r="I387" s="86"/>
      <c r="J387" s="88"/>
      <c r="K387" s="38"/>
      <c r="L387" s="38"/>
      <c r="M387" s="38"/>
      <c r="N387" s="38"/>
    </row>
    <row r="388" spans="1:16" x14ac:dyDescent="0.3">
      <c r="A388" s="199"/>
      <c r="B388" s="189"/>
      <c r="C388" s="88"/>
      <c r="D388" s="86"/>
      <c r="E388" s="88"/>
      <c r="F388" s="88"/>
      <c r="G388" s="88"/>
      <c r="H388" s="88"/>
      <c r="I388" s="86"/>
      <c r="J388" s="88"/>
      <c r="K388" s="38"/>
      <c r="L388" s="38"/>
      <c r="M388" s="38"/>
      <c r="N388" s="38"/>
    </row>
    <row r="389" spans="1:16" x14ac:dyDescent="0.3">
      <c r="A389" s="199"/>
      <c r="B389" s="189"/>
      <c r="C389" s="88"/>
      <c r="D389" s="158" t="s">
        <v>593</v>
      </c>
      <c r="E389" s="179"/>
      <c r="F389" s="179"/>
      <c r="G389" s="179"/>
      <c r="H389" s="179"/>
      <c r="I389" s="180"/>
      <c r="J389" s="179"/>
      <c r="K389" s="38"/>
      <c r="L389" s="38"/>
      <c r="M389" s="38"/>
      <c r="N389" s="38"/>
    </row>
    <row r="390" spans="1:16" x14ac:dyDescent="0.3">
      <c r="A390" s="199"/>
      <c r="B390" s="189"/>
      <c r="C390" s="88"/>
      <c r="D390" s="86"/>
      <c r="E390" s="88" t="s">
        <v>592</v>
      </c>
      <c r="F390" s="88"/>
      <c r="G390" s="179">
        <f>P378</f>
        <v>35.485714285714288</v>
      </c>
      <c r="H390" s="88"/>
      <c r="I390" s="86"/>
      <c r="J390" s="88"/>
      <c r="K390" s="38"/>
      <c r="L390" s="38"/>
      <c r="M390" s="38"/>
      <c r="N390" s="38"/>
    </row>
    <row r="391" spans="1:16" x14ac:dyDescent="0.3">
      <c r="A391" s="199"/>
      <c r="B391" s="189"/>
      <c r="C391" s="189"/>
      <c r="D391" s="86"/>
      <c r="E391" s="88" t="s">
        <v>106</v>
      </c>
      <c r="F391" s="88"/>
      <c r="G391" s="179"/>
      <c r="H391" s="88"/>
      <c r="I391" s="86"/>
      <c r="J391" s="88"/>
      <c r="K391" s="38"/>
      <c r="L391" s="38"/>
      <c r="M391" s="38"/>
      <c r="N391" s="38"/>
    </row>
    <row r="392" spans="1:16" x14ac:dyDescent="0.3">
      <c r="A392" s="199"/>
      <c r="B392" s="189"/>
      <c r="C392" s="189"/>
      <c r="D392" s="88"/>
      <c r="E392" s="88"/>
      <c r="F392" s="88"/>
      <c r="G392" s="88"/>
      <c r="H392" s="88"/>
      <c r="I392" s="86"/>
      <c r="J392" s="88"/>
      <c r="K392" s="38"/>
      <c r="L392" s="38"/>
      <c r="M392" s="38" t="s">
        <v>315</v>
      </c>
      <c r="N392" s="38"/>
      <c r="O392" t="s">
        <v>1500</v>
      </c>
    </row>
    <row r="393" spans="1:16" x14ac:dyDescent="0.3">
      <c r="A393" s="199"/>
      <c r="B393" s="189"/>
      <c r="C393" s="189"/>
      <c r="D393" s="88"/>
      <c r="E393" s="88"/>
      <c r="F393" s="88"/>
      <c r="G393" s="88"/>
      <c r="H393" s="88"/>
      <c r="I393" s="86"/>
      <c r="J393" s="88"/>
      <c r="K393" s="38"/>
      <c r="L393" s="38"/>
      <c r="M393" s="38" t="s">
        <v>1501</v>
      </c>
      <c r="N393" s="38" t="s">
        <v>1502</v>
      </c>
      <c r="O393" t="s">
        <v>1501</v>
      </c>
      <c r="P393" s="38" t="s">
        <v>1502</v>
      </c>
    </row>
    <row r="394" spans="1:16" x14ac:dyDescent="0.3">
      <c r="A394" s="199"/>
      <c r="B394" s="189"/>
      <c r="C394" s="189"/>
      <c r="D394" s="158" t="s">
        <v>1498</v>
      </c>
      <c r="E394" s="179"/>
      <c r="F394" s="157" t="s">
        <v>660</v>
      </c>
      <c r="G394" s="179">
        <f>G395</f>
        <v>2.94</v>
      </c>
      <c r="H394" s="179">
        <f>H395</f>
        <v>60.5</v>
      </c>
      <c r="I394" s="180"/>
      <c r="J394" s="179"/>
      <c r="K394" s="38"/>
      <c r="L394" s="38"/>
      <c r="M394" s="38">
        <v>0.36199999999999999</v>
      </c>
      <c r="N394" s="38">
        <v>0.51800000000000002</v>
      </c>
      <c r="O394">
        <v>0.31900000000000001</v>
      </c>
    </row>
    <row r="395" spans="1:16" x14ac:dyDescent="0.3">
      <c r="A395" s="199"/>
      <c r="B395" s="189"/>
      <c r="C395" s="189"/>
      <c r="D395" s="86"/>
      <c r="E395" s="88" t="s">
        <v>1497</v>
      </c>
      <c r="F395" s="88"/>
      <c r="G395" s="184">
        <v>2.94</v>
      </c>
      <c r="H395" s="184">
        <v>60.5</v>
      </c>
      <c r="I395" s="86" t="s">
        <v>1499</v>
      </c>
      <c r="J395" s="88"/>
      <c r="K395" s="38"/>
      <c r="L395" s="38"/>
      <c r="M395" s="38"/>
      <c r="N395" s="38"/>
    </row>
    <row r="396" spans="1:16" x14ac:dyDescent="0.3">
      <c r="A396" s="199"/>
      <c r="B396" s="189"/>
      <c r="C396" s="189"/>
      <c r="D396" s="86"/>
      <c r="E396" s="88"/>
      <c r="F396" s="88"/>
      <c r="G396" s="88"/>
      <c r="H396" s="88"/>
      <c r="I396" s="86"/>
      <c r="J396" s="88"/>
      <c r="K396" s="38"/>
      <c r="L396" s="38"/>
      <c r="M396" s="38"/>
      <c r="N396" s="38"/>
    </row>
    <row r="397" spans="1:16" x14ac:dyDescent="0.3">
      <c r="A397" s="199"/>
      <c r="B397" s="189"/>
      <c r="C397" s="189"/>
      <c r="D397" s="88"/>
      <c r="E397" s="88"/>
      <c r="F397" s="88"/>
      <c r="G397" s="88"/>
      <c r="H397" s="88"/>
      <c r="I397" s="86"/>
      <c r="J397" s="88"/>
      <c r="K397" s="38"/>
      <c r="L397" s="38"/>
      <c r="M397" s="38"/>
      <c r="N397" s="38"/>
    </row>
    <row r="398" spans="1:16" x14ac:dyDescent="0.3">
      <c r="A398" s="199"/>
      <c r="B398" s="189"/>
      <c r="C398" s="189"/>
      <c r="D398" s="88"/>
      <c r="E398" s="88"/>
      <c r="F398" s="88"/>
      <c r="G398" s="88"/>
      <c r="H398" s="88"/>
      <c r="I398" s="86"/>
      <c r="J398" s="88"/>
      <c r="K398" s="38"/>
      <c r="L398" s="38"/>
      <c r="M398" s="38"/>
      <c r="N398" s="38"/>
    </row>
    <row r="399" spans="1:16" x14ac:dyDescent="0.3">
      <c r="A399" s="199"/>
      <c r="B399" s="189"/>
      <c r="C399" s="189"/>
      <c r="D399" s="88"/>
      <c r="E399" s="88"/>
      <c r="F399" s="88"/>
      <c r="G399" s="88"/>
      <c r="H399" s="88"/>
      <c r="I399" s="86"/>
      <c r="J399" s="88"/>
      <c r="K399" s="38"/>
      <c r="L399" s="38"/>
      <c r="M399" s="38"/>
      <c r="N399" s="38"/>
    </row>
    <row r="400" spans="1:16" x14ac:dyDescent="0.3">
      <c r="A400" s="199"/>
      <c r="B400" s="189"/>
      <c r="C400" s="189"/>
      <c r="D400" s="88"/>
      <c r="E400" s="88"/>
      <c r="F400" s="88"/>
      <c r="G400" s="88"/>
      <c r="H400" s="88"/>
      <c r="I400" s="86"/>
      <c r="J400" s="88"/>
      <c r="K400" s="38"/>
      <c r="L400" s="38"/>
      <c r="M400" s="38"/>
      <c r="N400" s="38"/>
    </row>
    <row r="401" spans="1:26" x14ac:dyDescent="0.3">
      <c r="A401" s="199"/>
      <c r="B401" s="189"/>
      <c r="C401" s="189"/>
      <c r="D401" s="88"/>
      <c r="E401" s="88"/>
      <c r="F401" s="88"/>
      <c r="G401" s="88"/>
      <c r="H401" s="88"/>
      <c r="I401" s="86"/>
      <c r="J401" s="88"/>
      <c r="K401" s="38"/>
      <c r="L401" s="38"/>
      <c r="M401" s="38"/>
      <c r="N401" s="38"/>
    </row>
    <row r="402" spans="1:26" x14ac:dyDescent="0.3">
      <c r="A402" s="169"/>
      <c r="B402" s="172"/>
      <c r="C402" s="172"/>
      <c r="D402" s="167"/>
      <c r="E402" s="167"/>
      <c r="F402" s="167"/>
      <c r="G402" s="167"/>
      <c r="H402" s="167"/>
      <c r="I402" s="168"/>
      <c r="J402" s="167"/>
      <c r="K402" s="38"/>
      <c r="L402" s="38"/>
      <c r="M402" s="38"/>
      <c r="N402" s="38" t="s">
        <v>591</v>
      </c>
      <c r="O402">
        <v>28.89</v>
      </c>
      <c r="P402">
        <v>560.45000000000005</v>
      </c>
    </row>
    <row r="403" spans="1:26" x14ac:dyDescent="0.3">
      <c r="A403" s="189" t="s">
        <v>590</v>
      </c>
      <c r="C403" s="189"/>
      <c r="D403" s="51"/>
      <c r="E403" s="51"/>
      <c r="F403" s="51"/>
      <c r="G403" s="51"/>
      <c r="H403" s="51"/>
      <c r="I403" s="190"/>
      <c r="J403" s="51"/>
      <c r="K403" s="38"/>
      <c r="L403" s="38"/>
      <c r="M403" s="396" t="s">
        <v>589</v>
      </c>
      <c r="N403" s="396"/>
      <c r="O403" s="396"/>
      <c r="P403" s="396"/>
      <c r="Q403" s="396"/>
      <c r="R403" s="396"/>
    </row>
    <row r="404" spans="1:26" x14ac:dyDescent="0.3">
      <c r="A404" s="189"/>
      <c r="B404" t="s">
        <v>588</v>
      </c>
      <c r="C404" s="158" t="s">
        <v>587</v>
      </c>
      <c r="D404" s="18"/>
      <c r="E404" s="25"/>
      <c r="F404" s="157" t="s">
        <v>405</v>
      </c>
      <c r="G404" s="157">
        <f>G408</f>
        <v>23.61956697627118</v>
      </c>
      <c r="H404" s="157">
        <f>H408</f>
        <v>473.73135881355932</v>
      </c>
      <c r="I404" s="188"/>
      <c r="J404" s="157"/>
      <c r="K404" s="38"/>
      <c r="L404" s="38"/>
      <c r="M404" s="38"/>
      <c r="N404" s="38"/>
      <c r="R404" s="404" t="s">
        <v>586</v>
      </c>
      <c r="S404" s="404"/>
      <c r="T404" s="404"/>
      <c r="V404" s="404" t="s">
        <v>585</v>
      </c>
      <c r="W404" s="404"/>
      <c r="X404" s="404"/>
      <c r="Z404" t="s">
        <v>584</v>
      </c>
    </row>
    <row r="405" spans="1:26" x14ac:dyDescent="0.3">
      <c r="A405" s="189"/>
      <c r="C405" s="189">
        <v>1</v>
      </c>
      <c r="D405" s="86"/>
      <c r="G405" s="198"/>
      <c r="H405" s="198"/>
      <c r="I405" s="197"/>
      <c r="K405" s="38"/>
      <c r="L405" s="38"/>
      <c r="O405" t="s">
        <v>32</v>
      </c>
      <c r="P405" t="s">
        <v>162</v>
      </c>
      <c r="Q405" s="95" t="s">
        <v>1</v>
      </c>
      <c r="R405" t="s">
        <v>289</v>
      </c>
      <c r="S405" t="s">
        <v>32</v>
      </c>
      <c r="T405" t="s">
        <v>162</v>
      </c>
      <c r="W405" t="s">
        <v>32</v>
      </c>
      <c r="X405" t="s">
        <v>162</v>
      </c>
    </row>
    <row r="406" spans="1:26" x14ac:dyDescent="0.3">
      <c r="A406" s="189"/>
      <c r="C406" s="189">
        <v>2</v>
      </c>
      <c r="D406" s="86"/>
      <c r="F406" s="88"/>
      <c r="G406" s="88">
        <v>13.48</v>
      </c>
      <c r="H406" s="88"/>
      <c r="I406" s="117" t="s">
        <v>583</v>
      </c>
      <c r="J406" s="88"/>
      <c r="K406" s="38"/>
      <c r="L406" s="38"/>
      <c r="M406" s="42" t="s">
        <v>582</v>
      </c>
      <c r="Q406" s="95"/>
      <c r="R406">
        <v>100</v>
      </c>
      <c r="S406">
        <f>SUM(S407:S413)</f>
        <v>23.61956697627118</v>
      </c>
      <c r="T406">
        <f>SUM(T407:T413)</f>
        <v>473.73135881355932</v>
      </c>
      <c r="V406" s="147"/>
      <c r="W406">
        <f>SUM(W407:W412)</f>
        <v>5.1665818409084743</v>
      </c>
      <c r="X406">
        <f>SUM(X407:X412)</f>
        <v>104.25763350542371</v>
      </c>
      <c r="Z406" s="1">
        <f>SUM(Z407:Z412)</f>
        <v>1.1587943199999999</v>
      </c>
    </row>
    <row r="407" spans="1:26" x14ac:dyDescent="0.3">
      <c r="A407" s="189"/>
      <c r="C407" s="189">
        <v>3</v>
      </c>
      <c r="D407" s="86"/>
      <c r="E407" s="88"/>
      <c r="F407" s="88"/>
      <c r="G407" s="88"/>
      <c r="H407" s="88"/>
      <c r="I407" s="86"/>
      <c r="J407" s="88"/>
      <c r="K407" s="38"/>
      <c r="L407" s="38"/>
      <c r="M407" s="42"/>
      <c r="N407" s="42" t="s">
        <v>576</v>
      </c>
      <c r="O407">
        <f>G418</f>
        <v>39.200000000000003</v>
      </c>
      <c r="P407">
        <f>H418</f>
        <v>789</v>
      </c>
      <c r="Q407" s="95"/>
      <c r="R407" s="1">
        <f>'Collective imput'!L21</f>
        <v>0.51437999999999995</v>
      </c>
      <c r="S407">
        <f>O407*R407</f>
        <v>20.163695999999998</v>
      </c>
      <c r="T407">
        <f>P407*R407</f>
        <v>405.84581999999995</v>
      </c>
      <c r="V407" s="1">
        <f>'Collective imput'!N21</f>
        <v>0.25</v>
      </c>
      <c r="W407">
        <f t="shared" ref="W407:W412" si="0">V407*S407</f>
        <v>5.0409239999999995</v>
      </c>
      <c r="X407">
        <f t="shared" ref="X407:X412" si="1">V407*T407</f>
        <v>101.46145499999999</v>
      </c>
      <c r="Z407" s="1">
        <f>'Collective imput'!Q21</f>
        <v>0.64297499999999996</v>
      </c>
    </row>
    <row r="408" spans="1:26" x14ac:dyDescent="0.3">
      <c r="A408" s="189"/>
      <c r="C408" s="189">
        <v>4</v>
      </c>
      <c r="D408" s="86"/>
      <c r="E408" s="86"/>
      <c r="F408" s="88"/>
      <c r="G408" s="88">
        <f>S406</f>
        <v>23.61956697627118</v>
      </c>
      <c r="H408" s="88">
        <f>T406</f>
        <v>473.73135881355932</v>
      </c>
      <c r="I408" s="86" t="s">
        <v>581</v>
      </c>
      <c r="J408" s="88"/>
      <c r="K408" s="38"/>
      <c r="L408" s="38"/>
      <c r="M408" s="42"/>
      <c r="N408" s="42" t="s">
        <v>570</v>
      </c>
      <c r="O408">
        <f>G444</f>
        <v>4.92</v>
      </c>
      <c r="P408">
        <f>H444</f>
        <v>107</v>
      </c>
      <c r="Q408" s="95"/>
      <c r="R408" s="1">
        <f>'Collective imput'!L22</f>
        <v>0.29061016949152541</v>
      </c>
      <c r="S408">
        <f>O408*R408</f>
        <v>1.4298020338983051</v>
      </c>
      <c r="T408">
        <f>P408*R408</f>
        <v>31.095288135593218</v>
      </c>
      <c r="V408" s="1">
        <f>'Collective imput'!N22</f>
        <v>4.5999999999999999E-2</v>
      </c>
      <c r="W408">
        <f t="shared" si="0"/>
        <v>6.577089355932203E-2</v>
      </c>
      <c r="X408">
        <f t="shared" si="1"/>
        <v>1.4303832542372881</v>
      </c>
      <c r="Z408" s="1">
        <f>'Collective imput'!Q22</f>
        <v>0.30397823728813561</v>
      </c>
    </row>
    <row r="409" spans="1:26" x14ac:dyDescent="0.3">
      <c r="A409" s="189"/>
      <c r="C409" s="189">
        <v>5</v>
      </c>
      <c r="D409" s="88"/>
      <c r="E409" s="88"/>
      <c r="F409" s="88"/>
      <c r="G409" s="88"/>
      <c r="H409" s="88">
        <f>1.2*1000</f>
        <v>1200</v>
      </c>
      <c r="I409" s="86" t="s">
        <v>580</v>
      </c>
      <c r="J409" s="88"/>
      <c r="K409" s="38"/>
      <c r="L409" s="38"/>
      <c r="M409" s="42"/>
      <c r="N409" s="42" t="s">
        <v>551</v>
      </c>
      <c r="O409">
        <f>G451</f>
        <v>4.47</v>
      </c>
      <c r="P409">
        <f>H451</f>
        <v>114</v>
      </c>
      <c r="Q409" s="95"/>
      <c r="R409" s="1">
        <f>'Collective imput'!L23</f>
        <v>5.2309830508474583E-2</v>
      </c>
      <c r="S409">
        <f>O409*R409</f>
        <v>0.23382494237288137</v>
      </c>
      <c r="T409">
        <f>P409*R409</f>
        <v>5.9633206779661023</v>
      </c>
      <c r="V409" s="1">
        <f>'Collective imput'!N23</f>
        <v>4.5999999999999999E-2</v>
      </c>
      <c r="W409">
        <f t="shared" si="0"/>
        <v>1.0755947349152544E-2</v>
      </c>
      <c r="X409">
        <f t="shared" si="1"/>
        <v>0.27431275118644072</v>
      </c>
      <c r="Z409" s="1">
        <f>'Collective imput'!Q23</f>
        <v>5.4716082711864414E-2</v>
      </c>
    </row>
    <row r="410" spans="1:26" x14ac:dyDescent="0.3">
      <c r="A410" s="189"/>
      <c r="C410" s="189"/>
      <c r="D410" s="88"/>
      <c r="E410" s="88"/>
      <c r="F410" s="88"/>
      <c r="G410" s="88"/>
      <c r="H410" s="88"/>
      <c r="I410" s="86"/>
      <c r="J410" s="88"/>
      <c r="K410" s="38"/>
      <c r="L410" s="38"/>
      <c r="M410" s="42"/>
      <c r="N410" s="42" t="s">
        <v>569</v>
      </c>
      <c r="O410">
        <f>G458</f>
        <v>3.22</v>
      </c>
      <c r="P410">
        <f>H458</f>
        <v>70.900000000000006</v>
      </c>
      <c r="Q410" s="95"/>
      <c r="R410" s="1">
        <f>'Collective imput'!L24</f>
        <v>4.7699999999999999E-2</v>
      </c>
      <c r="S410">
        <f>O410*R410</f>
        <v>0.15359400000000001</v>
      </c>
      <c r="T410">
        <f>P410*R410</f>
        <v>3.3819300000000001</v>
      </c>
      <c r="V410" s="1">
        <f>'Collective imput'!N24</f>
        <v>0.25</v>
      </c>
      <c r="W410">
        <f t="shared" si="0"/>
        <v>3.8398500000000002E-2</v>
      </c>
      <c r="X410">
        <f t="shared" si="1"/>
        <v>0.84548250000000003</v>
      </c>
      <c r="Z410" s="1">
        <f>'Collective imput'!Q24</f>
        <v>5.9624999999999997E-2</v>
      </c>
    </row>
    <row r="411" spans="1:26" x14ac:dyDescent="0.3">
      <c r="A411" s="189"/>
      <c r="B411" t="s">
        <v>579</v>
      </c>
      <c r="C411" s="158" t="s">
        <v>578</v>
      </c>
      <c r="D411" s="18"/>
      <c r="E411" s="25"/>
      <c r="F411" s="157" t="s">
        <v>405</v>
      </c>
      <c r="G411" s="157">
        <f>G413</f>
        <v>4.4137059762711868</v>
      </c>
      <c r="H411" s="157">
        <f>H413</f>
        <v>88.429673480225972</v>
      </c>
      <c r="I411" s="158"/>
      <c r="J411" s="157"/>
      <c r="K411" s="38"/>
      <c r="L411" s="38"/>
      <c r="M411" s="42"/>
      <c r="N411" s="42" t="s">
        <v>567</v>
      </c>
      <c r="O411">
        <f>G465</f>
        <v>3.88</v>
      </c>
      <c r="P411">
        <f>H465</f>
        <v>78.5</v>
      </c>
      <c r="Q411" s="95"/>
      <c r="R411" s="1">
        <f>'Collective imput'!L25</f>
        <v>4.4999999999999998E-2</v>
      </c>
      <c r="S411">
        <f>O411*R412</f>
        <v>0.19400000000000001</v>
      </c>
      <c r="T411">
        <f>P411*R412</f>
        <v>3.9250000000000003</v>
      </c>
      <c r="V411" s="1">
        <f>'Collective imput'!N25</f>
        <v>0</v>
      </c>
      <c r="W411">
        <f t="shared" si="0"/>
        <v>0</v>
      </c>
      <c r="X411">
        <f t="shared" si="1"/>
        <v>0</v>
      </c>
      <c r="Z411" s="1">
        <f>'Collective imput'!Q25</f>
        <v>4.4999999999999998E-2</v>
      </c>
    </row>
    <row r="412" spans="1:26" x14ac:dyDescent="0.3">
      <c r="A412" s="189"/>
      <c r="C412" s="189">
        <v>1</v>
      </c>
      <c r="D412" s="86"/>
      <c r="G412" s="87"/>
      <c r="H412" s="87"/>
      <c r="K412" s="38"/>
      <c r="L412" s="38"/>
      <c r="N412" s="42" t="s">
        <v>544</v>
      </c>
      <c r="O412">
        <f>G472</f>
        <v>4.7699999999999996</v>
      </c>
      <c r="P412">
        <f>H472</f>
        <v>109.33333333333333</v>
      </c>
      <c r="Q412" s="95"/>
      <c r="R412" s="1">
        <f>'Collective imput'!L26</f>
        <v>0.05</v>
      </c>
      <c r="S412">
        <f>O412*R411</f>
        <v>0.21464999999999998</v>
      </c>
      <c r="T412">
        <f>P412*R411</f>
        <v>4.92</v>
      </c>
      <c r="V412" s="1">
        <f>'Collective imput'!N26</f>
        <v>0.05</v>
      </c>
      <c r="W412">
        <f t="shared" si="0"/>
        <v>1.0732499999999999E-2</v>
      </c>
      <c r="X412">
        <f t="shared" si="1"/>
        <v>0.246</v>
      </c>
      <c r="Z412" s="1">
        <f>'Collective imput'!Q26</f>
        <v>5.2500000000000005E-2</v>
      </c>
    </row>
    <row r="413" spans="1:26" x14ac:dyDescent="0.3">
      <c r="A413" s="189"/>
      <c r="C413" s="189">
        <v>2</v>
      </c>
      <c r="D413" s="86"/>
      <c r="F413" s="88"/>
      <c r="G413" s="88">
        <f>S425</f>
        <v>4.4137059762711868</v>
      </c>
      <c r="H413" s="88">
        <f>T425</f>
        <v>88.429673480225972</v>
      </c>
      <c r="I413" s="86" t="s">
        <v>577</v>
      </c>
      <c r="J413" s="88"/>
      <c r="K413" s="38"/>
      <c r="L413" s="38"/>
      <c r="N413" s="42" t="s">
        <v>563</v>
      </c>
      <c r="O413">
        <f>G479</f>
        <v>1.23</v>
      </c>
      <c r="P413">
        <f>H479</f>
        <v>18.600000000000001</v>
      </c>
      <c r="Q413" s="95"/>
      <c r="R413" s="196">
        <f>'Collective imput'!L27</f>
        <v>1</v>
      </c>
      <c r="S413">
        <f>O413*R413</f>
        <v>1.23</v>
      </c>
      <c r="T413">
        <f>P413*R413</f>
        <v>18.600000000000001</v>
      </c>
      <c r="V413" s="1"/>
    </row>
    <row r="414" spans="1:26" x14ac:dyDescent="0.3">
      <c r="A414" s="189"/>
      <c r="C414" s="189">
        <v>3</v>
      </c>
      <c r="D414" s="86"/>
      <c r="E414" s="88"/>
      <c r="F414" s="88"/>
      <c r="G414" s="88"/>
      <c r="H414" s="88"/>
      <c r="I414" s="86"/>
      <c r="J414" s="88"/>
      <c r="K414" s="38"/>
      <c r="L414" s="38"/>
      <c r="M414" s="38"/>
      <c r="R414" s="1">
        <f>SUM(R407:R412)</f>
        <v>1</v>
      </c>
    </row>
    <row r="415" spans="1:26" x14ac:dyDescent="0.3">
      <c r="A415" s="189"/>
      <c r="C415" s="189">
        <v>4</v>
      </c>
      <c r="D415" s="86"/>
      <c r="E415" s="86"/>
      <c r="F415" s="88"/>
      <c r="G415" s="88"/>
      <c r="H415" s="88"/>
      <c r="I415" s="86"/>
      <c r="J415" s="88"/>
      <c r="K415" s="38"/>
      <c r="L415" s="38"/>
      <c r="M415" s="38"/>
      <c r="N415" s="38"/>
    </row>
    <row r="416" spans="1:26" x14ac:dyDescent="0.3">
      <c r="A416" s="189"/>
      <c r="C416" s="189">
        <v>5</v>
      </c>
      <c r="D416" s="88"/>
      <c r="E416" s="88"/>
      <c r="F416" s="88"/>
      <c r="G416" s="88"/>
      <c r="H416" s="88"/>
      <c r="I416" s="86"/>
      <c r="J416" s="88"/>
      <c r="K416" s="38"/>
      <c r="L416" s="38"/>
      <c r="M416" s="38"/>
      <c r="N416" s="38"/>
    </row>
    <row r="417" spans="1:26" x14ac:dyDescent="0.3">
      <c r="A417" s="189"/>
      <c r="C417" s="189"/>
      <c r="D417" s="88"/>
      <c r="E417" s="88"/>
      <c r="F417" s="88"/>
      <c r="G417" s="88"/>
      <c r="H417" s="88"/>
      <c r="I417" s="86"/>
      <c r="J417" s="88"/>
      <c r="K417" s="38"/>
      <c r="L417" s="38"/>
      <c r="M417" s="38"/>
      <c r="N417" s="38"/>
    </row>
    <row r="418" spans="1:26" x14ac:dyDescent="0.3">
      <c r="A418" s="189"/>
      <c r="C418" s="189"/>
      <c r="D418" s="158" t="s">
        <v>576</v>
      </c>
      <c r="E418" s="179"/>
      <c r="F418" s="157" t="s">
        <v>541</v>
      </c>
      <c r="G418" s="179">
        <f>G420</f>
        <v>39.200000000000003</v>
      </c>
      <c r="H418" s="179">
        <f>H420</f>
        <v>789</v>
      </c>
      <c r="I418" s="180"/>
      <c r="J418" s="179"/>
      <c r="K418" s="38"/>
      <c r="L418" s="38"/>
      <c r="M418" s="38"/>
      <c r="N418" s="38"/>
    </row>
    <row r="419" spans="1:26" x14ac:dyDescent="0.3">
      <c r="A419" s="189"/>
      <c r="C419" s="189"/>
      <c r="D419" s="139"/>
      <c r="E419" s="88"/>
      <c r="F419" s="140"/>
      <c r="G419" s="88"/>
      <c r="H419" s="88"/>
      <c r="I419" s="86" t="s">
        <v>573</v>
      </c>
      <c r="J419" s="88"/>
      <c r="K419" s="38"/>
      <c r="L419" s="38"/>
      <c r="M419" s="38"/>
      <c r="N419" s="38"/>
    </row>
    <row r="420" spans="1:26" x14ac:dyDescent="0.3">
      <c r="A420" s="189"/>
      <c r="C420" s="189"/>
      <c r="D420" s="139"/>
      <c r="E420" s="88" t="s">
        <v>1111</v>
      </c>
      <c r="F420" s="140"/>
      <c r="G420" s="252">
        <v>39.200000000000003</v>
      </c>
      <c r="H420" s="252">
        <v>789</v>
      </c>
      <c r="I420" s="86" t="s">
        <v>1109</v>
      </c>
      <c r="J420" s="88"/>
      <c r="K420" s="38"/>
      <c r="L420" s="38"/>
      <c r="M420" s="38"/>
      <c r="N420" s="38"/>
    </row>
    <row r="421" spans="1:26" x14ac:dyDescent="0.3">
      <c r="A421" s="189"/>
      <c r="C421" s="189"/>
      <c r="D421" s="139"/>
      <c r="E421" s="88"/>
      <c r="F421" s="140"/>
      <c r="G421" s="88">
        <v>86.5</v>
      </c>
      <c r="H421" s="88">
        <v>1200</v>
      </c>
      <c r="I421" s="305" t="s">
        <v>1105</v>
      </c>
      <c r="J421" s="88"/>
      <c r="K421" s="38"/>
      <c r="L421" s="38"/>
      <c r="M421" s="38"/>
      <c r="N421" s="38"/>
    </row>
    <row r="422" spans="1:26" x14ac:dyDescent="0.3">
      <c r="A422" s="189"/>
      <c r="C422" s="189">
        <v>1</v>
      </c>
      <c r="D422" s="88"/>
      <c r="E422" s="88" t="s">
        <v>438</v>
      </c>
      <c r="F422" s="88"/>
      <c r="G422" s="110">
        <v>48.7</v>
      </c>
      <c r="H422" s="110">
        <v>940.97</v>
      </c>
      <c r="I422" s="86" t="s">
        <v>575</v>
      </c>
      <c r="J422" s="88"/>
      <c r="K422" s="38"/>
      <c r="L422" s="38"/>
      <c r="M422" s="396" t="s">
        <v>574</v>
      </c>
      <c r="N422" s="396"/>
      <c r="O422" s="396"/>
      <c r="P422" s="396"/>
      <c r="Q422" s="396"/>
      <c r="R422" s="396"/>
    </row>
    <row r="423" spans="1:26" x14ac:dyDescent="0.3">
      <c r="A423" s="189"/>
      <c r="C423" s="189">
        <v>2</v>
      </c>
      <c r="D423" s="88"/>
      <c r="E423" s="88"/>
      <c r="F423" s="88"/>
      <c r="G423" s="88">
        <v>39.200000000000003</v>
      </c>
      <c r="H423" s="88"/>
      <c r="I423" s="86" t="s">
        <v>573</v>
      </c>
      <c r="J423" s="88"/>
      <c r="K423" s="38"/>
      <c r="L423" s="38"/>
      <c r="M423" s="38"/>
      <c r="N423" s="38"/>
      <c r="R423" s="404"/>
      <c r="S423" s="404"/>
      <c r="T423" s="404"/>
      <c r="V423" s="404"/>
      <c r="W423" s="404"/>
      <c r="X423" s="404"/>
      <c r="Z423" t="s">
        <v>55</v>
      </c>
    </row>
    <row r="424" spans="1:26" x14ac:dyDescent="0.3">
      <c r="A424" s="189"/>
      <c r="C424" s="189">
        <v>3</v>
      </c>
      <c r="D424" s="88"/>
      <c r="E424" s="88"/>
      <c r="F424" s="88"/>
      <c r="G424" s="88">
        <v>31</v>
      </c>
      <c r="H424" s="88"/>
      <c r="I424" s="86" t="s">
        <v>572</v>
      </c>
      <c r="J424" s="88"/>
      <c r="K424" s="38"/>
      <c r="L424" s="38"/>
      <c r="O424" t="s">
        <v>32</v>
      </c>
      <c r="P424" t="s">
        <v>162</v>
      </c>
      <c r="Q424" s="95" t="s">
        <v>1</v>
      </c>
      <c r="R424" t="s">
        <v>289</v>
      </c>
      <c r="S424" t="s">
        <v>32</v>
      </c>
      <c r="T424" t="s">
        <v>162</v>
      </c>
      <c r="W424" t="s">
        <v>32</v>
      </c>
      <c r="X424" t="s">
        <v>162</v>
      </c>
      <c r="Z424" s="14">
        <f>SUM(Z426:Z431)</f>
        <v>1.15811932</v>
      </c>
    </row>
    <row r="425" spans="1:26" x14ac:dyDescent="0.3">
      <c r="A425" s="189"/>
      <c r="C425" s="189">
        <v>4</v>
      </c>
      <c r="D425" s="88"/>
      <c r="E425" s="88"/>
      <c r="F425" s="88"/>
      <c r="G425" s="88">
        <v>20.5</v>
      </c>
      <c r="H425" s="88"/>
      <c r="I425" s="86" t="s">
        <v>571</v>
      </c>
      <c r="J425" s="88"/>
      <c r="K425" s="38"/>
      <c r="L425" s="38"/>
      <c r="M425" s="42" t="s">
        <v>123</v>
      </c>
      <c r="Q425" s="95"/>
      <c r="R425">
        <v>100</v>
      </c>
      <c r="S425">
        <f>SUM(S426:S432)</f>
        <v>4.4137059762711868</v>
      </c>
      <c r="T425">
        <f>SUM(T426:T432)</f>
        <v>88.429673480225972</v>
      </c>
      <c r="W425">
        <f>SUM(W426:W431)</f>
        <v>0.36257759090847458</v>
      </c>
      <c r="X425">
        <f>SUM(X426:X431)</f>
        <v>7.8680163387570623</v>
      </c>
    </row>
    <row r="426" spans="1:26" x14ac:dyDescent="0.3">
      <c r="A426" s="189"/>
      <c r="C426" s="189">
        <v>5</v>
      </c>
      <c r="D426" s="88"/>
      <c r="E426" s="88"/>
      <c r="F426" s="88"/>
      <c r="G426" s="88">
        <v>53</v>
      </c>
      <c r="H426" s="88"/>
      <c r="I426" s="86" t="s">
        <v>571</v>
      </c>
      <c r="J426" s="88"/>
      <c r="K426" s="38"/>
      <c r="L426" s="38"/>
      <c r="M426" s="42"/>
      <c r="N426" s="42" t="s">
        <v>562</v>
      </c>
      <c r="O426">
        <f>G434</f>
        <v>1.85</v>
      </c>
      <c r="P426">
        <f>H434</f>
        <v>39.6</v>
      </c>
      <c r="Q426" s="95"/>
      <c r="R426" s="1">
        <f>'Collective imput'!P42</f>
        <v>0.51437999999999995</v>
      </c>
      <c r="S426">
        <f t="shared" ref="S426:S432" si="2">O426*R426</f>
        <v>0.95160299999999998</v>
      </c>
      <c r="T426">
        <f t="shared" ref="T426:T432" si="3">P426*R426</f>
        <v>20.369447999999998</v>
      </c>
      <c r="V426" s="1">
        <f>'Collective imput'!R42</f>
        <v>0.25</v>
      </c>
      <c r="W426">
        <f t="shared" ref="W426:W431" si="4">V426*S426</f>
        <v>0.23790074999999999</v>
      </c>
      <c r="X426">
        <f t="shared" ref="X426:X431" si="5">V426*T426</f>
        <v>5.0923619999999996</v>
      </c>
      <c r="Z426" s="1">
        <f>'Collective imput'!U42</f>
        <v>0.64297499999999996</v>
      </c>
    </row>
    <row r="427" spans="1:26" x14ac:dyDescent="0.3">
      <c r="A427" s="189"/>
      <c r="C427" s="189"/>
      <c r="D427" s="88"/>
      <c r="E427" s="88"/>
      <c r="F427" s="88"/>
      <c r="G427" s="88">
        <v>29.7</v>
      </c>
      <c r="H427" s="88"/>
      <c r="I427" s="86" t="s">
        <v>571</v>
      </c>
      <c r="J427" s="88"/>
      <c r="K427" s="38"/>
      <c r="L427" s="38"/>
      <c r="M427" s="42"/>
      <c r="N427" s="42" t="s">
        <v>570</v>
      </c>
      <c r="O427">
        <f>G444</f>
        <v>4.92</v>
      </c>
      <c r="P427">
        <f>H444</f>
        <v>107</v>
      </c>
      <c r="Q427" s="95"/>
      <c r="R427" s="1">
        <f>'Collective imput'!P43</f>
        <v>0.29061016949152541</v>
      </c>
      <c r="S427">
        <f t="shared" si="2"/>
        <v>1.4298020338983051</v>
      </c>
      <c r="T427">
        <f t="shared" si="3"/>
        <v>31.095288135593218</v>
      </c>
      <c r="V427" s="1">
        <f>'Collective imput'!R43</f>
        <v>4.5999999999999999E-2</v>
      </c>
      <c r="W427">
        <f t="shared" si="4"/>
        <v>6.577089355932203E-2</v>
      </c>
      <c r="X427">
        <f t="shared" si="5"/>
        <v>1.4303832542372881</v>
      </c>
      <c r="Z427" s="1">
        <f>'Collective imput'!U43</f>
        <v>0.30397823728813561</v>
      </c>
    </row>
    <row r="428" spans="1:26" x14ac:dyDescent="0.3">
      <c r="A428" s="189"/>
      <c r="C428" s="189"/>
      <c r="D428" s="88"/>
      <c r="E428" s="88"/>
      <c r="F428" s="88"/>
      <c r="G428" s="88"/>
      <c r="H428" s="88"/>
      <c r="I428" s="86"/>
      <c r="J428" s="88"/>
      <c r="K428" s="38"/>
      <c r="L428" s="38"/>
      <c r="M428" s="42"/>
      <c r="N428" s="42" t="s">
        <v>551</v>
      </c>
      <c r="O428">
        <f>G451</f>
        <v>4.47</v>
      </c>
      <c r="P428">
        <f>H451</f>
        <v>114</v>
      </c>
      <c r="Q428" s="95"/>
      <c r="R428" s="1">
        <f>'Collective imput'!P44</f>
        <v>5.2309830508474583E-2</v>
      </c>
      <c r="S428">
        <f t="shared" si="2"/>
        <v>0.23382494237288137</v>
      </c>
      <c r="T428">
        <f t="shared" si="3"/>
        <v>5.9633206779661023</v>
      </c>
      <c r="V428" s="1">
        <f>'Collective imput'!R44</f>
        <v>4.5999999999999999E-2</v>
      </c>
      <c r="W428">
        <f t="shared" si="4"/>
        <v>1.0755947349152544E-2</v>
      </c>
      <c r="X428">
        <f t="shared" si="5"/>
        <v>0.27431275118644072</v>
      </c>
      <c r="Z428" s="1">
        <f>'Collective imput'!U44</f>
        <v>5.4716082711864414E-2</v>
      </c>
    </row>
    <row r="429" spans="1:26" x14ac:dyDescent="0.3">
      <c r="A429" s="189"/>
      <c r="C429" s="189"/>
      <c r="D429" s="88"/>
      <c r="E429" s="88"/>
      <c r="F429" s="88"/>
      <c r="G429" s="88"/>
      <c r="H429" s="88"/>
      <c r="I429" s="86"/>
      <c r="J429" s="88"/>
      <c r="K429" s="38"/>
      <c r="L429" s="38"/>
      <c r="M429" s="42"/>
      <c r="N429" s="42" t="s">
        <v>569</v>
      </c>
      <c r="O429">
        <f>G458</f>
        <v>3.22</v>
      </c>
      <c r="P429">
        <f>H458</f>
        <v>70.900000000000006</v>
      </c>
      <c r="Q429" s="95"/>
      <c r="R429" s="1">
        <f>'Collective imput'!P45</f>
        <v>4.4999999999999998E-2</v>
      </c>
      <c r="S429">
        <f t="shared" si="2"/>
        <v>0.1449</v>
      </c>
      <c r="T429">
        <f t="shared" si="3"/>
        <v>3.1905000000000001</v>
      </c>
      <c r="V429" s="1">
        <f>'Collective imput'!R45</f>
        <v>0.25</v>
      </c>
      <c r="W429">
        <f t="shared" si="4"/>
        <v>3.6225E-2</v>
      </c>
      <c r="X429">
        <f t="shared" si="5"/>
        <v>0.79762500000000003</v>
      </c>
      <c r="Z429" s="1">
        <f>'Collective imput'!U45</f>
        <v>5.6249999999999994E-2</v>
      </c>
    </row>
    <row r="430" spans="1:26" x14ac:dyDescent="0.3">
      <c r="A430" s="189"/>
      <c r="C430" s="189"/>
      <c r="D430" s="88"/>
      <c r="E430" s="194" t="s">
        <v>568</v>
      </c>
      <c r="F430" s="194"/>
      <c r="G430" s="194"/>
      <c r="H430" s="194"/>
      <c r="I430" s="195"/>
      <c r="J430" s="194"/>
      <c r="K430" s="38"/>
      <c r="L430" s="38"/>
      <c r="M430" s="42"/>
      <c r="N430" s="42" t="s">
        <v>567</v>
      </c>
      <c r="O430">
        <f>G465</f>
        <v>3.88</v>
      </c>
      <c r="P430">
        <f>H465</f>
        <v>78.5</v>
      </c>
      <c r="Q430" s="95"/>
      <c r="R430" s="1">
        <f>'Collective imput'!P46</f>
        <v>4.7699999999999999E-2</v>
      </c>
      <c r="S430">
        <f t="shared" si="2"/>
        <v>0.18507599999999999</v>
      </c>
      <c r="T430">
        <f t="shared" si="3"/>
        <v>3.7444500000000001</v>
      </c>
      <c r="V430" s="1">
        <f>'Collective imput'!R46</f>
        <v>0</v>
      </c>
      <c r="W430">
        <f t="shared" si="4"/>
        <v>0</v>
      </c>
      <c r="X430">
        <f t="shared" si="5"/>
        <v>0</v>
      </c>
      <c r="Z430" s="1">
        <f>'Collective imput'!U46</f>
        <v>4.7699999999999999E-2</v>
      </c>
    </row>
    <row r="431" spans="1:26" x14ac:dyDescent="0.3">
      <c r="A431" s="189"/>
      <c r="C431" s="189"/>
      <c r="D431" s="88"/>
      <c r="E431" s="88"/>
      <c r="F431" s="88" t="s">
        <v>566</v>
      </c>
      <c r="G431" s="192">
        <v>1.5</v>
      </c>
      <c r="H431" s="192"/>
      <c r="I431" s="86" t="s">
        <v>565</v>
      </c>
      <c r="J431" s="88"/>
      <c r="K431" s="38"/>
      <c r="L431" s="38"/>
      <c r="N431" s="42" t="s">
        <v>544</v>
      </c>
      <c r="O431">
        <f>G472</f>
        <v>4.7699999999999996</v>
      </c>
      <c r="P431">
        <f>H472</f>
        <v>109.33333333333333</v>
      </c>
      <c r="Q431" s="95"/>
      <c r="R431" s="1">
        <f>'Collective imput'!P47</f>
        <v>0.05</v>
      </c>
      <c r="S431">
        <f t="shared" si="2"/>
        <v>0.23849999999999999</v>
      </c>
      <c r="T431">
        <f t="shared" si="3"/>
        <v>5.4666666666666668</v>
      </c>
      <c r="V431" s="1">
        <f>'Collective imput'!R47</f>
        <v>0.05</v>
      </c>
      <c r="W431">
        <f t="shared" si="4"/>
        <v>1.1925E-2</v>
      </c>
      <c r="X431">
        <f t="shared" si="5"/>
        <v>0.27333333333333337</v>
      </c>
      <c r="Z431" s="1">
        <f>'Collective imput'!U47</f>
        <v>5.2500000000000005E-2</v>
      </c>
    </row>
    <row r="432" spans="1:26" x14ac:dyDescent="0.3">
      <c r="A432" s="189"/>
      <c r="C432" s="189"/>
      <c r="D432" s="88"/>
      <c r="E432" s="88"/>
      <c r="F432" s="88"/>
      <c r="G432" s="88">
        <v>24.2</v>
      </c>
      <c r="H432" s="88"/>
      <c r="I432" s="86" t="s">
        <v>564</v>
      </c>
      <c r="J432" s="88"/>
      <c r="K432" s="38"/>
      <c r="L432" s="38"/>
      <c r="N432" s="42" t="s">
        <v>563</v>
      </c>
      <c r="O432">
        <f>G479</f>
        <v>1.23</v>
      </c>
      <c r="P432">
        <f>H479</f>
        <v>18.600000000000001</v>
      </c>
      <c r="Q432" s="95"/>
      <c r="R432" s="1">
        <f>'Collective imput'!P48</f>
        <v>1</v>
      </c>
      <c r="S432">
        <f t="shared" si="2"/>
        <v>1.23</v>
      </c>
      <c r="T432">
        <f t="shared" si="3"/>
        <v>18.600000000000001</v>
      </c>
    </row>
    <row r="433" spans="1:18" x14ac:dyDescent="0.3">
      <c r="A433" s="189"/>
      <c r="C433" s="189"/>
      <c r="D433" s="88"/>
      <c r="E433" s="88"/>
      <c r="F433" s="88"/>
      <c r="G433" s="88"/>
      <c r="H433" s="88"/>
      <c r="I433" s="86"/>
      <c r="J433" s="88"/>
      <c r="K433" s="38"/>
      <c r="L433" s="38"/>
      <c r="M433" s="38"/>
      <c r="N433" s="38"/>
      <c r="R433" s="1">
        <f>SUM(R426:R431)</f>
        <v>1</v>
      </c>
    </row>
    <row r="434" spans="1:18" x14ac:dyDescent="0.3">
      <c r="A434" s="189"/>
      <c r="C434" s="189"/>
      <c r="D434" s="158" t="s">
        <v>562</v>
      </c>
      <c r="E434" s="179"/>
      <c r="F434" s="157" t="s">
        <v>541</v>
      </c>
      <c r="G434" s="179">
        <f>G442</f>
        <v>1.85</v>
      </c>
      <c r="H434" s="179">
        <f>H442</f>
        <v>39.6</v>
      </c>
      <c r="I434" s="180"/>
      <c r="J434" s="179"/>
      <c r="K434" s="38"/>
      <c r="L434" s="38"/>
      <c r="M434" s="38"/>
      <c r="N434" s="38"/>
    </row>
    <row r="435" spans="1:18" x14ac:dyDescent="0.3">
      <c r="A435" s="189"/>
      <c r="C435" s="189">
        <v>1</v>
      </c>
      <c r="D435" s="88"/>
      <c r="E435" s="88" t="s">
        <v>539</v>
      </c>
      <c r="F435" s="88"/>
      <c r="G435" s="193">
        <v>1.51</v>
      </c>
      <c r="H435" s="193">
        <v>22.85</v>
      </c>
      <c r="I435" s="86" t="s">
        <v>561</v>
      </c>
      <c r="J435" s="88"/>
      <c r="K435" s="38"/>
      <c r="L435" s="38"/>
      <c r="M435" s="38"/>
    </row>
    <row r="436" spans="1:18" x14ac:dyDescent="0.3">
      <c r="A436" s="189"/>
      <c r="C436" s="189">
        <v>2</v>
      </c>
      <c r="D436" s="88"/>
      <c r="E436" s="88" t="s">
        <v>539</v>
      </c>
      <c r="F436" s="88"/>
      <c r="G436" s="193">
        <v>1.33</v>
      </c>
      <c r="H436" s="193">
        <v>19.170000000000002</v>
      </c>
      <c r="I436" s="86" t="s">
        <v>560</v>
      </c>
      <c r="J436" s="88"/>
      <c r="K436" s="38"/>
      <c r="L436" s="38"/>
      <c r="M436" s="38"/>
      <c r="N436" s="38"/>
    </row>
    <row r="437" spans="1:18" x14ac:dyDescent="0.3">
      <c r="A437" s="189"/>
      <c r="C437" s="189">
        <v>3</v>
      </c>
      <c r="D437" s="88"/>
      <c r="E437" s="88" t="s">
        <v>539</v>
      </c>
      <c r="F437" s="88"/>
      <c r="G437" s="193">
        <v>1.81</v>
      </c>
      <c r="H437" s="193">
        <v>36.11</v>
      </c>
      <c r="I437" s="86" t="s">
        <v>559</v>
      </c>
      <c r="J437" s="88"/>
      <c r="K437" s="38"/>
      <c r="L437" s="38"/>
      <c r="M437" s="38"/>
      <c r="N437" s="38"/>
    </row>
    <row r="438" spans="1:18" x14ac:dyDescent="0.3">
      <c r="A438" s="189"/>
      <c r="C438" s="189">
        <v>4</v>
      </c>
      <c r="D438" s="88"/>
      <c r="E438" s="88" t="s">
        <v>539</v>
      </c>
      <c r="F438" s="88"/>
      <c r="G438" s="193">
        <v>1.39</v>
      </c>
      <c r="H438" s="193">
        <v>20.53</v>
      </c>
      <c r="I438" s="86" t="s">
        <v>558</v>
      </c>
      <c r="J438" s="88">
        <v>1.35</v>
      </c>
      <c r="K438" s="38" t="s">
        <v>557</v>
      </c>
      <c r="L438" s="38"/>
      <c r="M438" s="38"/>
      <c r="N438" s="38"/>
    </row>
    <row r="439" spans="1:18" x14ac:dyDescent="0.3">
      <c r="A439" s="189"/>
      <c r="C439" s="189">
        <v>5</v>
      </c>
      <c r="D439" s="88"/>
      <c r="E439" s="88" t="s">
        <v>1112</v>
      </c>
      <c r="F439" s="88"/>
      <c r="G439" s="156">
        <v>2.0495662068965514</v>
      </c>
      <c r="H439" s="156">
        <v>31.302779000000001</v>
      </c>
      <c r="I439" s="155" t="s">
        <v>890</v>
      </c>
      <c r="J439" s="88"/>
      <c r="K439" s="38"/>
      <c r="L439" s="38"/>
      <c r="M439" s="38"/>
      <c r="N439" s="38"/>
    </row>
    <row r="440" spans="1:18" x14ac:dyDescent="0.3">
      <c r="A440" s="189"/>
      <c r="C440" s="189"/>
      <c r="D440" s="88"/>
      <c r="E440" s="88"/>
      <c r="F440" s="88"/>
      <c r="G440" s="88"/>
      <c r="H440" s="88"/>
      <c r="I440" s="86"/>
      <c r="J440" s="88"/>
      <c r="K440" s="38"/>
      <c r="L440" s="38"/>
      <c r="M440" s="38"/>
      <c r="N440" s="38"/>
    </row>
    <row r="441" spans="1:18" x14ac:dyDescent="0.3">
      <c r="A441" s="189"/>
      <c r="C441" s="189"/>
      <c r="D441" s="88"/>
      <c r="E441" s="88" t="s">
        <v>869</v>
      </c>
      <c r="F441" s="88"/>
      <c r="G441" s="252">
        <v>2.1</v>
      </c>
      <c r="H441" s="252">
        <v>38.700000000000003</v>
      </c>
      <c r="I441" s="86" t="s">
        <v>1100</v>
      </c>
      <c r="J441" s="88"/>
      <c r="K441" s="38"/>
      <c r="L441" s="38"/>
      <c r="M441" s="38"/>
      <c r="N441" s="38"/>
    </row>
    <row r="442" spans="1:18" x14ac:dyDescent="0.3">
      <c r="A442" s="189"/>
      <c r="C442" s="189"/>
      <c r="D442" s="88"/>
      <c r="E442" s="88" t="s">
        <v>1111</v>
      </c>
      <c r="F442" s="88"/>
      <c r="G442" s="306">
        <v>1.85</v>
      </c>
      <c r="H442" s="306">
        <v>39.6</v>
      </c>
      <c r="I442" s="86" t="s">
        <v>1110</v>
      </c>
      <c r="J442" s="88"/>
      <c r="K442" s="38"/>
      <c r="L442" s="38"/>
      <c r="M442" s="38"/>
      <c r="N442" s="38"/>
    </row>
    <row r="443" spans="1:18" x14ac:dyDescent="0.3">
      <c r="A443" s="189"/>
      <c r="C443" s="189"/>
      <c r="D443" s="88"/>
      <c r="E443" s="88"/>
      <c r="F443" s="88"/>
      <c r="G443" s="88"/>
      <c r="H443" s="88"/>
      <c r="I443" s="86"/>
      <c r="J443" s="88"/>
      <c r="K443" s="38"/>
      <c r="L443" s="38"/>
      <c r="M443" s="38"/>
      <c r="N443" s="38"/>
    </row>
    <row r="444" spans="1:18" x14ac:dyDescent="0.3">
      <c r="A444" s="189"/>
      <c r="C444" s="189"/>
      <c r="D444" s="158" t="s">
        <v>556</v>
      </c>
      <c r="E444" s="179"/>
      <c r="F444" s="157" t="s">
        <v>541</v>
      </c>
      <c r="G444" s="179">
        <f>G448</f>
        <v>4.92</v>
      </c>
      <c r="H444" s="179">
        <f>H448</f>
        <v>107</v>
      </c>
      <c r="I444" s="180"/>
      <c r="J444" s="179"/>
      <c r="K444" s="38"/>
      <c r="L444" s="38"/>
      <c r="M444" s="38"/>
      <c r="N444" s="38"/>
    </row>
    <row r="445" spans="1:18" x14ac:dyDescent="0.3">
      <c r="A445" s="189"/>
      <c r="C445" s="189">
        <v>1</v>
      </c>
      <c r="D445" s="88"/>
      <c r="E445" s="88"/>
      <c r="F445" s="88"/>
      <c r="G445" s="110">
        <v>2.2400000000000002</v>
      </c>
      <c r="H445" s="110">
        <v>123.3</v>
      </c>
      <c r="I445" s="86" t="s">
        <v>555</v>
      </c>
      <c r="J445" s="88"/>
      <c r="K445" s="38"/>
      <c r="L445" s="38"/>
      <c r="M445" s="38"/>
      <c r="N445" s="38"/>
    </row>
    <row r="446" spans="1:18" x14ac:dyDescent="0.3">
      <c r="A446" s="189"/>
      <c r="C446" s="189">
        <v>2</v>
      </c>
      <c r="D446" s="88"/>
      <c r="E446" s="88"/>
      <c r="F446" s="192"/>
      <c r="G446" s="166">
        <v>4.17</v>
      </c>
      <c r="H446" s="166"/>
      <c r="I446" s="86" t="s">
        <v>554</v>
      </c>
      <c r="J446" s="88"/>
      <c r="K446" s="38"/>
      <c r="L446" s="38"/>
      <c r="M446" s="38"/>
      <c r="N446" s="38"/>
    </row>
    <row r="447" spans="1:18" x14ac:dyDescent="0.3">
      <c r="A447" s="189"/>
      <c r="C447" s="189">
        <v>3</v>
      </c>
      <c r="D447" s="88"/>
      <c r="E447" s="88" t="s">
        <v>553</v>
      </c>
      <c r="F447" s="88"/>
      <c r="G447" s="88">
        <v>6.68</v>
      </c>
      <c r="H447" s="88"/>
      <c r="I447" s="86" t="s">
        <v>552</v>
      </c>
      <c r="J447" s="88"/>
      <c r="K447" s="38"/>
      <c r="L447" s="38"/>
      <c r="M447" s="38"/>
      <c r="N447" s="38"/>
    </row>
    <row r="448" spans="1:18" x14ac:dyDescent="0.3">
      <c r="A448" s="189"/>
      <c r="C448" s="189">
        <v>4</v>
      </c>
      <c r="D448" s="88" t="s">
        <v>869</v>
      </c>
      <c r="E448" s="88"/>
      <c r="F448" s="88"/>
      <c r="G448" s="252">
        <v>4.92</v>
      </c>
      <c r="H448" s="252">
        <v>107</v>
      </c>
      <c r="I448" s="86" t="s">
        <v>1104</v>
      </c>
      <c r="J448" s="88"/>
      <c r="K448" s="38"/>
      <c r="L448" s="38"/>
      <c r="M448" s="38"/>
      <c r="N448" s="38"/>
    </row>
    <row r="449" spans="1:14" x14ac:dyDescent="0.3">
      <c r="A449" s="189"/>
      <c r="C449" s="189">
        <v>5</v>
      </c>
      <c r="D449" s="88"/>
      <c r="E449" s="88"/>
      <c r="F449" s="88"/>
      <c r="G449" s="88"/>
      <c r="H449" s="88"/>
      <c r="I449" s="86"/>
      <c r="J449" s="88"/>
      <c r="K449" s="38"/>
      <c r="L449" s="38"/>
      <c r="M449" s="38"/>
      <c r="N449" s="38"/>
    </row>
    <row r="450" spans="1:14" x14ac:dyDescent="0.3">
      <c r="A450" s="189"/>
      <c r="C450" s="189"/>
      <c r="D450" s="88"/>
      <c r="E450" s="88"/>
      <c r="F450" s="88"/>
      <c r="G450" s="88"/>
      <c r="H450" s="88"/>
      <c r="I450" s="86"/>
      <c r="J450" s="88"/>
      <c r="K450" s="38"/>
      <c r="L450" s="38"/>
      <c r="M450" s="38"/>
      <c r="N450" s="38"/>
    </row>
    <row r="451" spans="1:14" x14ac:dyDescent="0.3">
      <c r="A451" s="189"/>
      <c r="C451" s="189"/>
      <c r="D451" s="158" t="s">
        <v>551</v>
      </c>
      <c r="E451" s="179"/>
      <c r="F451" s="157" t="s">
        <v>541</v>
      </c>
      <c r="G451" s="179">
        <f>G453</f>
        <v>4.47</v>
      </c>
      <c r="H451" s="179">
        <f>H453</f>
        <v>114</v>
      </c>
      <c r="I451" s="180"/>
      <c r="J451" s="179"/>
      <c r="K451" s="38"/>
      <c r="L451" s="38"/>
      <c r="M451" s="38"/>
      <c r="N451" s="38"/>
    </row>
    <row r="452" spans="1:14" x14ac:dyDescent="0.3">
      <c r="A452" s="189"/>
      <c r="C452" s="189">
        <v>1</v>
      </c>
      <c r="D452" s="88"/>
      <c r="E452" s="88" t="s">
        <v>1113</v>
      </c>
      <c r="F452" s="88"/>
      <c r="G452" s="193">
        <v>6.3</v>
      </c>
      <c r="H452" s="193">
        <v>124.59</v>
      </c>
      <c r="I452" s="86" t="s">
        <v>268</v>
      </c>
      <c r="J452" s="88" t="s">
        <v>1114</v>
      </c>
      <c r="K452" s="38"/>
      <c r="L452" s="38"/>
      <c r="M452" s="38"/>
      <c r="N452" s="38"/>
    </row>
    <row r="453" spans="1:14" x14ac:dyDescent="0.3">
      <c r="A453" s="189"/>
      <c r="C453" s="189">
        <v>2</v>
      </c>
      <c r="D453" s="88" t="s">
        <v>869</v>
      </c>
      <c r="E453" s="88"/>
      <c r="F453" s="88"/>
      <c r="G453" s="184">
        <v>4.47</v>
      </c>
      <c r="H453" s="184">
        <v>114</v>
      </c>
      <c r="I453" s="86" t="s">
        <v>550</v>
      </c>
      <c r="J453" s="88" t="s">
        <v>549</v>
      </c>
      <c r="K453" s="38"/>
      <c r="L453" s="38"/>
      <c r="M453" s="38"/>
      <c r="N453" s="38"/>
    </row>
    <row r="454" spans="1:14" x14ac:dyDescent="0.3">
      <c r="A454" s="189"/>
      <c r="C454" s="189">
        <v>3</v>
      </c>
      <c r="D454" s="88"/>
      <c r="E454" s="88"/>
      <c r="F454" s="88"/>
      <c r="G454" s="88"/>
      <c r="H454" s="88"/>
      <c r="I454" s="86"/>
      <c r="J454" s="88"/>
      <c r="K454" s="38"/>
      <c r="L454" s="38"/>
      <c r="M454" s="38"/>
      <c r="N454" s="38"/>
    </row>
    <row r="455" spans="1:14" x14ac:dyDescent="0.3">
      <c r="A455" s="189"/>
      <c r="C455" s="189">
        <v>4</v>
      </c>
      <c r="D455" s="88"/>
      <c r="E455" s="88"/>
      <c r="F455" s="88"/>
      <c r="G455" s="88"/>
      <c r="H455" s="88"/>
      <c r="I455" s="86"/>
      <c r="J455" s="88"/>
      <c r="K455" s="38"/>
      <c r="L455" s="38"/>
      <c r="M455" s="38"/>
      <c r="N455" s="38"/>
    </row>
    <row r="456" spans="1:14" x14ac:dyDescent="0.3">
      <c r="A456" s="189"/>
      <c r="C456" s="189">
        <v>5</v>
      </c>
      <c r="D456" s="88"/>
      <c r="E456" s="88"/>
      <c r="F456" s="88"/>
      <c r="G456" s="88"/>
      <c r="H456" s="88"/>
      <c r="I456" s="86"/>
      <c r="J456" s="88"/>
      <c r="K456" s="38"/>
      <c r="L456" s="38"/>
      <c r="M456" s="38"/>
      <c r="N456" s="38"/>
    </row>
    <row r="457" spans="1:14" x14ac:dyDescent="0.3">
      <c r="A457" s="189"/>
      <c r="C457" s="189"/>
      <c r="D457" s="88"/>
      <c r="E457" s="88"/>
      <c r="F457" s="88"/>
      <c r="G457" s="88"/>
      <c r="H457" s="88"/>
      <c r="I457" s="86"/>
      <c r="J457" s="88"/>
      <c r="K457" s="38"/>
      <c r="L457" s="38"/>
      <c r="M457" s="38"/>
      <c r="N457" s="38"/>
    </row>
    <row r="458" spans="1:14" x14ac:dyDescent="0.3">
      <c r="A458" s="189"/>
      <c r="C458" s="189"/>
      <c r="D458" s="158" t="s">
        <v>548</v>
      </c>
      <c r="E458" s="179"/>
      <c r="F458" s="157" t="s">
        <v>541</v>
      </c>
      <c r="G458" s="179">
        <f>G460</f>
        <v>3.22</v>
      </c>
      <c r="H458" s="179">
        <f>H460</f>
        <v>70.900000000000006</v>
      </c>
      <c r="I458" s="180"/>
      <c r="J458" s="179"/>
      <c r="K458" s="38"/>
      <c r="L458" s="38"/>
      <c r="M458" s="38"/>
      <c r="N458" s="38"/>
    </row>
    <row r="459" spans="1:14" x14ac:dyDescent="0.3">
      <c r="A459" s="189"/>
      <c r="C459" s="189">
        <v>1</v>
      </c>
      <c r="D459" s="88"/>
      <c r="E459" s="88" t="s">
        <v>1113</v>
      </c>
      <c r="F459" s="88"/>
      <c r="G459" s="193">
        <v>2.86</v>
      </c>
      <c r="H459" s="193">
        <v>72.8</v>
      </c>
      <c r="I459" s="86" t="s">
        <v>539</v>
      </c>
      <c r="J459" s="88" t="s">
        <v>1114</v>
      </c>
      <c r="K459" s="38"/>
      <c r="L459" s="38"/>
      <c r="M459" s="38"/>
      <c r="N459" s="38"/>
    </row>
    <row r="460" spans="1:14" x14ac:dyDescent="0.3">
      <c r="A460" s="189"/>
      <c r="C460" s="189">
        <v>2</v>
      </c>
      <c r="D460" s="88"/>
      <c r="E460" s="88"/>
      <c r="F460" s="88"/>
      <c r="G460" s="184">
        <v>3.22</v>
      </c>
      <c r="H460" s="184">
        <v>70.900000000000006</v>
      </c>
      <c r="I460" s="86" t="s">
        <v>547</v>
      </c>
      <c r="J460" s="88" t="s">
        <v>546</v>
      </c>
      <c r="K460" s="38"/>
      <c r="L460" s="38"/>
      <c r="M460" s="38"/>
      <c r="N460" s="38"/>
    </row>
    <row r="461" spans="1:14" x14ac:dyDescent="0.3">
      <c r="A461" s="189"/>
      <c r="C461" s="189">
        <v>3</v>
      </c>
      <c r="D461" s="88"/>
      <c r="E461" s="88"/>
      <c r="F461" s="88"/>
      <c r="G461" s="88"/>
      <c r="H461" s="88"/>
      <c r="I461" s="86"/>
      <c r="J461" s="88"/>
      <c r="K461" s="38"/>
      <c r="L461" s="38"/>
      <c r="M461" s="38"/>
      <c r="N461" s="38"/>
    </row>
    <row r="462" spans="1:14" x14ac:dyDescent="0.3">
      <c r="A462" s="189"/>
      <c r="C462" s="189">
        <v>4</v>
      </c>
      <c r="D462" s="88"/>
      <c r="E462" s="88"/>
      <c r="F462" s="88"/>
      <c r="G462" s="88"/>
      <c r="H462" s="88"/>
      <c r="I462" s="86"/>
      <c r="J462" s="88"/>
      <c r="K462" s="38"/>
      <c r="L462" s="38"/>
      <c r="M462" s="38"/>
      <c r="N462" s="38"/>
    </row>
    <row r="463" spans="1:14" x14ac:dyDescent="0.3">
      <c r="A463" s="189"/>
      <c r="C463" s="189">
        <v>5</v>
      </c>
      <c r="D463" s="88"/>
      <c r="E463" s="88"/>
      <c r="F463" s="88"/>
      <c r="G463" s="88"/>
      <c r="H463" s="88"/>
      <c r="I463" s="86"/>
      <c r="J463" s="88"/>
      <c r="K463" s="38"/>
      <c r="L463" s="38"/>
      <c r="M463" s="38"/>
      <c r="N463" s="38"/>
    </row>
    <row r="464" spans="1:14" x14ac:dyDescent="0.3">
      <c r="A464" s="189"/>
      <c r="C464" s="189"/>
      <c r="D464" s="88"/>
      <c r="E464" s="88"/>
      <c r="F464" s="88"/>
      <c r="G464" s="88"/>
      <c r="H464" s="88"/>
      <c r="I464" s="86"/>
      <c r="J464" s="88"/>
      <c r="K464" s="38"/>
      <c r="L464" s="38"/>
      <c r="M464" s="38"/>
      <c r="N464" s="38"/>
    </row>
    <row r="465" spans="1:14" x14ac:dyDescent="0.3">
      <c r="A465" s="189"/>
      <c r="C465" s="189"/>
      <c r="D465" s="158" t="s">
        <v>298</v>
      </c>
      <c r="E465" s="179"/>
      <c r="F465" s="157" t="s">
        <v>541</v>
      </c>
      <c r="G465" s="179">
        <f>G467</f>
        <v>3.88</v>
      </c>
      <c r="H465" s="179">
        <f>H467</f>
        <v>78.5</v>
      </c>
      <c r="I465" s="180"/>
      <c r="J465" s="179"/>
      <c r="K465" s="38"/>
      <c r="L465" s="38"/>
      <c r="M465" s="38"/>
      <c r="N465" s="38"/>
    </row>
    <row r="466" spans="1:14" x14ac:dyDescent="0.3">
      <c r="A466" s="189"/>
      <c r="C466" s="189">
        <v>1</v>
      </c>
      <c r="D466" s="88"/>
      <c r="E466" s="88" t="s">
        <v>1113</v>
      </c>
      <c r="F466" s="88"/>
      <c r="G466" s="193">
        <v>3.83</v>
      </c>
      <c r="H466" s="193">
        <v>78.5</v>
      </c>
      <c r="I466" s="86" t="s">
        <v>545</v>
      </c>
      <c r="J466" s="88" t="s">
        <v>1114</v>
      </c>
      <c r="K466" s="38"/>
      <c r="L466" s="38"/>
      <c r="M466" s="38"/>
      <c r="N466" s="38"/>
    </row>
    <row r="467" spans="1:14" x14ac:dyDescent="0.3">
      <c r="A467" s="189"/>
      <c r="C467" s="189">
        <v>2</v>
      </c>
      <c r="D467" s="88"/>
      <c r="E467" s="88" t="s">
        <v>1111</v>
      </c>
      <c r="F467" s="88"/>
      <c r="G467" s="306">
        <v>3.88</v>
      </c>
      <c r="H467" s="306">
        <v>78.5</v>
      </c>
      <c r="I467" s="86"/>
      <c r="J467" s="88"/>
      <c r="K467" s="38"/>
      <c r="L467" s="38"/>
      <c r="M467" s="38"/>
      <c r="N467" s="38"/>
    </row>
    <row r="468" spans="1:14" x14ac:dyDescent="0.3">
      <c r="A468" s="189"/>
      <c r="C468" s="189">
        <v>3</v>
      </c>
      <c r="D468" s="88"/>
      <c r="E468" s="88"/>
      <c r="F468" s="88"/>
      <c r="G468" s="88"/>
      <c r="H468" s="88"/>
      <c r="I468" s="86"/>
      <c r="J468" s="88"/>
      <c r="K468" s="38"/>
      <c r="L468" s="38"/>
      <c r="M468" s="38"/>
      <c r="N468" s="38"/>
    </row>
    <row r="469" spans="1:14" x14ac:dyDescent="0.3">
      <c r="A469" s="189"/>
      <c r="C469" s="189">
        <v>4</v>
      </c>
      <c r="D469" s="88"/>
      <c r="E469" s="88"/>
      <c r="F469" s="88"/>
      <c r="G469" s="88"/>
      <c r="H469" s="88"/>
      <c r="I469" s="86"/>
      <c r="J469" s="88"/>
      <c r="K469" s="38"/>
      <c r="L469" s="38"/>
      <c r="M469" s="38"/>
      <c r="N469" s="38"/>
    </row>
    <row r="470" spans="1:14" x14ac:dyDescent="0.3">
      <c r="A470" s="189"/>
      <c r="C470" s="189">
        <v>5</v>
      </c>
      <c r="D470" s="88"/>
      <c r="E470" s="88"/>
      <c r="F470" s="88"/>
      <c r="G470" s="88"/>
      <c r="H470" s="88"/>
      <c r="I470" s="86"/>
      <c r="J470" s="88"/>
      <c r="K470" s="38"/>
      <c r="L470" s="38"/>
      <c r="M470" s="38"/>
      <c r="N470" s="38"/>
    </row>
    <row r="471" spans="1:14" x14ac:dyDescent="0.3">
      <c r="A471" s="189"/>
      <c r="C471" s="189"/>
      <c r="D471" s="88"/>
      <c r="E471" s="88"/>
      <c r="F471" s="88"/>
      <c r="G471" s="88"/>
      <c r="H471" s="88"/>
      <c r="I471" s="86"/>
      <c r="J471" s="88"/>
      <c r="K471" s="38"/>
      <c r="L471" s="38"/>
      <c r="M471" s="38"/>
      <c r="N471" s="38"/>
    </row>
    <row r="472" spans="1:14" x14ac:dyDescent="0.3">
      <c r="A472" s="189"/>
      <c r="C472" s="189"/>
      <c r="D472" s="158" t="s">
        <v>544</v>
      </c>
      <c r="E472" s="179"/>
      <c r="F472" s="157" t="s">
        <v>541</v>
      </c>
      <c r="G472" s="179">
        <f>G473</f>
        <v>4.7699999999999996</v>
      </c>
      <c r="H472" s="179">
        <f>H473</f>
        <v>109.33333333333333</v>
      </c>
      <c r="I472" s="180"/>
      <c r="J472" s="179"/>
      <c r="K472" s="38"/>
      <c r="L472" s="38"/>
      <c r="M472" s="38"/>
      <c r="N472" s="38"/>
    </row>
    <row r="473" spans="1:14" x14ac:dyDescent="0.3">
      <c r="A473" s="189"/>
      <c r="C473" s="189">
        <v>1</v>
      </c>
      <c r="D473" s="88"/>
      <c r="E473" s="88"/>
      <c r="F473" s="88"/>
      <c r="G473" s="88">
        <f>G444*(2/3)+G451/3</f>
        <v>4.7699999999999996</v>
      </c>
      <c r="H473" s="88">
        <f>(H444)*(2/3)+H451/3</f>
        <v>109.33333333333333</v>
      </c>
      <c r="I473" s="86" t="s">
        <v>543</v>
      </c>
      <c r="J473" s="88"/>
      <c r="K473" s="38"/>
      <c r="L473" s="38"/>
      <c r="M473" s="38"/>
      <c r="N473" s="38"/>
    </row>
    <row r="474" spans="1:14" x14ac:dyDescent="0.3">
      <c r="A474" s="189"/>
      <c r="C474" s="189">
        <v>2</v>
      </c>
      <c r="D474" s="88"/>
      <c r="E474" s="88"/>
      <c r="F474" s="88"/>
      <c r="G474" s="88"/>
      <c r="H474" s="88"/>
      <c r="I474" s="86"/>
      <c r="J474" s="88"/>
      <c r="K474" s="38"/>
      <c r="L474" s="38"/>
      <c r="M474" s="38"/>
      <c r="N474" s="38"/>
    </row>
    <row r="475" spans="1:14" x14ac:dyDescent="0.3">
      <c r="A475" s="189"/>
      <c r="C475" s="189">
        <v>3</v>
      </c>
      <c r="D475" s="88"/>
      <c r="E475" s="88"/>
      <c r="F475" s="88"/>
      <c r="G475" s="88"/>
      <c r="H475" s="88"/>
      <c r="I475" s="86"/>
      <c r="J475" s="88"/>
      <c r="K475" s="38"/>
      <c r="L475" s="38"/>
      <c r="M475" s="38"/>
      <c r="N475" s="38"/>
    </row>
    <row r="476" spans="1:14" x14ac:dyDescent="0.3">
      <c r="A476" s="189"/>
      <c r="C476" s="189">
        <v>4</v>
      </c>
      <c r="D476" s="88"/>
      <c r="E476" s="88"/>
      <c r="F476" s="88"/>
      <c r="G476" s="88"/>
      <c r="H476" s="88"/>
      <c r="I476" s="86"/>
      <c r="J476" s="88"/>
      <c r="K476" s="38"/>
      <c r="L476" s="38"/>
      <c r="M476" s="38"/>
      <c r="N476" s="38"/>
    </row>
    <row r="477" spans="1:14" x14ac:dyDescent="0.3">
      <c r="A477" s="189"/>
      <c r="C477" s="189">
        <v>5</v>
      </c>
      <c r="D477" s="88"/>
      <c r="E477" s="88"/>
      <c r="F477" s="88"/>
      <c r="G477" s="88"/>
      <c r="H477" s="88"/>
      <c r="I477" s="86"/>
      <c r="J477" s="88"/>
      <c r="K477" s="38"/>
      <c r="L477" s="38"/>
      <c r="M477" s="38"/>
      <c r="N477" s="38"/>
    </row>
    <row r="478" spans="1:14" x14ac:dyDescent="0.3">
      <c r="A478" s="189"/>
      <c r="C478" s="189"/>
      <c r="D478" s="88"/>
      <c r="E478" s="88"/>
      <c r="F478" s="88"/>
      <c r="G478" s="88"/>
      <c r="H478" s="88"/>
      <c r="I478" s="86"/>
      <c r="J478" s="88"/>
      <c r="K478" s="38"/>
      <c r="L478" s="38"/>
      <c r="M478" s="38"/>
      <c r="N478" s="38"/>
    </row>
    <row r="479" spans="1:14" x14ac:dyDescent="0.3">
      <c r="A479" s="189"/>
      <c r="C479" s="189"/>
      <c r="D479" s="158" t="s">
        <v>542</v>
      </c>
      <c r="E479" s="179"/>
      <c r="F479" s="157" t="s">
        <v>541</v>
      </c>
      <c r="G479" s="179">
        <f>G482</f>
        <v>1.23</v>
      </c>
      <c r="H479" s="179">
        <f>H482</f>
        <v>18.600000000000001</v>
      </c>
      <c r="I479" s="180"/>
      <c r="J479" s="179"/>
      <c r="K479" s="38"/>
      <c r="L479" s="38"/>
      <c r="M479" s="38"/>
      <c r="N479" s="38"/>
    </row>
    <row r="480" spans="1:14" x14ac:dyDescent="0.3">
      <c r="A480" s="189"/>
      <c r="C480" s="189">
        <v>1</v>
      </c>
      <c r="D480" s="88"/>
      <c r="E480" s="88"/>
      <c r="F480" s="88"/>
      <c r="G480" s="88">
        <v>1.25</v>
      </c>
      <c r="H480" s="88"/>
      <c r="I480" s="86" t="s">
        <v>540</v>
      </c>
      <c r="J480" s="88"/>
      <c r="K480" s="38"/>
      <c r="L480" s="38"/>
      <c r="M480" s="38"/>
      <c r="N480" s="38"/>
    </row>
    <row r="481" spans="1:14" x14ac:dyDescent="0.3">
      <c r="A481" s="189"/>
      <c r="C481" s="189">
        <v>2</v>
      </c>
      <c r="D481" s="88"/>
      <c r="E481" s="88" t="s">
        <v>539</v>
      </c>
      <c r="F481" s="88"/>
      <c r="G481" s="88" t="s">
        <v>538</v>
      </c>
      <c r="H481" s="191">
        <v>18.41</v>
      </c>
      <c r="I481" s="86" t="s">
        <v>537</v>
      </c>
      <c r="J481" s="88" t="s">
        <v>536</v>
      </c>
      <c r="K481" s="38"/>
      <c r="L481" s="38"/>
      <c r="M481" s="38"/>
      <c r="N481" s="38"/>
    </row>
    <row r="482" spans="1:14" x14ac:dyDescent="0.3">
      <c r="A482" s="189"/>
      <c r="C482" s="189">
        <v>3</v>
      </c>
      <c r="D482" s="88"/>
      <c r="E482" s="88"/>
      <c r="F482" s="88"/>
      <c r="G482" s="51">
        <v>1.23</v>
      </c>
      <c r="H482" s="51">
        <v>18.600000000000001</v>
      </c>
      <c r="I482" s="190" t="s">
        <v>535</v>
      </c>
      <c r="J482" s="88"/>
      <c r="K482" s="38"/>
      <c r="L482" s="38"/>
      <c r="M482" s="38"/>
      <c r="N482" s="38"/>
    </row>
    <row r="483" spans="1:14" x14ac:dyDescent="0.3">
      <c r="A483" s="189"/>
      <c r="C483" s="189">
        <v>4</v>
      </c>
      <c r="D483" s="88"/>
      <c r="E483" s="88"/>
      <c r="F483" s="88"/>
      <c r="G483" s="88"/>
      <c r="H483" s="88"/>
      <c r="I483" s="86"/>
      <c r="J483" s="88"/>
      <c r="K483" s="38"/>
      <c r="L483" s="38"/>
      <c r="M483" s="38"/>
      <c r="N483" s="38"/>
    </row>
    <row r="484" spans="1:14" x14ac:dyDescent="0.3">
      <c r="A484" s="189"/>
      <c r="C484" s="189">
        <v>5</v>
      </c>
      <c r="D484" s="88"/>
      <c r="E484" s="88"/>
      <c r="F484" s="88"/>
      <c r="G484" s="88"/>
      <c r="H484" s="88"/>
      <c r="I484" s="86"/>
      <c r="J484" s="88"/>
      <c r="K484" s="38"/>
      <c r="L484" s="38"/>
      <c r="M484" s="38"/>
      <c r="N484" s="38"/>
    </row>
    <row r="485" spans="1:14" x14ac:dyDescent="0.3">
      <c r="A485" s="189"/>
      <c r="C485" s="189"/>
      <c r="D485" s="88"/>
      <c r="E485" s="88"/>
      <c r="F485" s="88"/>
      <c r="G485" s="88"/>
      <c r="H485" s="88"/>
      <c r="I485" s="86"/>
      <c r="J485" s="88"/>
      <c r="K485" s="38"/>
      <c r="L485" s="38"/>
      <c r="M485" s="38"/>
      <c r="N485" s="38"/>
    </row>
    <row r="486" spans="1:14" x14ac:dyDescent="0.3">
      <c r="A486" s="189"/>
      <c r="C486" s="189"/>
      <c r="D486" s="158" t="s">
        <v>827</v>
      </c>
      <c r="E486" s="179"/>
      <c r="F486" s="157" t="s">
        <v>541</v>
      </c>
      <c r="G486" s="179">
        <f>G487</f>
        <v>4.851355932203389</v>
      </c>
      <c r="H486" s="179">
        <f>H487</f>
        <v>108.06779661016948</v>
      </c>
      <c r="I486" s="180"/>
      <c r="J486" s="179"/>
      <c r="K486" s="38"/>
      <c r="L486" s="38"/>
      <c r="M486" s="38"/>
      <c r="N486" s="38"/>
    </row>
    <row r="487" spans="1:14" x14ac:dyDescent="0.3">
      <c r="A487" s="189"/>
      <c r="C487" s="189">
        <v>1</v>
      </c>
      <c r="D487" s="88"/>
      <c r="E487" s="88"/>
      <c r="F487" s="88"/>
      <c r="G487" s="88">
        <f>100/118*G444+18/118*G451</f>
        <v>4.851355932203389</v>
      </c>
      <c r="H487" s="88">
        <f>100/118*H444+18/118*H451</f>
        <v>108.06779661016948</v>
      </c>
      <c r="I487" s="86" t="s">
        <v>543</v>
      </c>
      <c r="J487" s="88"/>
      <c r="K487" s="38"/>
      <c r="L487" s="38"/>
      <c r="M487" s="38"/>
      <c r="N487" s="38"/>
    </row>
    <row r="488" spans="1:14" x14ac:dyDescent="0.3">
      <c r="A488" s="189"/>
      <c r="C488" s="189">
        <v>2</v>
      </c>
      <c r="D488" s="88"/>
      <c r="E488" s="88"/>
      <c r="F488" s="88"/>
      <c r="G488" s="88"/>
      <c r="H488" s="88"/>
      <c r="I488" s="86"/>
      <c r="J488" s="88"/>
      <c r="K488" s="38"/>
      <c r="L488" s="38"/>
      <c r="M488" s="38"/>
      <c r="N488" s="38"/>
    </row>
    <row r="489" spans="1:14" x14ac:dyDescent="0.3">
      <c r="A489" s="189"/>
      <c r="C489" s="189">
        <v>3</v>
      </c>
      <c r="D489" s="88"/>
      <c r="E489" s="88"/>
      <c r="F489" s="88"/>
      <c r="G489" s="88"/>
      <c r="H489" s="88"/>
      <c r="I489" s="86"/>
      <c r="J489" s="88"/>
      <c r="K489" s="38"/>
      <c r="L489" s="38"/>
      <c r="M489" s="38"/>
      <c r="N489" s="38"/>
    </row>
    <row r="490" spans="1:14" x14ac:dyDescent="0.3">
      <c r="A490" s="189"/>
      <c r="C490" s="189">
        <v>4</v>
      </c>
      <c r="D490" s="88"/>
      <c r="E490" s="88"/>
      <c r="F490" s="88"/>
      <c r="G490" s="88"/>
      <c r="H490" s="88"/>
      <c r="I490" s="86"/>
      <c r="J490" s="88"/>
      <c r="K490" s="38"/>
      <c r="L490" s="38"/>
      <c r="M490" s="38"/>
      <c r="N490" s="38"/>
    </row>
    <row r="491" spans="1:14" x14ac:dyDescent="0.3">
      <c r="A491" s="189"/>
      <c r="C491" s="189">
        <v>5</v>
      </c>
      <c r="D491" s="88"/>
      <c r="E491" s="88"/>
      <c r="F491" s="88"/>
      <c r="G491" s="88"/>
      <c r="H491" s="88"/>
      <c r="I491" s="86"/>
      <c r="J491" s="88"/>
      <c r="K491" s="38"/>
      <c r="L491" s="38"/>
      <c r="M491" s="38"/>
      <c r="N491" s="38"/>
    </row>
    <row r="492" spans="1:14" x14ac:dyDescent="0.3">
      <c r="A492" s="189"/>
      <c r="C492" s="189"/>
      <c r="D492" s="88"/>
      <c r="E492" s="88"/>
      <c r="F492" s="88"/>
      <c r="G492" s="88"/>
      <c r="H492" s="88"/>
      <c r="I492" s="86"/>
      <c r="J492" s="88"/>
      <c r="K492" s="38"/>
      <c r="L492" s="38"/>
      <c r="M492" s="38"/>
      <c r="N492" s="38"/>
    </row>
    <row r="493" spans="1:14" x14ac:dyDescent="0.3">
      <c r="A493" s="189"/>
      <c r="C493" s="189"/>
      <c r="D493" s="88"/>
      <c r="E493" s="88"/>
      <c r="F493" s="88"/>
      <c r="G493" s="88"/>
      <c r="H493" s="88"/>
      <c r="I493" s="86"/>
      <c r="J493" s="88"/>
      <c r="K493" s="38"/>
      <c r="L493" s="38"/>
      <c r="M493" s="38"/>
      <c r="N493" s="38"/>
    </row>
    <row r="494" spans="1:14" x14ac:dyDescent="0.3">
      <c r="A494" s="169"/>
      <c r="B494" s="172"/>
      <c r="C494" s="172"/>
      <c r="D494" s="167"/>
      <c r="E494" s="167"/>
      <c r="F494" s="167"/>
      <c r="G494" s="167"/>
      <c r="H494" s="167"/>
      <c r="I494" s="168"/>
      <c r="J494" s="167"/>
      <c r="K494" s="38"/>
      <c r="L494" s="38"/>
      <c r="M494" s="38"/>
      <c r="N494" s="38"/>
    </row>
    <row r="495" spans="1:14" s="70" customFormat="1" x14ac:dyDescent="0.3">
      <c r="B495" s="133"/>
      <c r="C495" s="133"/>
      <c r="D495" s="144"/>
      <c r="E495" s="144"/>
      <c r="F495" s="144"/>
      <c r="G495" s="144"/>
      <c r="H495" s="144"/>
      <c r="I495" s="132"/>
      <c r="J495" s="144"/>
      <c r="K495" s="133"/>
      <c r="L495" s="133"/>
      <c r="M495" s="133"/>
      <c r="N495" s="133"/>
    </row>
    <row r="496" spans="1:14" ht="14.4" customHeight="1" x14ac:dyDescent="0.3">
      <c r="A496" s="218" t="s">
        <v>148</v>
      </c>
    </row>
    <row r="497" spans="1:14" x14ac:dyDescent="0.3">
      <c r="A497" s="218"/>
    </row>
    <row r="498" spans="1:14" x14ac:dyDescent="0.3">
      <c r="B498" s="38"/>
      <c r="C498" s="38"/>
      <c r="D498" s="158" t="s">
        <v>298</v>
      </c>
      <c r="E498" s="25"/>
      <c r="F498" s="157" t="s">
        <v>405</v>
      </c>
      <c r="G498" s="157">
        <f>G499</f>
        <v>5.6</v>
      </c>
      <c r="H498" s="157">
        <f>H499</f>
        <v>88</v>
      </c>
      <c r="I498" s="158"/>
      <c r="J498" s="157"/>
      <c r="K498" s="38"/>
      <c r="L498" s="38"/>
      <c r="M498" s="38"/>
      <c r="N498" s="38"/>
    </row>
    <row r="499" spans="1:14" x14ac:dyDescent="0.3">
      <c r="B499" s="38"/>
      <c r="C499" s="88">
        <v>1</v>
      </c>
      <c r="D499" s="88"/>
      <c r="F499" s="88" t="s">
        <v>160</v>
      </c>
      <c r="G499" s="166">
        <v>5.6</v>
      </c>
      <c r="H499" s="166">
        <v>88</v>
      </c>
      <c r="I499" s="86" t="s">
        <v>486</v>
      </c>
      <c r="J499" s="88"/>
      <c r="K499" s="38"/>
      <c r="L499" s="38"/>
      <c r="M499" s="38"/>
      <c r="N499" s="38"/>
    </row>
    <row r="500" spans="1:14" x14ac:dyDescent="0.3">
      <c r="B500" s="38"/>
      <c r="C500" s="88">
        <v>2</v>
      </c>
      <c r="D500" s="88"/>
      <c r="E500" s="88"/>
      <c r="F500" s="88"/>
      <c r="G500" s="181">
        <v>4.0742694827586199</v>
      </c>
      <c r="H500" s="110">
        <v>86.437393</v>
      </c>
      <c r="I500" s="112" t="s">
        <v>891</v>
      </c>
      <c r="J500" s="88"/>
      <c r="K500" s="38"/>
      <c r="L500" s="38"/>
      <c r="M500" s="38"/>
      <c r="N500" s="38"/>
    </row>
    <row r="501" spans="1:14" x14ac:dyDescent="0.3">
      <c r="B501" s="38"/>
      <c r="C501" s="88">
        <v>3</v>
      </c>
      <c r="D501" s="88"/>
      <c r="E501" s="88"/>
      <c r="F501" s="178"/>
      <c r="G501" s="178"/>
      <c r="H501" s="178"/>
      <c r="I501" s="176"/>
      <c r="J501" s="88"/>
      <c r="K501" s="38"/>
      <c r="L501" s="38"/>
      <c r="M501" s="38"/>
      <c r="N501" s="38"/>
    </row>
    <row r="502" spans="1:14" x14ac:dyDescent="0.3">
      <c r="B502" s="38"/>
      <c r="C502" s="88">
        <v>4</v>
      </c>
      <c r="D502" s="88"/>
      <c r="E502" s="88"/>
      <c r="F502" s="88"/>
      <c r="G502" s="88"/>
      <c r="H502" s="88"/>
      <c r="I502" s="86"/>
      <c r="J502" s="88"/>
      <c r="K502" s="38"/>
      <c r="L502" s="38"/>
      <c r="M502" s="38"/>
      <c r="N502" s="38"/>
    </row>
    <row r="503" spans="1:14" x14ac:dyDescent="0.3">
      <c r="B503" s="38"/>
      <c r="C503" s="88">
        <v>5</v>
      </c>
      <c r="D503" s="88"/>
      <c r="E503" s="88"/>
      <c r="F503" s="88"/>
      <c r="G503" s="88"/>
      <c r="H503" s="88"/>
      <c r="I503" s="86"/>
      <c r="J503" s="88"/>
      <c r="K503" s="38"/>
      <c r="L503" s="38"/>
      <c r="M503" s="38"/>
      <c r="N503" s="38"/>
    </row>
    <row r="504" spans="1:14" x14ac:dyDescent="0.3">
      <c r="A504" s="218"/>
    </row>
    <row r="505" spans="1:14" x14ac:dyDescent="0.3">
      <c r="B505" s="38"/>
      <c r="C505" s="38"/>
      <c r="D505" s="158" t="s">
        <v>130</v>
      </c>
      <c r="E505" s="25"/>
      <c r="F505" s="157" t="s">
        <v>405</v>
      </c>
      <c r="G505" s="157">
        <f>G509</f>
        <v>4.18</v>
      </c>
      <c r="H505" s="175">
        <f>H509</f>
        <v>98.8</v>
      </c>
      <c r="I505" s="158"/>
      <c r="J505" s="157"/>
      <c r="K505" s="38"/>
      <c r="L505" s="38"/>
      <c r="M505" s="38"/>
      <c r="N505" s="38"/>
    </row>
    <row r="506" spans="1:14" x14ac:dyDescent="0.3">
      <c r="B506" s="38"/>
      <c r="C506" s="88">
        <v>1</v>
      </c>
      <c r="D506" s="88"/>
      <c r="F506" s="88"/>
      <c r="G506" s="93">
        <v>4.3600000000000003</v>
      </c>
      <c r="H506" s="93"/>
      <c r="I506" s="90" t="s">
        <v>523</v>
      </c>
      <c r="J506" s="88" t="s">
        <v>879</v>
      </c>
      <c r="K506" s="38"/>
      <c r="L506" s="38"/>
      <c r="M506" s="38"/>
      <c r="N506" s="38"/>
    </row>
    <row r="507" spans="1:14" x14ac:dyDescent="0.3">
      <c r="B507" s="38"/>
      <c r="C507" s="88">
        <v>2</v>
      </c>
      <c r="D507" s="88"/>
      <c r="E507" s="88"/>
      <c r="F507" s="88"/>
      <c r="G507" s="156">
        <v>3.3511599999999997</v>
      </c>
      <c r="H507" s="156">
        <v>100.20759</v>
      </c>
      <c r="I507" s="155" t="s">
        <v>892</v>
      </c>
      <c r="J507" s="88"/>
      <c r="K507" s="38"/>
      <c r="L507" s="38"/>
      <c r="M507" s="38"/>
      <c r="N507" s="38"/>
    </row>
    <row r="508" spans="1:14" x14ac:dyDescent="0.3">
      <c r="B508" s="38"/>
      <c r="C508" s="88">
        <v>3</v>
      </c>
      <c r="D508" s="88"/>
      <c r="E508" s="88"/>
      <c r="F508" s="88"/>
      <c r="G508" s="156">
        <v>3.1042219827586206</v>
      </c>
      <c r="H508" s="156">
        <v>142.34734</v>
      </c>
      <c r="I508" s="155" t="s">
        <v>893</v>
      </c>
      <c r="J508" s="88"/>
      <c r="K508" s="38"/>
      <c r="L508" s="38"/>
      <c r="M508" s="38"/>
      <c r="N508" s="38"/>
    </row>
    <row r="509" spans="1:14" x14ac:dyDescent="0.3">
      <c r="B509" s="38"/>
      <c r="C509" s="88">
        <v>4</v>
      </c>
      <c r="D509" s="88"/>
      <c r="E509" s="88"/>
      <c r="F509" s="88"/>
      <c r="G509" s="306">
        <v>4.18</v>
      </c>
      <c r="H509" s="306">
        <v>98.8</v>
      </c>
      <c r="I509" s="86" t="s">
        <v>878</v>
      </c>
      <c r="J509" s="88"/>
      <c r="K509" s="38"/>
      <c r="L509" s="38"/>
      <c r="M509" s="38"/>
      <c r="N509" s="38"/>
    </row>
    <row r="510" spans="1:14" x14ac:dyDescent="0.3">
      <c r="B510" s="38"/>
      <c r="C510" s="88">
        <v>5</v>
      </c>
      <c r="D510" s="88"/>
      <c r="E510" s="88"/>
      <c r="F510" s="88"/>
      <c r="G510" s="88"/>
      <c r="H510" s="88"/>
      <c r="I510" s="86"/>
      <c r="J510" s="88"/>
      <c r="K510" s="38"/>
      <c r="L510" s="38"/>
      <c r="M510" s="38"/>
      <c r="N510" s="38"/>
    </row>
    <row r="511" spans="1:14" x14ac:dyDescent="0.3">
      <c r="A511" s="218"/>
    </row>
    <row r="512" spans="1:14" x14ac:dyDescent="0.3">
      <c r="A512" s="218"/>
      <c r="B512" s="38"/>
      <c r="C512" s="38"/>
      <c r="D512" s="158" t="s">
        <v>68</v>
      </c>
      <c r="E512" s="25"/>
      <c r="F512" s="157" t="s">
        <v>405</v>
      </c>
      <c r="G512" s="157">
        <f>G513</f>
        <v>4.46</v>
      </c>
      <c r="H512" s="157">
        <f>H513</f>
        <v>82.8</v>
      </c>
      <c r="I512" s="158"/>
      <c r="J512" s="157"/>
      <c r="K512" s="38"/>
      <c r="L512" s="38"/>
      <c r="M512" s="38"/>
      <c r="N512" s="38"/>
    </row>
    <row r="513" spans="1:14" x14ac:dyDescent="0.3">
      <c r="A513" s="218"/>
      <c r="B513" s="38"/>
      <c r="C513" s="88">
        <v>1</v>
      </c>
      <c r="D513" s="88"/>
      <c r="E513" t="s">
        <v>869</v>
      </c>
      <c r="F513" s="88"/>
      <c r="G513" s="166">
        <v>4.46</v>
      </c>
      <c r="H513" s="166">
        <v>82.8</v>
      </c>
      <c r="I513" s="86" t="s">
        <v>526</v>
      </c>
      <c r="J513" s="88" t="s">
        <v>525</v>
      </c>
      <c r="K513" s="38"/>
      <c r="L513" s="38"/>
      <c r="M513" s="38"/>
      <c r="N513" s="38"/>
    </row>
    <row r="514" spans="1:14" x14ac:dyDescent="0.3">
      <c r="A514" s="218"/>
      <c r="B514" s="38"/>
      <c r="C514" s="88">
        <v>2</v>
      </c>
      <c r="D514" s="88"/>
      <c r="E514" s="88"/>
      <c r="F514" s="88"/>
      <c r="G514" s="88"/>
      <c r="H514" s="88"/>
      <c r="I514" s="86"/>
      <c r="J514" s="88"/>
      <c r="K514" s="38"/>
      <c r="L514" s="38"/>
      <c r="M514" s="38"/>
      <c r="N514" s="38"/>
    </row>
    <row r="515" spans="1:14" x14ac:dyDescent="0.3">
      <c r="A515" s="218"/>
      <c r="B515" s="38"/>
      <c r="C515" s="88">
        <v>3</v>
      </c>
      <c r="D515" s="88"/>
      <c r="E515" s="88"/>
      <c r="F515" s="88"/>
      <c r="G515" s="88"/>
      <c r="H515" s="88"/>
      <c r="I515" s="86"/>
      <c r="J515" s="88"/>
      <c r="K515" s="38"/>
      <c r="L515" s="38"/>
      <c r="M515" s="38"/>
      <c r="N515" s="38"/>
    </row>
    <row r="516" spans="1:14" x14ac:dyDescent="0.3">
      <c r="A516" s="218"/>
      <c r="B516" s="38"/>
      <c r="C516" s="88">
        <v>4</v>
      </c>
      <c r="D516" s="88"/>
      <c r="E516" s="88"/>
      <c r="F516" s="88"/>
      <c r="G516" s="88"/>
      <c r="H516" s="88"/>
      <c r="I516" s="86"/>
      <c r="J516" s="88"/>
      <c r="K516" s="38"/>
      <c r="L516" s="38"/>
      <c r="M516" s="38"/>
      <c r="N516" s="38"/>
    </row>
    <row r="517" spans="1:14" x14ac:dyDescent="0.3">
      <c r="A517" s="218"/>
      <c r="B517" s="38"/>
      <c r="C517" s="88">
        <v>5</v>
      </c>
      <c r="D517" s="88"/>
      <c r="E517" s="88"/>
      <c r="F517" s="88"/>
      <c r="G517" s="88"/>
      <c r="H517" s="88"/>
      <c r="I517" s="86"/>
      <c r="J517" s="88"/>
      <c r="K517" s="38"/>
      <c r="L517" s="38"/>
      <c r="M517" s="38"/>
      <c r="N517" s="38"/>
    </row>
    <row r="518" spans="1:14" x14ac:dyDescent="0.3">
      <c r="A518" s="218"/>
    </row>
    <row r="519" spans="1:14" x14ac:dyDescent="0.3">
      <c r="A519" s="218"/>
      <c r="B519" s="38"/>
      <c r="C519" s="38"/>
      <c r="D519" s="158" t="s">
        <v>331</v>
      </c>
      <c r="E519" s="25"/>
      <c r="F519" s="157" t="s">
        <v>405</v>
      </c>
      <c r="G519" s="157">
        <f>G520</f>
        <v>378</v>
      </c>
      <c r="H519" s="157">
        <f>H520</f>
        <v>5670</v>
      </c>
      <c r="I519" s="158"/>
      <c r="J519" s="157"/>
      <c r="K519" s="38"/>
      <c r="L519" s="38"/>
      <c r="M519" s="38"/>
      <c r="N519" s="38"/>
    </row>
    <row r="520" spans="1:14" x14ac:dyDescent="0.3">
      <c r="A520" s="218"/>
      <c r="B520" s="38"/>
      <c r="C520" s="88">
        <v>1</v>
      </c>
      <c r="D520" s="88"/>
      <c r="E520" t="s">
        <v>869</v>
      </c>
      <c r="F520" s="88"/>
      <c r="G520" s="88">
        <v>378</v>
      </c>
      <c r="H520" s="88">
        <v>5670</v>
      </c>
      <c r="I520" s="86" t="s">
        <v>524</v>
      </c>
      <c r="J520" s="88"/>
      <c r="K520" s="38"/>
      <c r="L520" s="38"/>
      <c r="M520" s="38"/>
      <c r="N520" s="38"/>
    </row>
    <row r="521" spans="1:14" x14ac:dyDescent="0.3">
      <c r="A521" s="218"/>
      <c r="B521" s="38"/>
      <c r="C521" s="88">
        <v>2</v>
      </c>
      <c r="D521" s="88"/>
      <c r="E521" s="88"/>
      <c r="F521" s="88"/>
      <c r="G521" s="88"/>
      <c r="H521" s="88"/>
      <c r="I521" s="86"/>
      <c r="J521" s="88"/>
      <c r="K521" s="38"/>
      <c r="L521" s="38"/>
      <c r="M521" s="38"/>
      <c r="N521" s="38"/>
    </row>
    <row r="522" spans="1:14" x14ac:dyDescent="0.3">
      <c r="A522" s="218"/>
      <c r="B522" s="38"/>
      <c r="C522" s="88">
        <v>3</v>
      </c>
      <c r="D522" s="88"/>
      <c r="E522" s="88"/>
      <c r="F522" s="88"/>
      <c r="G522" s="88"/>
      <c r="H522" s="88"/>
      <c r="I522" s="86"/>
      <c r="J522" s="88"/>
      <c r="K522" s="38"/>
      <c r="L522" s="38"/>
      <c r="M522" s="38"/>
      <c r="N522" s="38"/>
    </row>
    <row r="523" spans="1:14" x14ac:dyDescent="0.3">
      <c r="A523" s="218"/>
      <c r="B523" s="38"/>
      <c r="C523" s="88">
        <v>4</v>
      </c>
      <c r="D523" s="88"/>
      <c r="E523" s="88"/>
      <c r="F523" s="88"/>
      <c r="G523" s="88"/>
      <c r="H523" s="88"/>
      <c r="I523" s="86"/>
      <c r="J523" s="88"/>
      <c r="K523" s="38"/>
      <c r="L523" s="38"/>
      <c r="M523" s="38"/>
      <c r="N523" s="38"/>
    </row>
    <row r="524" spans="1:14" x14ac:dyDescent="0.3">
      <c r="A524" s="218"/>
      <c r="B524" s="38"/>
      <c r="C524" s="88">
        <v>5</v>
      </c>
      <c r="D524" s="88"/>
      <c r="E524" s="88"/>
      <c r="F524" s="88"/>
      <c r="G524" s="88"/>
      <c r="H524" s="88"/>
      <c r="I524" s="86"/>
      <c r="J524" s="88"/>
      <c r="K524" s="38"/>
      <c r="L524" s="38"/>
      <c r="M524" s="38"/>
      <c r="N524" s="38"/>
    </row>
    <row r="525" spans="1:14" x14ac:dyDescent="0.3">
      <c r="A525" s="218"/>
    </row>
    <row r="526" spans="1:14" x14ac:dyDescent="0.3">
      <c r="A526" s="218"/>
      <c r="C526" s="38"/>
      <c r="D526" s="158" t="s">
        <v>330</v>
      </c>
      <c r="E526" s="25"/>
      <c r="F526" s="157" t="s">
        <v>405</v>
      </c>
      <c r="G526" s="157">
        <f>G527</f>
        <v>5</v>
      </c>
      <c r="H526" s="157">
        <f>H527</f>
        <v>88.2</v>
      </c>
      <c r="I526" s="158"/>
      <c r="J526" s="157"/>
    </row>
    <row r="527" spans="1:14" x14ac:dyDescent="0.3">
      <c r="A527" s="218"/>
      <c r="C527" s="88">
        <v>1</v>
      </c>
      <c r="D527" s="88"/>
      <c r="E527" t="s">
        <v>869</v>
      </c>
      <c r="F527" s="88"/>
      <c r="G527" s="166">
        <v>5</v>
      </c>
      <c r="H527" s="184">
        <v>88.2</v>
      </c>
      <c r="I527" s="86" t="s">
        <v>411</v>
      </c>
      <c r="J527" s="88"/>
    </row>
    <row r="528" spans="1:14" x14ac:dyDescent="0.3">
      <c r="A528" s="218"/>
      <c r="C528" s="88">
        <v>2</v>
      </c>
      <c r="D528" s="88"/>
      <c r="E528" s="88"/>
      <c r="F528" s="88"/>
      <c r="G528" s="88"/>
      <c r="H528" s="88"/>
      <c r="I528" s="86"/>
      <c r="J528" s="88"/>
    </row>
    <row r="529" spans="1:18" x14ac:dyDescent="0.3">
      <c r="A529" s="218"/>
      <c r="C529" s="88">
        <v>3</v>
      </c>
      <c r="D529" s="88"/>
      <c r="E529" s="88"/>
      <c r="F529" s="88"/>
      <c r="G529" s="88"/>
      <c r="H529" s="88"/>
      <c r="I529" s="86"/>
      <c r="J529" s="88"/>
    </row>
    <row r="530" spans="1:18" x14ac:dyDescent="0.3">
      <c r="A530" s="218"/>
      <c r="B530" s="38"/>
      <c r="C530" s="88">
        <v>4</v>
      </c>
      <c r="D530" s="88"/>
      <c r="E530" s="88"/>
      <c r="F530" s="88"/>
      <c r="G530" s="88"/>
      <c r="H530" s="88"/>
      <c r="I530" s="86"/>
      <c r="J530" s="88"/>
      <c r="K530" s="38"/>
      <c r="L530" s="38"/>
      <c r="M530" s="38"/>
      <c r="N530" s="38"/>
    </row>
    <row r="531" spans="1:18" x14ac:dyDescent="0.3">
      <c r="C531" s="88">
        <v>5</v>
      </c>
      <c r="D531" s="88"/>
      <c r="E531" s="88"/>
      <c r="F531" s="88"/>
      <c r="G531" s="88"/>
      <c r="H531" s="88"/>
      <c r="I531" s="86"/>
      <c r="J531" s="88"/>
    </row>
    <row r="533" spans="1:18" x14ac:dyDescent="0.3">
      <c r="B533" s="38"/>
      <c r="C533" s="38"/>
      <c r="D533" s="158" t="s">
        <v>132</v>
      </c>
      <c r="E533" s="25"/>
      <c r="F533" s="157" t="s">
        <v>405</v>
      </c>
      <c r="G533" s="157">
        <f>G534</f>
        <v>7.96</v>
      </c>
      <c r="H533" s="157">
        <f>H534</f>
        <v>108</v>
      </c>
      <c r="I533" s="158"/>
      <c r="J533" s="157"/>
      <c r="K533" s="38"/>
      <c r="L533" s="38"/>
      <c r="M533" s="38"/>
      <c r="N533" s="38"/>
    </row>
    <row r="534" spans="1:18" x14ac:dyDescent="0.3">
      <c r="B534" s="38"/>
      <c r="C534" s="88">
        <v>1</v>
      </c>
      <c r="D534" s="88"/>
      <c r="E534" t="s">
        <v>869</v>
      </c>
      <c r="F534" s="88"/>
      <c r="G534" s="88">
        <v>7.96</v>
      </c>
      <c r="H534" s="184">
        <v>108</v>
      </c>
      <c r="I534" s="86" t="s">
        <v>522</v>
      </c>
      <c r="J534" s="88"/>
      <c r="K534" s="38"/>
      <c r="L534" s="38"/>
      <c r="M534" s="38"/>
      <c r="N534" s="38"/>
    </row>
    <row r="535" spans="1:18" x14ac:dyDescent="0.3">
      <c r="B535" s="38"/>
      <c r="C535" s="88">
        <v>2</v>
      </c>
      <c r="D535" s="88"/>
      <c r="E535" s="88"/>
      <c r="F535" s="88"/>
      <c r="G535" s="88"/>
      <c r="H535" s="88"/>
      <c r="I535" s="86"/>
      <c r="J535" s="88"/>
      <c r="K535" s="38"/>
      <c r="L535" s="38"/>
      <c r="M535" s="38"/>
      <c r="N535" s="38"/>
    </row>
    <row r="536" spans="1:18" x14ac:dyDescent="0.3">
      <c r="B536" s="38"/>
      <c r="C536" s="88">
        <v>3</v>
      </c>
      <c r="D536" s="88"/>
      <c r="E536" s="88"/>
      <c r="F536" s="88"/>
      <c r="G536" s="88"/>
      <c r="H536" s="88"/>
      <c r="I536" s="86"/>
      <c r="J536" s="88"/>
      <c r="K536" s="38"/>
      <c r="L536" s="38"/>
      <c r="M536" s="38"/>
      <c r="N536" s="38"/>
    </row>
    <row r="537" spans="1:18" x14ac:dyDescent="0.3">
      <c r="B537" s="38"/>
      <c r="C537" s="88">
        <v>4</v>
      </c>
      <c r="D537" s="88"/>
      <c r="E537" s="88"/>
      <c r="F537" s="88"/>
      <c r="G537" s="88"/>
      <c r="H537" s="88"/>
      <c r="I537" s="86"/>
      <c r="J537" s="88"/>
      <c r="K537" s="38"/>
      <c r="L537" s="38"/>
      <c r="M537" s="38"/>
      <c r="N537" s="38"/>
    </row>
    <row r="538" spans="1:18" x14ac:dyDescent="0.3">
      <c r="B538" s="38"/>
      <c r="C538" s="88">
        <v>5</v>
      </c>
      <c r="D538" s="88"/>
      <c r="E538" s="88"/>
      <c r="F538" s="88"/>
      <c r="G538" s="88"/>
      <c r="H538" s="88"/>
      <c r="I538" s="86"/>
      <c r="J538" s="88"/>
      <c r="K538" s="38"/>
      <c r="L538" s="38"/>
      <c r="M538" s="38"/>
      <c r="N538" s="38"/>
    </row>
    <row r="539" spans="1:18" x14ac:dyDescent="0.3">
      <c r="B539" s="38"/>
      <c r="C539" s="38"/>
      <c r="D539" s="88"/>
      <c r="E539" s="88"/>
      <c r="F539" s="88"/>
      <c r="G539" s="88"/>
      <c r="H539" s="88"/>
      <c r="I539" s="86"/>
      <c r="J539" s="88"/>
      <c r="K539" s="38"/>
      <c r="L539" s="38"/>
      <c r="M539" s="38"/>
      <c r="N539" s="38"/>
    </row>
    <row r="540" spans="1:18" x14ac:dyDescent="0.3">
      <c r="B540" s="38"/>
      <c r="C540" s="38"/>
      <c r="D540" s="158" t="s">
        <v>521</v>
      </c>
      <c r="E540" s="25"/>
      <c r="F540" s="157" t="s">
        <v>405</v>
      </c>
      <c r="G540" s="157">
        <f>G544</f>
        <v>0.11383928571428571</v>
      </c>
      <c r="H540" s="157">
        <f>H544</f>
        <v>0.8705357142857143</v>
      </c>
      <c r="I540" s="158"/>
      <c r="J540" s="157"/>
      <c r="K540" s="38"/>
      <c r="L540" s="38"/>
      <c r="M540" s="38"/>
      <c r="N540" s="38"/>
    </row>
    <row r="541" spans="1:18" x14ac:dyDescent="0.3">
      <c r="B541" s="38"/>
      <c r="C541" s="88">
        <v>1</v>
      </c>
      <c r="D541" s="88"/>
      <c r="F541" s="88"/>
      <c r="G541" s="110">
        <v>0.13800000000000001</v>
      </c>
      <c r="H541" s="110"/>
      <c r="I541" s="86" t="s">
        <v>438</v>
      </c>
      <c r="J541" s="88"/>
      <c r="K541" s="38"/>
      <c r="L541" s="38"/>
      <c r="M541" s="38"/>
      <c r="N541" s="38"/>
    </row>
    <row r="542" spans="1:18" x14ac:dyDescent="0.3">
      <c r="B542" s="38"/>
      <c r="C542" s="88">
        <v>2</v>
      </c>
      <c r="D542" s="88"/>
      <c r="E542" s="88"/>
      <c r="F542" s="88"/>
      <c r="G542" s="88">
        <v>0.125</v>
      </c>
      <c r="H542" s="88"/>
      <c r="I542" s="86" t="s">
        <v>520</v>
      </c>
      <c r="J542" s="88"/>
      <c r="K542" s="38"/>
      <c r="Q542">
        <f>100*40/Q546</f>
        <v>1.7857142857142858</v>
      </c>
      <c r="R542" t="s">
        <v>519</v>
      </c>
    </row>
    <row r="543" spans="1:18" x14ac:dyDescent="0.3">
      <c r="B543" s="38"/>
      <c r="C543" s="88"/>
      <c r="D543" s="88"/>
      <c r="E543" t="s">
        <v>869</v>
      </c>
      <c r="F543" s="88" t="s">
        <v>507</v>
      </c>
      <c r="G543" s="184">
        <v>255</v>
      </c>
      <c r="H543" s="184">
        <v>1950</v>
      </c>
      <c r="I543" s="86" t="s">
        <v>518</v>
      </c>
      <c r="J543" s="88" t="s">
        <v>515</v>
      </c>
      <c r="K543" s="38" t="s">
        <v>514</v>
      </c>
      <c r="L543">
        <v>2240</v>
      </c>
    </row>
    <row r="544" spans="1:18" x14ac:dyDescent="0.3">
      <c r="B544" s="38"/>
      <c r="C544" s="88"/>
      <c r="D544" s="88"/>
      <c r="E544" s="88"/>
      <c r="F544" s="88" t="s">
        <v>160</v>
      </c>
      <c r="G544" s="184">
        <f>G543/L543</f>
        <v>0.11383928571428571</v>
      </c>
      <c r="H544" s="184">
        <f>H543/L543</f>
        <v>0.8705357142857143</v>
      </c>
      <c r="I544" s="86"/>
      <c r="J544" s="88"/>
      <c r="K544" s="38"/>
    </row>
    <row r="545" spans="2:26" x14ac:dyDescent="0.3">
      <c r="B545" s="38"/>
      <c r="C545" s="88"/>
      <c r="D545" s="88"/>
      <c r="E545" s="88"/>
      <c r="F545" s="88"/>
      <c r="G545" s="88"/>
      <c r="H545" s="88"/>
      <c r="I545" s="86"/>
      <c r="J545" s="88"/>
      <c r="K545" s="38"/>
    </row>
    <row r="546" spans="2:26" x14ac:dyDescent="0.3">
      <c r="B546" s="38"/>
      <c r="C546" s="88">
        <v>3</v>
      </c>
      <c r="D546" s="88"/>
      <c r="E546" t="s">
        <v>869</v>
      </c>
      <c r="F546" s="88" t="s">
        <v>517</v>
      </c>
      <c r="G546" s="184">
        <v>280</v>
      </c>
      <c r="H546" s="184">
        <v>2360</v>
      </c>
      <c r="I546" s="86" t="s">
        <v>516</v>
      </c>
      <c r="J546" s="88" t="s">
        <v>515</v>
      </c>
      <c r="K546" s="38" t="s">
        <v>514</v>
      </c>
      <c r="L546">
        <v>2240</v>
      </c>
      <c r="O546" t="s">
        <v>513</v>
      </c>
      <c r="Q546" s="19">
        <v>2240</v>
      </c>
      <c r="R546">
        <f>S547/Q546</f>
        <v>0.13827100138546797</v>
      </c>
    </row>
    <row r="547" spans="2:26" x14ac:dyDescent="0.3">
      <c r="B547" s="38"/>
      <c r="C547" s="88">
        <v>4</v>
      </c>
      <c r="D547" s="88"/>
      <c r="E547" s="88"/>
      <c r="F547" s="88" t="s">
        <v>160</v>
      </c>
      <c r="G547" s="184">
        <f>G546/L546</f>
        <v>0.125</v>
      </c>
      <c r="H547" s="184">
        <f>H546/L546</f>
        <v>1.0535714285714286</v>
      </c>
      <c r="I547" s="86" t="s">
        <v>512</v>
      </c>
      <c r="J547" s="140"/>
      <c r="K547" s="38"/>
      <c r="L547" s="165">
        <v>499.34727586206895</v>
      </c>
      <c r="M547" s="163" t="s">
        <v>2091</v>
      </c>
      <c r="S547" s="165">
        <v>309.72704310344824</v>
      </c>
      <c r="T547" s="163" t="s">
        <v>977</v>
      </c>
      <c r="W547">
        <v>280</v>
      </c>
      <c r="X547" t="s">
        <v>511</v>
      </c>
      <c r="Z547" t="s">
        <v>354</v>
      </c>
    </row>
    <row r="548" spans="2:26" x14ac:dyDescent="0.3">
      <c r="B548" s="38"/>
      <c r="C548" s="88">
        <v>5</v>
      </c>
      <c r="D548" s="88"/>
      <c r="E548" s="88"/>
      <c r="F548" s="88"/>
      <c r="G548" s="88"/>
      <c r="H548" s="88"/>
      <c r="I548" s="86"/>
      <c r="J548" s="88"/>
      <c r="K548" s="38"/>
      <c r="L548" s="38" t="s">
        <v>510</v>
      </c>
      <c r="M548" s="38"/>
      <c r="N548" s="38"/>
      <c r="O548" s="26">
        <v>2315</v>
      </c>
    </row>
    <row r="549" spans="2:26" x14ac:dyDescent="0.3">
      <c r="B549" s="38"/>
      <c r="C549" s="38"/>
      <c r="D549" s="88"/>
      <c r="E549" s="88"/>
      <c r="F549" s="88" t="s">
        <v>507</v>
      </c>
      <c r="G549" s="88"/>
      <c r="H549" s="88">
        <v>1990</v>
      </c>
      <c r="I549" s="86" t="s">
        <v>509</v>
      </c>
      <c r="J549" s="88">
        <v>2315</v>
      </c>
      <c r="K549" s="38"/>
      <c r="L549" s="38" t="s">
        <v>508</v>
      </c>
      <c r="M549" s="38"/>
      <c r="N549" s="38"/>
      <c r="O549">
        <v>2240</v>
      </c>
    </row>
    <row r="550" spans="2:26" x14ac:dyDescent="0.3">
      <c r="B550" s="38"/>
      <c r="C550" s="38"/>
      <c r="D550" s="88"/>
      <c r="E550" s="88"/>
      <c r="F550" s="88" t="s">
        <v>507</v>
      </c>
      <c r="G550" s="88"/>
      <c r="H550" s="88">
        <v>2440</v>
      </c>
      <c r="I550" s="86" t="s">
        <v>506</v>
      </c>
      <c r="J550" s="88"/>
      <c r="K550" s="38"/>
      <c r="L550" s="38"/>
      <c r="M550" s="38"/>
      <c r="N550" s="38"/>
    </row>
    <row r="551" spans="2:26" x14ac:dyDescent="0.3">
      <c r="B551" s="38"/>
      <c r="C551" s="38"/>
      <c r="D551" s="185" t="s">
        <v>505</v>
      </c>
      <c r="E551" s="186"/>
      <c r="F551" s="186"/>
      <c r="G551" s="186">
        <f>G547-G544</f>
        <v>1.1160714285714288E-2</v>
      </c>
      <c r="H551" s="186">
        <f>H547-H544</f>
        <v>0.1830357142857143</v>
      </c>
      <c r="I551" s="185" t="s">
        <v>504</v>
      </c>
      <c r="J551" s="88"/>
      <c r="K551" s="38"/>
      <c r="L551" s="38"/>
      <c r="M551" s="38"/>
      <c r="N551" s="38"/>
    </row>
    <row r="552" spans="2:26" x14ac:dyDescent="0.3">
      <c r="B552" s="38"/>
      <c r="C552" s="38"/>
      <c r="D552" s="88"/>
      <c r="E552" s="88"/>
      <c r="F552" s="88"/>
      <c r="G552" s="88"/>
      <c r="H552" s="88"/>
      <c r="I552" s="86"/>
      <c r="J552" s="88"/>
      <c r="K552" s="38"/>
      <c r="L552" s="38"/>
      <c r="M552" s="38"/>
      <c r="N552" s="38"/>
    </row>
    <row r="553" spans="2:26" x14ac:dyDescent="0.3">
      <c r="B553" s="38"/>
      <c r="C553" s="38"/>
      <c r="D553" s="88"/>
      <c r="E553" s="88"/>
      <c r="F553" s="88"/>
      <c r="G553" s="88"/>
      <c r="H553" s="88"/>
      <c r="I553" s="86"/>
      <c r="J553" s="88"/>
      <c r="K553" s="38"/>
      <c r="L553" s="38"/>
      <c r="M553" s="38"/>
      <c r="N553" s="38"/>
    </row>
    <row r="554" spans="2:26" x14ac:dyDescent="0.3">
      <c r="B554" s="38"/>
      <c r="C554" s="38"/>
      <c r="D554" s="88"/>
      <c r="E554" s="88"/>
      <c r="F554" s="88">
        <v>25</v>
      </c>
      <c r="G554" s="88">
        <v>205</v>
      </c>
      <c r="H554" s="88">
        <v>1630</v>
      </c>
      <c r="I554" s="86" t="s">
        <v>1472</v>
      </c>
      <c r="J554" s="88">
        <v>2270</v>
      </c>
      <c r="K554" s="38"/>
      <c r="L554" s="38">
        <f>G554/$G$556</f>
        <v>0.80392156862745101</v>
      </c>
      <c r="M554" s="38">
        <f>H554/$H$556</f>
        <v>0.83589743589743593</v>
      </c>
      <c r="N554" s="38"/>
      <c r="O554">
        <f>G554/J554</f>
        <v>9.0308370044052858E-2</v>
      </c>
      <c r="P554">
        <f>H554/J554</f>
        <v>0.7180616740088106</v>
      </c>
      <c r="Q554">
        <f>O554/O$556</f>
        <v>0.79329705450462118</v>
      </c>
      <c r="R554">
        <f>P554/P$556</f>
        <v>0.82485033322037726</v>
      </c>
    </row>
    <row r="555" spans="2:26" x14ac:dyDescent="0.3">
      <c r="B555" s="38"/>
      <c r="C555" s="38"/>
      <c r="D555" s="88"/>
      <c r="E555" s="88"/>
      <c r="F555" s="88">
        <v>30</v>
      </c>
      <c r="G555" s="88">
        <v>274</v>
      </c>
      <c r="H555" s="88">
        <v>2060</v>
      </c>
      <c r="I555" s="86" t="s">
        <v>1475</v>
      </c>
      <c r="J555" s="88">
        <v>2316</v>
      </c>
      <c r="K555" s="38"/>
      <c r="L555" s="38">
        <f t="shared" ref="L555:L557" si="6">G555/$G$556</f>
        <v>1.0745098039215686</v>
      </c>
      <c r="M555" s="38">
        <f t="shared" ref="M555:M557" si="7">H555/$H$556</f>
        <v>1.0564102564102564</v>
      </c>
      <c r="N555" s="38"/>
      <c r="O555">
        <f t="shared" ref="O555:O557" si="8">G555/J555</f>
        <v>0.11830742659758203</v>
      </c>
      <c r="P555">
        <f t="shared" ref="P555:P557" si="9">H555/J555</f>
        <v>0.88946459412780654</v>
      </c>
      <c r="Q555">
        <f t="shared" ref="Q555:Q557" si="10">O555/O$556</f>
        <v>1.0392495512885638</v>
      </c>
      <c r="R555">
        <f t="shared" ref="R555:R557" si="11">P555/P$556</f>
        <v>1.0217439440237368</v>
      </c>
    </row>
    <row r="556" spans="2:26" x14ac:dyDescent="0.3">
      <c r="B556" s="38"/>
      <c r="C556" s="38"/>
      <c r="D556" s="88"/>
      <c r="E556" s="88"/>
      <c r="F556" s="88">
        <v>35</v>
      </c>
      <c r="G556" s="88">
        <v>255</v>
      </c>
      <c r="H556" s="88">
        <v>1950</v>
      </c>
      <c r="I556" s="86" t="s">
        <v>1473</v>
      </c>
      <c r="J556" s="88">
        <v>2240</v>
      </c>
      <c r="K556" s="38"/>
      <c r="L556" s="38">
        <f t="shared" si="6"/>
        <v>1</v>
      </c>
      <c r="M556" s="38">
        <f t="shared" si="7"/>
        <v>1</v>
      </c>
      <c r="N556" s="38"/>
      <c r="O556">
        <f t="shared" si="8"/>
        <v>0.11383928571428571</v>
      </c>
      <c r="P556">
        <f t="shared" si="9"/>
        <v>0.8705357142857143</v>
      </c>
      <c r="Q556">
        <f t="shared" si="10"/>
        <v>1</v>
      </c>
      <c r="R556">
        <f t="shared" si="11"/>
        <v>1</v>
      </c>
    </row>
    <row r="557" spans="2:26" x14ac:dyDescent="0.3">
      <c r="B557" s="38"/>
      <c r="C557" s="38"/>
      <c r="D557" s="88"/>
      <c r="E557" s="88"/>
      <c r="F557" s="88">
        <v>40</v>
      </c>
      <c r="G557" s="88">
        <v>268</v>
      </c>
      <c r="H557" s="88">
        <v>2070</v>
      </c>
      <c r="I557" s="86" t="s">
        <v>1474</v>
      </c>
      <c r="J557" s="88">
        <v>2270</v>
      </c>
      <c r="K557" s="38"/>
      <c r="L557" s="38">
        <f t="shared" si="6"/>
        <v>1.0509803921568628</v>
      </c>
      <c r="M557" s="38">
        <f t="shared" si="7"/>
        <v>1.0615384615384615</v>
      </c>
      <c r="N557" s="38"/>
      <c r="O557">
        <f t="shared" si="8"/>
        <v>0.11806167400881057</v>
      </c>
      <c r="P557">
        <f t="shared" si="9"/>
        <v>0.91189427312775329</v>
      </c>
      <c r="Q557">
        <f t="shared" si="10"/>
        <v>1.0370907834499439</v>
      </c>
      <c r="R557">
        <f t="shared" si="11"/>
        <v>1.0475093188749576</v>
      </c>
    </row>
    <row r="558" spans="2:26" x14ac:dyDescent="0.3">
      <c r="B558" s="38"/>
      <c r="C558" s="38"/>
      <c r="D558" s="88"/>
      <c r="E558" s="88"/>
      <c r="F558" s="88"/>
      <c r="G558" s="88"/>
      <c r="H558" s="88"/>
      <c r="I558" s="86"/>
      <c r="J558" s="88"/>
      <c r="K558" s="38"/>
      <c r="L558" s="38"/>
      <c r="M558" s="38"/>
      <c r="N558" s="38"/>
    </row>
    <row r="559" spans="2:26" x14ac:dyDescent="0.3">
      <c r="B559" s="38"/>
      <c r="C559" s="38"/>
      <c r="D559" s="88"/>
      <c r="E559" s="88"/>
      <c r="F559" s="88"/>
      <c r="G559" s="88"/>
      <c r="H559" s="88"/>
      <c r="I559" s="86"/>
      <c r="J559" s="88"/>
      <c r="K559" s="38"/>
      <c r="L559" s="38"/>
      <c r="M559" s="38"/>
      <c r="N559" s="38"/>
    </row>
    <row r="560" spans="2:26" x14ac:dyDescent="0.3">
      <c r="B560" s="38"/>
      <c r="C560" s="38"/>
      <c r="D560" s="158" t="s">
        <v>133</v>
      </c>
      <c r="E560" s="25"/>
      <c r="F560" s="157" t="s">
        <v>405</v>
      </c>
      <c r="G560" s="157">
        <f>G561</f>
        <v>36.6</v>
      </c>
      <c r="H560" s="157">
        <f>H561</f>
        <v>570</v>
      </c>
      <c r="I560" s="158"/>
      <c r="J560" s="157"/>
      <c r="K560" s="38"/>
      <c r="L560" s="38"/>
      <c r="M560" s="38"/>
      <c r="N560" s="38"/>
    </row>
    <row r="561" spans="2:15" x14ac:dyDescent="0.3">
      <c r="B561" s="38"/>
      <c r="C561" s="88">
        <v>1</v>
      </c>
      <c r="D561" s="88"/>
      <c r="E561" t="s">
        <v>869</v>
      </c>
      <c r="F561" s="88"/>
      <c r="G561" s="184">
        <v>36.6</v>
      </c>
      <c r="H561" s="184">
        <v>570</v>
      </c>
      <c r="I561" s="86" t="s">
        <v>503</v>
      </c>
      <c r="J561" s="88"/>
      <c r="K561" s="38"/>
      <c r="L561" s="38"/>
      <c r="M561" s="38"/>
      <c r="N561" s="38"/>
    </row>
    <row r="562" spans="2:15" x14ac:dyDescent="0.3">
      <c r="B562" s="38"/>
      <c r="C562" s="88">
        <v>2</v>
      </c>
      <c r="D562" s="88"/>
      <c r="E562" s="88"/>
      <c r="F562" s="88"/>
      <c r="G562" s="110">
        <v>260</v>
      </c>
      <c r="H562" s="110"/>
      <c r="I562" s="163" t="s">
        <v>2092</v>
      </c>
      <c r="J562" s="88"/>
      <c r="K562" s="38"/>
      <c r="L562" s="38"/>
      <c r="M562" s="38"/>
      <c r="N562" s="38"/>
    </row>
    <row r="563" spans="2:15" x14ac:dyDescent="0.3">
      <c r="B563" s="38"/>
      <c r="C563" s="88">
        <v>3</v>
      </c>
      <c r="D563" s="88"/>
      <c r="E563" s="88"/>
      <c r="F563" s="88"/>
      <c r="G563" s="88"/>
      <c r="H563" s="88"/>
      <c r="I563" s="86"/>
      <c r="J563" s="88"/>
      <c r="K563" s="38"/>
      <c r="L563" s="38"/>
      <c r="M563" s="38"/>
      <c r="N563" s="38"/>
    </row>
    <row r="564" spans="2:15" x14ac:dyDescent="0.3">
      <c r="B564" s="38"/>
      <c r="C564" s="88">
        <v>4</v>
      </c>
      <c r="D564" s="88"/>
      <c r="E564" s="88"/>
      <c r="F564" s="88"/>
      <c r="G564" s="88"/>
      <c r="H564" s="88"/>
      <c r="I564" s="86"/>
      <c r="J564" s="88"/>
      <c r="K564" s="38"/>
      <c r="L564" s="38"/>
      <c r="M564" s="38"/>
      <c r="N564" s="38"/>
    </row>
    <row r="565" spans="2:15" x14ac:dyDescent="0.3">
      <c r="B565" s="38"/>
      <c r="C565" s="88">
        <v>5</v>
      </c>
      <c r="D565" s="88"/>
      <c r="E565" s="88"/>
      <c r="F565" s="88"/>
      <c r="G565" s="88"/>
      <c r="H565" s="88"/>
      <c r="I565" s="86"/>
      <c r="J565" s="88"/>
      <c r="K565" s="38"/>
      <c r="L565" s="38"/>
      <c r="M565" s="38"/>
      <c r="N565" s="38"/>
    </row>
    <row r="566" spans="2:15" x14ac:dyDescent="0.3">
      <c r="B566" s="38"/>
      <c r="C566" s="38"/>
      <c r="D566" s="88"/>
      <c r="E566" s="88"/>
      <c r="F566" s="88"/>
      <c r="G566" s="88"/>
      <c r="H566" s="88"/>
      <c r="I566" s="86"/>
      <c r="J566" s="88"/>
      <c r="K566" s="38"/>
      <c r="L566" s="38"/>
      <c r="M566" s="38"/>
      <c r="N566" s="38"/>
    </row>
    <row r="567" spans="2:15" x14ac:dyDescent="0.3">
      <c r="B567" s="38"/>
      <c r="C567" s="38"/>
      <c r="D567" s="158" t="s">
        <v>134</v>
      </c>
      <c r="E567" s="25"/>
      <c r="F567" s="157" t="s">
        <v>405</v>
      </c>
      <c r="G567" s="157">
        <f>G569</f>
        <v>7.72</v>
      </c>
      <c r="H567" s="157">
        <f>H569</f>
        <v>123</v>
      </c>
      <c r="I567" s="158"/>
      <c r="J567" s="157"/>
      <c r="K567" s="38"/>
      <c r="L567" s="38"/>
      <c r="M567" s="38"/>
      <c r="N567" s="38"/>
    </row>
    <row r="568" spans="2:15" x14ac:dyDescent="0.3">
      <c r="B568" s="38"/>
      <c r="C568" s="88">
        <v>1</v>
      </c>
      <c r="D568" s="88"/>
      <c r="E568" t="s">
        <v>869</v>
      </c>
      <c r="F568" s="88"/>
      <c r="G568" s="177">
        <v>7.65</v>
      </c>
      <c r="H568" s="177">
        <v>122</v>
      </c>
      <c r="I568" s="95" t="s">
        <v>502</v>
      </c>
      <c r="J568" s="88"/>
      <c r="K568" s="38"/>
      <c r="L568" s="38"/>
      <c r="M568" s="38"/>
      <c r="N568" s="38"/>
    </row>
    <row r="569" spans="2:15" x14ac:dyDescent="0.3">
      <c r="B569" s="38"/>
      <c r="C569" s="88"/>
      <c r="D569" s="88"/>
      <c r="E569" t="s">
        <v>869</v>
      </c>
      <c r="F569" s="88"/>
      <c r="G569" s="166">
        <v>7.72</v>
      </c>
      <c r="H569" s="166">
        <v>123</v>
      </c>
      <c r="I569" s="95" t="s">
        <v>501</v>
      </c>
      <c r="J569" s="86" t="s">
        <v>500</v>
      </c>
      <c r="K569" s="38"/>
      <c r="L569" s="38"/>
      <c r="M569" s="38"/>
      <c r="N569" s="38"/>
      <c r="O569" t="s">
        <v>499</v>
      </c>
    </row>
    <row r="570" spans="2:15" x14ac:dyDescent="0.3">
      <c r="B570" s="38"/>
      <c r="C570" s="88">
        <v>2</v>
      </c>
      <c r="D570" s="88"/>
      <c r="E570" s="88"/>
      <c r="F570" s="88"/>
      <c r="G570" s="181">
        <v>46.217157758620687</v>
      </c>
      <c r="H570" s="110">
        <v>968.15944999999999</v>
      </c>
      <c r="I570" s="163" t="s">
        <v>894</v>
      </c>
      <c r="J570" s="88"/>
      <c r="K570" s="38"/>
      <c r="L570" s="38"/>
      <c r="M570" s="38"/>
      <c r="N570" s="38"/>
    </row>
    <row r="571" spans="2:15" x14ac:dyDescent="0.3">
      <c r="B571" s="38"/>
      <c r="C571" s="88">
        <v>3</v>
      </c>
      <c r="D571" s="88"/>
      <c r="E571" s="88"/>
      <c r="F571" s="88"/>
      <c r="G571" s="181">
        <v>51.589031034482758</v>
      </c>
      <c r="H571" s="110">
        <v>999.28486999999996</v>
      </c>
      <c r="I571" s="163" t="s">
        <v>895</v>
      </c>
      <c r="J571" s="88"/>
      <c r="K571" s="38"/>
      <c r="L571" s="38"/>
      <c r="M571" s="38"/>
      <c r="N571" s="38"/>
    </row>
    <row r="572" spans="2:15" x14ac:dyDescent="0.3">
      <c r="B572" s="38"/>
      <c r="C572" s="88">
        <v>4</v>
      </c>
      <c r="D572" s="88"/>
      <c r="E572" s="88"/>
      <c r="F572" s="88"/>
      <c r="G572" s="181">
        <v>34.191726724137929</v>
      </c>
      <c r="H572" s="110">
        <v>390.94481999999999</v>
      </c>
      <c r="I572" s="163" t="s">
        <v>896</v>
      </c>
      <c r="J572" s="88"/>
      <c r="K572" s="38"/>
      <c r="L572" s="38"/>
      <c r="M572" s="38"/>
      <c r="N572" s="38"/>
    </row>
    <row r="573" spans="2:15" x14ac:dyDescent="0.3">
      <c r="B573" s="38"/>
      <c r="C573" s="88">
        <v>5</v>
      </c>
      <c r="D573" s="88"/>
      <c r="E573" t="s">
        <v>869</v>
      </c>
      <c r="F573" s="88"/>
      <c r="G573" s="183">
        <v>5.67</v>
      </c>
      <c r="H573" s="183">
        <v>93.6</v>
      </c>
      <c r="I573" s="86" t="s">
        <v>498</v>
      </c>
      <c r="J573" s="88"/>
      <c r="K573" s="38"/>
      <c r="L573" s="38"/>
      <c r="M573" s="38"/>
      <c r="N573" s="38"/>
    </row>
    <row r="574" spans="2:15" x14ac:dyDescent="0.3">
      <c r="B574" s="38"/>
      <c r="C574" s="38"/>
      <c r="D574" s="88"/>
      <c r="E574" s="88"/>
      <c r="F574" s="88"/>
      <c r="G574" s="88"/>
      <c r="H574" s="88"/>
      <c r="I574" s="86" t="s">
        <v>497</v>
      </c>
      <c r="J574" s="88"/>
      <c r="K574" s="38"/>
      <c r="L574" s="38"/>
      <c r="M574" s="38"/>
      <c r="N574" s="38"/>
    </row>
    <row r="575" spans="2:15" x14ac:dyDescent="0.3">
      <c r="B575" s="38"/>
      <c r="C575" s="38"/>
      <c r="D575" s="88"/>
      <c r="E575" s="88"/>
      <c r="F575" s="88"/>
      <c r="G575" s="88"/>
      <c r="H575" s="88"/>
      <c r="I575" s="86" t="s">
        <v>496</v>
      </c>
      <c r="J575" s="88"/>
      <c r="K575" s="38"/>
      <c r="L575" s="38"/>
      <c r="M575" s="38"/>
      <c r="N575" s="38"/>
    </row>
    <row r="577" spans="3:15" x14ac:dyDescent="0.3">
      <c r="C577" s="38"/>
      <c r="D577" s="158" t="s">
        <v>212</v>
      </c>
      <c r="E577" s="25"/>
      <c r="F577" s="157" t="s">
        <v>405</v>
      </c>
      <c r="G577" s="157"/>
      <c r="H577" s="157"/>
      <c r="I577" s="158"/>
      <c r="J577" s="157"/>
    </row>
    <row r="578" spans="3:15" x14ac:dyDescent="0.3">
      <c r="C578" s="88">
        <v>1</v>
      </c>
      <c r="D578" s="88"/>
      <c r="F578" s="88"/>
      <c r="G578" s="88"/>
      <c r="H578" s="88"/>
      <c r="I578" s="86"/>
      <c r="J578" s="88"/>
    </row>
    <row r="579" spans="3:15" x14ac:dyDescent="0.3">
      <c r="C579" s="88">
        <v>2</v>
      </c>
      <c r="D579" s="88"/>
      <c r="E579" s="88"/>
      <c r="F579" s="88"/>
      <c r="G579" s="88"/>
      <c r="H579" s="88"/>
      <c r="I579" s="163"/>
      <c r="J579" s="88"/>
    </row>
    <row r="580" spans="3:15" x14ac:dyDescent="0.3">
      <c r="C580" s="88">
        <v>3</v>
      </c>
      <c r="D580" s="88"/>
      <c r="E580" s="88"/>
      <c r="F580" s="88"/>
      <c r="G580" s="88"/>
      <c r="H580" s="88"/>
      <c r="I580" s="86"/>
      <c r="J580" s="88"/>
    </row>
    <row r="581" spans="3:15" x14ac:dyDescent="0.3">
      <c r="C581" s="88">
        <v>4</v>
      </c>
      <c r="D581" s="88"/>
      <c r="E581" s="88"/>
      <c r="F581" s="88"/>
      <c r="G581" s="88"/>
      <c r="H581" s="88"/>
      <c r="I581" s="86"/>
      <c r="J581" s="88"/>
    </row>
    <row r="582" spans="3:15" x14ac:dyDescent="0.3">
      <c r="C582" s="88">
        <v>5</v>
      </c>
      <c r="D582" s="88"/>
      <c r="E582" s="88"/>
      <c r="F582" s="88"/>
      <c r="G582" s="88"/>
      <c r="H582" s="88"/>
      <c r="I582" s="86"/>
      <c r="J582" s="88"/>
    </row>
    <row r="584" spans="3:15" x14ac:dyDescent="0.3">
      <c r="C584" s="38"/>
      <c r="D584" s="158" t="s">
        <v>1060</v>
      </c>
      <c r="E584" s="25"/>
      <c r="F584" s="157" t="s">
        <v>405</v>
      </c>
      <c r="G584" s="157"/>
      <c r="H584" s="157"/>
      <c r="I584" s="158" t="s">
        <v>1393</v>
      </c>
      <c r="J584" s="157"/>
    </row>
    <row r="585" spans="3:15" x14ac:dyDescent="0.3">
      <c r="C585" s="88">
        <v>1</v>
      </c>
      <c r="D585" s="88"/>
      <c r="E585" t="s">
        <v>869</v>
      </c>
      <c r="F585" s="88"/>
      <c r="G585" s="88">
        <v>157</v>
      </c>
      <c r="H585" s="88">
        <v>2720</v>
      </c>
      <c r="I585" s="86" t="s">
        <v>1124</v>
      </c>
      <c r="J585" t="s">
        <v>1134</v>
      </c>
      <c r="K585" s="88" t="s">
        <v>1125</v>
      </c>
      <c r="L585">
        <v>35</v>
      </c>
      <c r="M585" t="s">
        <v>65</v>
      </c>
    </row>
    <row r="586" spans="3:15" x14ac:dyDescent="0.3">
      <c r="C586" s="88">
        <v>2</v>
      </c>
      <c r="D586" s="88"/>
      <c r="E586" t="s">
        <v>869</v>
      </c>
      <c r="F586" s="88"/>
      <c r="G586" s="88">
        <v>241</v>
      </c>
      <c r="H586" s="88">
        <v>3420</v>
      </c>
      <c r="I586" s="163" t="s">
        <v>1126</v>
      </c>
      <c r="K586" s="88"/>
      <c r="L586">
        <v>40</v>
      </c>
      <c r="M586" t="s">
        <v>65</v>
      </c>
    </row>
    <row r="587" spans="3:15" x14ac:dyDescent="0.3">
      <c r="C587" s="88">
        <v>3</v>
      </c>
      <c r="D587" s="88"/>
      <c r="E587" s="86" t="s">
        <v>869</v>
      </c>
      <c r="F587" s="88"/>
      <c r="G587" s="88">
        <v>916</v>
      </c>
      <c r="H587" s="88">
        <v>12300</v>
      </c>
      <c r="I587" s="86" t="s">
        <v>1392</v>
      </c>
      <c r="J587" s="88"/>
      <c r="L587">
        <v>143</v>
      </c>
      <c r="M587" t="s">
        <v>65</v>
      </c>
      <c r="N587">
        <v>720</v>
      </c>
      <c r="O587" t="s">
        <v>1391</v>
      </c>
    </row>
    <row r="588" spans="3:15" x14ac:dyDescent="0.3">
      <c r="C588" s="88">
        <v>4</v>
      </c>
      <c r="D588" s="88"/>
      <c r="E588" s="88"/>
      <c r="F588" s="88"/>
      <c r="G588" s="88"/>
      <c r="H588" s="88"/>
      <c r="I588" s="86"/>
      <c r="J588" s="88"/>
    </row>
    <row r="589" spans="3:15" x14ac:dyDescent="0.3">
      <c r="C589" s="88">
        <v>5</v>
      </c>
      <c r="D589" s="88"/>
      <c r="E589" s="88"/>
      <c r="F589" s="88"/>
      <c r="G589" s="88"/>
      <c r="H589" s="88"/>
      <c r="I589" s="86"/>
      <c r="J589" s="88"/>
    </row>
    <row r="590" spans="3:15" x14ac:dyDescent="0.3">
      <c r="C590" s="38"/>
      <c r="D590" s="158" t="s">
        <v>1129</v>
      </c>
      <c r="E590" s="25"/>
      <c r="F590" s="157" t="s">
        <v>405</v>
      </c>
      <c r="G590" s="157"/>
      <c r="H590" s="157"/>
      <c r="I590" s="158"/>
      <c r="J590" s="157"/>
    </row>
    <row r="591" spans="3:15" x14ac:dyDescent="0.3">
      <c r="C591" s="88">
        <v>1</v>
      </c>
      <c r="D591" s="88"/>
      <c r="E591" s="308" t="s">
        <v>869</v>
      </c>
      <c r="F591" s="88"/>
      <c r="G591" s="88">
        <v>74.7</v>
      </c>
      <c r="H591" s="88">
        <v>1180</v>
      </c>
      <c r="I591" s="86" t="s">
        <v>1132</v>
      </c>
      <c r="J591" s="88" t="s">
        <v>525</v>
      </c>
    </row>
    <row r="592" spans="3:15" x14ac:dyDescent="0.3">
      <c r="C592" s="88">
        <v>2</v>
      </c>
      <c r="D592" s="88"/>
      <c r="E592" s="308" t="s">
        <v>869</v>
      </c>
      <c r="F592" s="88"/>
      <c r="G592" s="88">
        <v>87.3</v>
      </c>
      <c r="H592" s="88">
        <v>1350</v>
      </c>
      <c r="I592" s="163" t="s">
        <v>1131</v>
      </c>
      <c r="J592" s="88" t="s">
        <v>525</v>
      </c>
    </row>
    <row r="593" spans="3:13" x14ac:dyDescent="0.3">
      <c r="C593" s="88">
        <v>3</v>
      </c>
      <c r="D593" s="88"/>
      <c r="E593" s="308" t="s">
        <v>869</v>
      </c>
      <c r="F593" s="88"/>
      <c r="G593" s="88">
        <v>223</v>
      </c>
      <c r="H593" s="88">
        <v>3430</v>
      </c>
      <c r="I593" s="86" t="s">
        <v>1130</v>
      </c>
      <c r="J593" s="88" t="s">
        <v>525</v>
      </c>
    </row>
    <row r="594" spans="3:13" x14ac:dyDescent="0.3">
      <c r="C594" s="88">
        <v>4</v>
      </c>
      <c r="D594" s="88"/>
      <c r="E594" s="309" t="s">
        <v>869</v>
      </c>
      <c r="F594" s="88"/>
      <c r="G594" s="88">
        <v>46.2</v>
      </c>
      <c r="H594" s="88">
        <v>717</v>
      </c>
      <c r="I594" s="86" t="s">
        <v>1133</v>
      </c>
      <c r="J594" s="88" t="s">
        <v>525</v>
      </c>
      <c r="K594" s="47" t="s">
        <v>1476</v>
      </c>
      <c r="L594" s="47"/>
    </row>
    <row r="595" spans="3:13" x14ac:dyDescent="0.3">
      <c r="C595" s="88">
        <v>5</v>
      </c>
      <c r="D595" s="88"/>
      <c r="E595" s="88"/>
      <c r="F595" s="88"/>
      <c r="G595" s="88"/>
      <c r="H595" s="88"/>
      <c r="I595" s="86"/>
      <c r="J595" s="88"/>
    </row>
    <row r="597" spans="3:13" x14ac:dyDescent="0.3">
      <c r="C597" s="38"/>
      <c r="D597" s="158" t="s">
        <v>1135</v>
      </c>
      <c r="E597" s="25"/>
      <c r="F597" s="157" t="s">
        <v>405</v>
      </c>
      <c r="G597" s="157">
        <f>G598</f>
        <v>15500</v>
      </c>
      <c r="H597" s="157">
        <f>H598</f>
        <v>249000</v>
      </c>
      <c r="I597" s="158"/>
      <c r="J597" s="157"/>
    </row>
    <row r="598" spans="3:13" x14ac:dyDescent="0.3">
      <c r="C598" s="88">
        <v>1</v>
      </c>
      <c r="D598" s="88"/>
      <c r="E598" s="308" t="s">
        <v>869</v>
      </c>
      <c r="F598" s="88" t="s">
        <v>1137</v>
      </c>
      <c r="G598" s="88">
        <v>15500</v>
      </c>
      <c r="H598" s="88">
        <v>249000</v>
      </c>
      <c r="I598" s="86" t="s">
        <v>1136</v>
      </c>
      <c r="J598" s="88" t="s">
        <v>525</v>
      </c>
      <c r="K598" s="88" t="s">
        <v>778</v>
      </c>
      <c r="L598">
        <v>3300</v>
      </c>
      <c r="M598" s="88" t="s">
        <v>65</v>
      </c>
    </row>
    <row r="599" spans="3:13" x14ac:dyDescent="0.3">
      <c r="C599" s="88">
        <v>2</v>
      </c>
      <c r="D599" s="88"/>
      <c r="E599" s="308"/>
      <c r="F599" s="88"/>
      <c r="G599" s="88"/>
      <c r="H599" s="88"/>
      <c r="I599" s="163"/>
      <c r="J599" s="88"/>
    </row>
    <row r="600" spans="3:13" x14ac:dyDescent="0.3">
      <c r="C600" s="88">
        <v>3</v>
      </c>
      <c r="D600" s="88"/>
      <c r="E600" s="308"/>
      <c r="F600" s="88"/>
      <c r="G600" s="88"/>
      <c r="H600" s="88"/>
      <c r="I600" s="86"/>
      <c r="J600" s="88"/>
    </row>
    <row r="601" spans="3:13" x14ac:dyDescent="0.3">
      <c r="C601" s="88">
        <v>4</v>
      </c>
      <c r="D601" s="88"/>
      <c r="E601" s="309"/>
      <c r="F601" s="88"/>
      <c r="G601" s="88"/>
      <c r="H601" s="88"/>
      <c r="I601" s="86"/>
      <c r="J601" s="88"/>
    </row>
    <row r="602" spans="3:13" x14ac:dyDescent="0.3">
      <c r="C602" s="88">
        <v>5</v>
      </c>
      <c r="D602" s="88"/>
      <c r="E602" s="88"/>
      <c r="F602" s="88"/>
      <c r="G602" s="88"/>
      <c r="H602" s="88"/>
      <c r="I602" s="86"/>
      <c r="J602" s="88"/>
    </row>
    <row r="612" spans="2:14" x14ac:dyDescent="0.3">
      <c r="C612" s="38"/>
      <c r="D612" s="158" t="s">
        <v>1272</v>
      </c>
      <c r="E612" s="25"/>
      <c r="F612" s="157" t="s">
        <v>405</v>
      </c>
      <c r="G612" s="157">
        <f>G613</f>
        <v>0.248</v>
      </c>
      <c r="H612" s="157">
        <f>H613</f>
        <v>4.79</v>
      </c>
      <c r="I612" s="158"/>
      <c r="J612" s="157"/>
    </row>
    <row r="613" spans="2:14" x14ac:dyDescent="0.3">
      <c r="C613" s="88">
        <v>1</v>
      </c>
      <c r="D613" s="88"/>
      <c r="F613" s="88" t="s">
        <v>92</v>
      </c>
      <c r="G613" s="166">
        <v>0.248</v>
      </c>
      <c r="H613" s="166">
        <v>4.79</v>
      </c>
      <c r="I613" s="86" t="s">
        <v>1273</v>
      </c>
      <c r="J613" s="88"/>
    </row>
    <row r="614" spans="2:14" x14ac:dyDescent="0.3">
      <c r="C614" s="88">
        <v>2</v>
      </c>
      <c r="D614" s="88"/>
      <c r="E614" s="88"/>
      <c r="F614" s="88"/>
      <c r="G614" s="88"/>
      <c r="H614" s="88"/>
      <c r="I614" s="86"/>
      <c r="J614" s="88"/>
    </row>
    <row r="615" spans="2:14" x14ac:dyDescent="0.3">
      <c r="B615" s="38"/>
      <c r="C615" s="88">
        <v>3</v>
      </c>
      <c r="D615" s="88"/>
      <c r="E615" s="88"/>
      <c r="F615" s="88"/>
      <c r="G615" s="88"/>
      <c r="H615" s="88"/>
      <c r="I615" s="86"/>
      <c r="J615" s="88"/>
      <c r="K615" s="38"/>
      <c r="L615" s="38"/>
      <c r="M615" s="38"/>
      <c r="N615" s="38"/>
    </row>
    <row r="616" spans="2:14" x14ac:dyDescent="0.3">
      <c r="B616" s="38"/>
      <c r="C616" s="38"/>
      <c r="D616" s="88"/>
      <c r="E616" s="88"/>
      <c r="F616" s="88"/>
      <c r="G616" s="88"/>
      <c r="H616" s="88"/>
      <c r="I616" s="86"/>
      <c r="J616" s="88"/>
      <c r="K616" s="38"/>
      <c r="L616" s="38"/>
      <c r="M616" s="38"/>
      <c r="N616" s="38"/>
    </row>
    <row r="617" spans="2:14" x14ac:dyDescent="0.3">
      <c r="B617" s="38"/>
      <c r="C617" s="38"/>
      <c r="D617" s="88"/>
      <c r="E617" s="88"/>
      <c r="F617" s="88"/>
      <c r="G617" s="88"/>
      <c r="H617" s="88"/>
      <c r="I617" s="86"/>
      <c r="J617" s="88"/>
      <c r="K617" s="38"/>
      <c r="L617" s="38"/>
      <c r="M617" s="38"/>
      <c r="N617" s="38"/>
    </row>
    <row r="618" spans="2:14" x14ac:dyDescent="0.3">
      <c r="B618" s="38"/>
      <c r="C618" s="38"/>
      <c r="D618" s="158" t="s">
        <v>495</v>
      </c>
      <c r="E618" s="25"/>
      <c r="F618" s="157" t="s">
        <v>405</v>
      </c>
      <c r="G618" s="157">
        <f>G619</f>
        <v>1.21</v>
      </c>
      <c r="H618" s="157">
        <f>H619</f>
        <v>67.3</v>
      </c>
      <c r="I618" s="158"/>
      <c r="J618" s="157"/>
      <c r="K618" s="38"/>
      <c r="L618" s="38"/>
      <c r="M618" s="38"/>
      <c r="N618" s="38"/>
    </row>
    <row r="619" spans="2:14" x14ac:dyDescent="0.3">
      <c r="B619" s="38"/>
      <c r="C619" s="88">
        <v>1</v>
      </c>
      <c r="D619" s="88"/>
      <c r="F619" s="88"/>
      <c r="G619" s="166">
        <v>1.21</v>
      </c>
      <c r="H619" s="166">
        <v>67.3</v>
      </c>
      <c r="I619" s="86" t="s">
        <v>494</v>
      </c>
      <c r="J619" s="88"/>
      <c r="K619" s="38"/>
      <c r="L619" s="38"/>
      <c r="M619" s="38"/>
      <c r="N619" s="38"/>
    </row>
    <row r="620" spans="2:14" x14ac:dyDescent="0.3">
      <c r="B620" s="38"/>
      <c r="C620" s="88">
        <v>2</v>
      </c>
      <c r="D620" s="88"/>
      <c r="E620" s="88"/>
      <c r="F620" s="88"/>
      <c r="G620" s="88"/>
      <c r="H620" s="88"/>
      <c r="I620" s="86"/>
      <c r="J620" s="88"/>
      <c r="K620" s="38"/>
      <c r="L620" s="38"/>
      <c r="M620" s="38"/>
      <c r="N620" s="38"/>
    </row>
    <row r="621" spans="2:14" x14ac:dyDescent="0.3">
      <c r="B621" s="38"/>
      <c r="C621" s="88">
        <v>3</v>
      </c>
      <c r="D621" s="88"/>
      <c r="E621" s="88"/>
      <c r="F621" s="88"/>
      <c r="G621" s="88"/>
      <c r="H621" s="88"/>
      <c r="I621" s="86"/>
      <c r="J621" s="88"/>
      <c r="K621" s="38"/>
      <c r="L621" s="38"/>
      <c r="M621" s="38"/>
      <c r="N621" s="38"/>
    </row>
    <row r="622" spans="2:14" x14ac:dyDescent="0.3">
      <c r="B622" s="38"/>
      <c r="C622" s="88">
        <v>4</v>
      </c>
      <c r="D622" s="88"/>
      <c r="E622" s="88"/>
      <c r="F622" s="88"/>
      <c r="G622" s="88"/>
      <c r="H622" s="88"/>
      <c r="I622" s="86"/>
      <c r="J622" s="88"/>
      <c r="K622" s="38"/>
      <c r="L622" s="38"/>
      <c r="M622" s="38"/>
      <c r="N622" s="38"/>
    </row>
    <row r="623" spans="2:14" x14ac:dyDescent="0.3">
      <c r="B623" s="38"/>
      <c r="C623" s="88">
        <v>5</v>
      </c>
      <c r="D623" s="88"/>
      <c r="E623" s="88"/>
      <c r="F623" s="88"/>
      <c r="G623" s="88"/>
      <c r="H623" s="88"/>
      <c r="I623" s="86"/>
      <c r="J623" s="88"/>
      <c r="K623" s="38"/>
      <c r="L623" s="38"/>
      <c r="M623" s="38"/>
      <c r="N623" s="38"/>
    </row>
    <row r="624" spans="2:14" x14ac:dyDescent="0.3">
      <c r="B624" s="38"/>
      <c r="C624" s="38"/>
      <c r="D624" s="88"/>
      <c r="E624" s="88"/>
      <c r="F624" s="88"/>
      <c r="G624" s="88"/>
      <c r="H624" s="88"/>
      <c r="I624" s="86"/>
      <c r="J624" s="88"/>
      <c r="K624" s="38"/>
      <c r="L624" s="38"/>
      <c r="M624" s="38"/>
      <c r="N624" s="38"/>
    </row>
    <row r="625" spans="1:14" x14ac:dyDescent="0.3">
      <c r="B625" s="38"/>
      <c r="C625" s="38"/>
      <c r="D625" s="158" t="s">
        <v>493</v>
      </c>
      <c r="E625" s="25"/>
      <c r="F625" s="157" t="s">
        <v>405</v>
      </c>
      <c r="G625" s="157">
        <f>G630</f>
        <v>2.0299999999999998</v>
      </c>
      <c r="H625" s="157">
        <f>H630</f>
        <v>54.7</v>
      </c>
      <c r="I625" s="158"/>
      <c r="J625" s="157"/>
      <c r="K625" s="38"/>
      <c r="L625" s="38"/>
      <c r="M625" s="38"/>
      <c r="N625" s="38"/>
    </row>
    <row r="626" spans="1:14" x14ac:dyDescent="0.3">
      <c r="B626" s="38"/>
      <c r="C626" s="88">
        <v>1</v>
      </c>
      <c r="D626" s="88"/>
      <c r="F626" s="88"/>
      <c r="G626" s="110">
        <v>2.84</v>
      </c>
      <c r="H626" s="110"/>
      <c r="I626" s="90" t="s">
        <v>492</v>
      </c>
      <c r="J626" s="88"/>
      <c r="K626" s="38"/>
      <c r="L626" s="38"/>
      <c r="M626" s="38"/>
      <c r="N626" s="38"/>
    </row>
    <row r="627" spans="1:14" x14ac:dyDescent="0.3">
      <c r="B627" s="38"/>
      <c r="C627" s="88">
        <v>2</v>
      </c>
      <c r="D627" s="88"/>
      <c r="E627" s="88"/>
      <c r="F627" s="88"/>
      <c r="G627" s="88"/>
      <c r="H627" s="88"/>
      <c r="I627" s="86" t="s">
        <v>491</v>
      </c>
      <c r="J627" s="88"/>
      <c r="K627" s="38"/>
      <c r="L627" s="38"/>
      <c r="M627" s="38"/>
      <c r="N627" s="38"/>
    </row>
    <row r="628" spans="1:14" x14ac:dyDescent="0.3">
      <c r="B628" s="38"/>
      <c r="C628" s="88">
        <v>3</v>
      </c>
      <c r="D628" s="88"/>
      <c r="E628" s="88"/>
      <c r="F628" s="88"/>
      <c r="G628" s="51">
        <v>2.84</v>
      </c>
      <c r="H628" s="51">
        <v>63.4</v>
      </c>
      <c r="I628" s="86" t="s">
        <v>490</v>
      </c>
      <c r="J628" s="88"/>
      <c r="K628" s="38"/>
      <c r="L628" s="38"/>
      <c r="M628" s="38"/>
      <c r="N628" s="38"/>
    </row>
    <row r="629" spans="1:14" x14ac:dyDescent="0.3">
      <c r="B629" s="38"/>
      <c r="C629" s="88">
        <v>4</v>
      </c>
      <c r="D629" s="88"/>
      <c r="E629" s="88"/>
      <c r="F629" s="88"/>
      <c r="G629" s="88">
        <v>15</v>
      </c>
      <c r="H629" s="88">
        <v>110</v>
      </c>
      <c r="I629" s="86" t="s">
        <v>489</v>
      </c>
      <c r="J629" s="88"/>
      <c r="K629" s="38"/>
      <c r="L629" s="38"/>
      <c r="M629" s="38"/>
      <c r="N629" s="38"/>
    </row>
    <row r="630" spans="1:14" x14ac:dyDescent="0.3">
      <c r="B630" s="38"/>
      <c r="C630" s="88">
        <v>5</v>
      </c>
      <c r="D630" s="88"/>
      <c r="E630" s="88"/>
      <c r="F630" s="88"/>
      <c r="G630" s="182">
        <v>2.0299999999999998</v>
      </c>
      <c r="H630" s="182">
        <v>54.7</v>
      </c>
      <c r="I630" s="86" t="s">
        <v>488</v>
      </c>
      <c r="J630" s="88" t="s">
        <v>487</v>
      </c>
      <c r="K630" s="38" t="s">
        <v>381</v>
      </c>
      <c r="L630" s="38"/>
      <c r="M630" s="38"/>
      <c r="N630" s="38"/>
    </row>
    <row r="631" spans="1:14" x14ac:dyDescent="0.3">
      <c r="B631" s="38"/>
      <c r="C631" s="38"/>
      <c r="D631" s="88"/>
      <c r="E631" s="88"/>
      <c r="F631" s="88"/>
      <c r="G631" s="88"/>
      <c r="H631" s="88"/>
      <c r="I631" s="86"/>
      <c r="J631" s="88"/>
      <c r="K631" s="38"/>
      <c r="L631" s="38"/>
      <c r="M631" s="38"/>
      <c r="N631" s="38"/>
    </row>
    <row r="636" spans="1:14" x14ac:dyDescent="0.3">
      <c r="B636" s="38"/>
      <c r="C636" s="88"/>
      <c r="D636" s="88"/>
      <c r="E636" s="88"/>
      <c r="F636" s="88"/>
      <c r="G636" s="88"/>
      <c r="H636" s="88"/>
      <c r="I636" s="86"/>
      <c r="J636" s="88"/>
      <c r="K636" s="38"/>
      <c r="L636" s="38"/>
      <c r="M636" s="38"/>
      <c r="N636" s="38"/>
    </row>
    <row r="637" spans="1:14" x14ac:dyDescent="0.3">
      <c r="A637" s="169"/>
      <c r="B637" s="172"/>
      <c r="C637" s="172"/>
      <c r="D637" s="167"/>
      <c r="E637" s="167"/>
      <c r="F637" s="167"/>
      <c r="G637" s="167"/>
      <c r="H637" s="167"/>
      <c r="I637" s="168"/>
      <c r="J637" s="167"/>
      <c r="K637" s="38"/>
      <c r="L637" s="38"/>
      <c r="M637" s="38"/>
      <c r="N637" s="38"/>
    </row>
    <row r="638" spans="1:14" x14ac:dyDescent="0.3">
      <c r="A638" s="402" t="s">
        <v>480</v>
      </c>
      <c r="B638" s="38"/>
      <c r="C638" s="38"/>
      <c r="D638" s="158" t="s">
        <v>479</v>
      </c>
      <c r="E638" s="25"/>
      <c r="F638" s="157" t="s">
        <v>405</v>
      </c>
      <c r="G638" s="175">
        <f>G644</f>
        <v>8.9499999999999996E-2</v>
      </c>
      <c r="H638" s="175">
        <f>H644</f>
        <v>2.23</v>
      </c>
      <c r="I638" s="158"/>
      <c r="J638" s="157"/>
      <c r="K638" s="38"/>
      <c r="L638" s="38"/>
      <c r="M638" s="38"/>
      <c r="N638" s="38"/>
    </row>
    <row r="639" spans="1:14" x14ac:dyDescent="0.3">
      <c r="A639" s="403"/>
      <c r="B639" s="38"/>
      <c r="C639" s="88">
        <v>1</v>
      </c>
      <c r="D639" s="88"/>
      <c r="F639" s="170" t="s">
        <v>268</v>
      </c>
      <c r="G639" s="156">
        <v>0.1139619224137931</v>
      </c>
      <c r="H639" s="156">
        <v>2.2010931</v>
      </c>
      <c r="I639" s="155" t="s">
        <v>897</v>
      </c>
      <c r="J639" s="88"/>
      <c r="K639" s="38"/>
      <c r="L639" s="38"/>
      <c r="M639" s="38"/>
      <c r="N639" s="38"/>
    </row>
    <row r="640" spans="1:14" x14ac:dyDescent="0.3">
      <c r="A640" s="403"/>
      <c r="B640" s="38"/>
      <c r="C640" s="88">
        <v>2</v>
      </c>
      <c r="D640" s="88"/>
      <c r="E640" s="88"/>
      <c r="F640" s="170" t="s">
        <v>268</v>
      </c>
      <c r="G640" s="156">
        <v>0.13099071551724137</v>
      </c>
      <c r="H640" s="156">
        <v>2.5299920999999999</v>
      </c>
      <c r="I640" s="155" t="s">
        <v>898</v>
      </c>
      <c r="J640" s="88"/>
      <c r="K640" s="38"/>
      <c r="L640" s="38"/>
      <c r="M640" s="38"/>
      <c r="N640" s="38"/>
    </row>
    <row r="641" spans="1:17" x14ac:dyDescent="0.3">
      <c r="A641" s="403"/>
      <c r="B641" s="38"/>
      <c r="C641" s="88">
        <v>3</v>
      </c>
      <c r="D641" s="88"/>
      <c r="E641" s="88"/>
      <c r="F641" s="170" t="s">
        <v>268</v>
      </c>
      <c r="G641" s="156">
        <v>0.15186542241379308</v>
      </c>
      <c r="H641" s="156">
        <v>2.3557285000000001</v>
      </c>
      <c r="I641" s="155" t="s">
        <v>899</v>
      </c>
      <c r="J641" s="88"/>
      <c r="K641" s="38"/>
      <c r="L641" s="38"/>
      <c r="M641" s="38"/>
      <c r="N641" s="38"/>
    </row>
    <row r="642" spans="1:17" x14ac:dyDescent="0.3">
      <c r="A642" s="403"/>
      <c r="B642" s="38"/>
      <c r="C642" s="88">
        <v>4</v>
      </c>
      <c r="D642" s="88"/>
      <c r="E642" s="88"/>
      <c r="F642" s="170" t="s">
        <v>268</v>
      </c>
      <c r="G642" s="156">
        <v>0.11871033620689654</v>
      </c>
      <c r="H642" s="156">
        <v>2.2928052999999999</v>
      </c>
      <c r="I642" s="155" t="s">
        <v>900</v>
      </c>
      <c r="J642" s="88"/>
      <c r="K642" s="38"/>
      <c r="L642" s="38"/>
      <c r="M642" s="38"/>
      <c r="N642" s="38"/>
    </row>
    <row r="643" spans="1:17" x14ac:dyDescent="0.3">
      <c r="A643" s="403"/>
      <c r="B643" s="38"/>
      <c r="C643" s="88"/>
      <c r="D643" s="88"/>
      <c r="E643" s="88"/>
      <c r="F643" s="198"/>
      <c r="G643" s="155"/>
      <c r="H643" s="155"/>
      <c r="I643" s="155"/>
      <c r="J643" s="88"/>
      <c r="K643" s="38"/>
      <c r="L643" s="38"/>
      <c r="M643" s="38"/>
      <c r="N643" s="38"/>
    </row>
    <row r="644" spans="1:17" x14ac:dyDescent="0.3">
      <c r="A644" s="403"/>
      <c r="B644" s="38"/>
      <c r="C644" s="88">
        <v>5</v>
      </c>
      <c r="D644" s="88"/>
      <c r="E644" s="88"/>
      <c r="F644" s="88" t="s">
        <v>268</v>
      </c>
      <c r="G644" s="255">
        <v>8.9499999999999996E-2</v>
      </c>
      <c r="H644" s="255">
        <v>2.23</v>
      </c>
      <c r="I644" s="155" t="s">
        <v>478</v>
      </c>
      <c r="J644" s="88"/>
      <c r="K644" s="38"/>
      <c r="L644" s="38"/>
      <c r="M644" s="38"/>
      <c r="N644" s="38"/>
      <c r="Q644">
        <v>300</v>
      </c>
    </row>
    <row r="645" spans="1:17" x14ac:dyDescent="0.3">
      <c r="A645" s="403"/>
      <c r="B645" s="38"/>
      <c r="C645" s="88"/>
      <c r="D645" s="88"/>
      <c r="E645" s="88"/>
      <c r="F645" s="88"/>
      <c r="G645" s="174">
        <v>0.17499999999999999</v>
      </c>
      <c r="H645" s="155">
        <v>2.72</v>
      </c>
      <c r="I645" s="155" t="s">
        <v>477</v>
      </c>
      <c r="J645" s="88"/>
      <c r="K645" s="38"/>
      <c r="L645" s="38"/>
      <c r="M645" s="38"/>
      <c r="N645" s="38"/>
      <c r="Q645">
        <f>Q644*G645</f>
        <v>52.5</v>
      </c>
    </row>
    <row r="646" spans="1:17" x14ac:dyDescent="0.3">
      <c r="A646" s="403"/>
      <c r="B646" s="38"/>
      <c r="C646" s="88"/>
      <c r="D646" s="88"/>
      <c r="E646" s="88"/>
      <c r="F646" s="88"/>
      <c r="G646" s="174">
        <v>0.27500000000000002</v>
      </c>
      <c r="H646" s="155"/>
      <c r="I646" s="155" t="s">
        <v>476</v>
      </c>
      <c r="J646" s="88"/>
      <c r="K646" s="38"/>
      <c r="L646" s="38"/>
      <c r="M646" s="38"/>
      <c r="N646" s="38"/>
      <c r="Q646">
        <f>Q644/H645</f>
        <v>110.29411764705881</v>
      </c>
    </row>
    <row r="647" spans="1:17" x14ac:dyDescent="0.3">
      <c r="A647" s="403"/>
      <c r="B647" s="38"/>
      <c r="C647" s="88"/>
      <c r="D647" s="88"/>
      <c r="E647" s="88"/>
      <c r="F647" s="88"/>
      <c r="G647" s="174"/>
      <c r="H647" s="155">
        <v>2.78</v>
      </c>
      <c r="I647" s="155" t="s">
        <v>475</v>
      </c>
      <c r="J647" s="88"/>
      <c r="K647" s="38"/>
      <c r="L647" s="38"/>
      <c r="M647" s="38"/>
      <c r="N647" s="38"/>
      <c r="Q647">
        <f>Q646*G645</f>
        <v>19.30147058823529</v>
      </c>
    </row>
    <row r="648" spans="1:17" x14ac:dyDescent="0.3">
      <c r="A648" s="403"/>
      <c r="B648" s="38"/>
      <c r="C648" s="88"/>
      <c r="D648" s="88"/>
      <c r="E648" s="88"/>
      <c r="F648" s="88"/>
      <c r="G648" s="174"/>
      <c r="H648" s="155"/>
      <c r="I648" s="155"/>
      <c r="J648" s="88"/>
      <c r="K648" s="38"/>
      <c r="L648" s="38" t="s">
        <v>475</v>
      </c>
      <c r="M648" s="38"/>
      <c r="N648" s="38"/>
    </row>
    <row r="649" spans="1:17" x14ac:dyDescent="0.3">
      <c r="A649" s="403"/>
      <c r="B649" s="38"/>
      <c r="C649" s="38"/>
      <c r="D649" s="88"/>
      <c r="E649" s="88" t="s">
        <v>473</v>
      </c>
      <c r="F649" s="88"/>
      <c r="G649" s="88">
        <v>3.9500000000000004E-3</v>
      </c>
      <c r="H649" s="88">
        <v>1.1299999999999999</v>
      </c>
      <c r="I649" s="86" t="s">
        <v>472</v>
      </c>
      <c r="J649" s="88" t="s">
        <v>474</v>
      </c>
      <c r="K649" s="38"/>
      <c r="L649" s="38"/>
      <c r="M649" s="38"/>
      <c r="N649" s="38"/>
    </row>
    <row r="650" spans="1:17" x14ac:dyDescent="0.3">
      <c r="A650" s="403"/>
      <c r="B650" s="38"/>
      <c r="C650" s="38"/>
      <c r="D650" s="88"/>
      <c r="E650" s="88" t="s">
        <v>473</v>
      </c>
      <c r="F650" s="88"/>
      <c r="G650" s="88">
        <v>6.6499999999999997E-3</v>
      </c>
      <c r="H650" s="88">
        <v>1.1599999999999999</v>
      </c>
      <c r="I650" s="86" t="s">
        <v>472</v>
      </c>
      <c r="J650" s="88" t="s">
        <v>471</v>
      </c>
      <c r="K650" s="38"/>
      <c r="L650" s="38">
        <v>8.2199999999999999E-3</v>
      </c>
      <c r="M650" s="38">
        <v>1.18</v>
      </c>
      <c r="N650" s="38"/>
    </row>
    <row r="651" spans="1:17" x14ac:dyDescent="0.3">
      <c r="A651" s="403"/>
      <c r="B651" s="38"/>
      <c r="C651" s="38"/>
      <c r="D651" s="88"/>
      <c r="E651" s="88"/>
      <c r="F651" s="88"/>
      <c r="G651" s="88"/>
      <c r="H651" s="88"/>
      <c r="I651" s="86"/>
      <c r="J651" s="88"/>
      <c r="K651" s="38"/>
      <c r="L651" s="38"/>
      <c r="M651" s="38"/>
      <c r="N651" s="38"/>
    </row>
    <row r="652" spans="1:17" x14ac:dyDescent="0.3">
      <c r="A652" s="403"/>
      <c r="B652" s="38"/>
      <c r="C652" s="38"/>
      <c r="D652" s="88"/>
      <c r="E652" s="88"/>
      <c r="F652" s="88"/>
      <c r="G652" s="88"/>
      <c r="H652" s="88"/>
      <c r="I652" s="86"/>
      <c r="J652" s="88"/>
      <c r="K652" s="38"/>
      <c r="L652" s="38"/>
      <c r="M652" s="38"/>
      <c r="N652" s="38"/>
    </row>
    <row r="653" spans="1:17" x14ac:dyDescent="0.3">
      <c r="A653" s="403"/>
      <c r="B653" s="38"/>
      <c r="C653" s="38"/>
      <c r="D653" s="88"/>
      <c r="E653" s="88"/>
      <c r="F653" s="88" t="s">
        <v>473</v>
      </c>
      <c r="G653" s="88">
        <v>0.11600000000000001</v>
      </c>
      <c r="H653" s="88">
        <v>2.94</v>
      </c>
      <c r="I653" s="86" t="s">
        <v>989</v>
      </c>
      <c r="J653" s="88"/>
      <c r="K653" s="38"/>
      <c r="L653" s="38"/>
      <c r="M653" s="38"/>
      <c r="N653" s="38"/>
    </row>
    <row r="654" spans="1:17" x14ac:dyDescent="0.3">
      <c r="A654" s="403"/>
      <c r="B654" s="38"/>
      <c r="C654" s="38"/>
      <c r="D654" s="88"/>
      <c r="E654" s="88"/>
      <c r="F654" s="88"/>
      <c r="G654" s="88"/>
      <c r="H654" s="88"/>
      <c r="I654" s="86"/>
      <c r="J654" s="88"/>
      <c r="K654" s="38"/>
      <c r="L654" s="38"/>
      <c r="M654" s="38"/>
      <c r="N654" s="38"/>
    </row>
    <row r="655" spans="1:17" x14ac:dyDescent="0.3">
      <c r="A655" s="403"/>
      <c r="B655" s="38"/>
      <c r="C655" s="38"/>
      <c r="D655" s="88"/>
      <c r="E655" s="88"/>
      <c r="F655" s="88" t="s">
        <v>473</v>
      </c>
      <c r="G655" s="88">
        <v>3.0599999999999998E-3</v>
      </c>
      <c r="H655" s="88">
        <v>1.1200000000000001</v>
      </c>
      <c r="I655" s="86" t="s">
        <v>990</v>
      </c>
      <c r="J655" s="88" t="s">
        <v>991</v>
      </c>
      <c r="K655" s="38"/>
      <c r="L655" s="38"/>
      <c r="M655" s="38"/>
      <c r="N655" s="38"/>
    </row>
    <row r="656" spans="1:17" x14ac:dyDescent="0.3">
      <c r="A656" s="403"/>
      <c r="B656" s="38"/>
      <c r="C656" s="38"/>
      <c r="D656" s="88"/>
      <c r="E656" s="88"/>
      <c r="F656" s="88" t="s">
        <v>473</v>
      </c>
      <c r="G656" s="88">
        <v>5.3899999999999998E-3</v>
      </c>
      <c r="H656" s="88">
        <v>1.1499999999999999</v>
      </c>
      <c r="I656" s="86" t="s">
        <v>990</v>
      </c>
      <c r="J656" s="88" t="s">
        <v>992</v>
      </c>
      <c r="K656" s="38"/>
      <c r="L656" s="38"/>
      <c r="M656" s="38"/>
      <c r="N656" s="38"/>
    </row>
    <row r="657" spans="1:14" x14ac:dyDescent="0.3">
      <c r="A657" s="403"/>
      <c r="B657" s="38"/>
      <c r="C657" s="38"/>
      <c r="D657" s="88"/>
      <c r="E657" s="88"/>
      <c r="F657" s="88" t="s">
        <v>473</v>
      </c>
      <c r="G657" s="88">
        <v>3.2000000000000002E-3</v>
      </c>
      <c r="H657" s="88">
        <v>1.1200000000000001</v>
      </c>
      <c r="I657" s="86" t="s">
        <v>990</v>
      </c>
      <c r="J657" s="88" t="s">
        <v>993</v>
      </c>
      <c r="K657" s="38"/>
      <c r="L657" s="38"/>
      <c r="M657" s="38"/>
      <c r="N657" s="38"/>
    </row>
    <row r="658" spans="1:14" x14ac:dyDescent="0.3">
      <c r="A658" s="403"/>
      <c r="B658" s="38"/>
      <c r="C658" s="38"/>
      <c r="D658" s="88"/>
      <c r="E658" s="88"/>
      <c r="F658" s="88" t="s">
        <v>473</v>
      </c>
      <c r="G658" s="88">
        <v>4.1399999999999996E-3</v>
      </c>
      <c r="H658" s="88">
        <v>1.1299999999999999</v>
      </c>
      <c r="I658" s="86" t="s">
        <v>990</v>
      </c>
      <c r="J658" s="88" t="s">
        <v>994</v>
      </c>
      <c r="K658" s="38"/>
      <c r="L658" s="38"/>
      <c r="M658" s="38"/>
      <c r="N658" s="38"/>
    </row>
    <row r="659" spans="1:14" x14ac:dyDescent="0.3">
      <c r="A659" s="403"/>
      <c r="B659" s="38"/>
      <c r="C659" s="38"/>
      <c r="D659" s="158" t="s">
        <v>470</v>
      </c>
      <c r="E659" s="25"/>
      <c r="F659" s="157" t="s">
        <v>405</v>
      </c>
      <c r="G659" s="175">
        <f>G661</f>
        <v>6.6600000000000006E-2</v>
      </c>
      <c r="H659" s="175">
        <f>H661</f>
        <v>0.88</v>
      </c>
      <c r="I659" s="158"/>
      <c r="J659" s="157"/>
      <c r="K659" s="38"/>
      <c r="L659" s="38"/>
      <c r="M659" s="38"/>
      <c r="N659" s="38"/>
    </row>
    <row r="660" spans="1:14" x14ac:dyDescent="0.3">
      <c r="A660" s="403"/>
      <c r="B660" s="38"/>
      <c r="C660" s="88">
        <v>1</v>
      </c>
      <c r="D660" s="88"/>
      <c r="F660" s="88"/>
      <c r="G660" s="173">
        <v>5.1282864655172414E-2</v>
      </c>
      <c r="H660" s="173">
        <v>0.99049189999999998</v>
      </c>
      <c r="I660" s="156" t="s">
        <v>901</v>
      </c>
      <c r="J660" s="88"/>
      <c r="K660" s="38"/>
      <c r="L660" s="38"/>
      <c r="M660" s="38"/>
      <c r="N660" s="38"/>
    </row>
    <row r="661" spans="1:14" x14ac:dyDescent="0.3">
      <c r="A661" s="403"/>
      <c r="B661" s="38"/>
      <c r="C661" s="88">
        <v>2</v>
      </c>
      <c r="D661" s="88"/>
      <c r="E661" s="88"/>
      <c r="F661" s="88"/>
      <c r="G661" s="88">
        <v>6.6600000000000006E-2</v>
      </c>
      <c r="H661" s="88">
        <v>0.88</v>
      </c>
      <c r="I661" s="86" t="s">
        <v>988</v>
      </c>
      <c r="J661" s="88"/>
      <c r="K661" s="38"/>
      <c r="L661" s="38"/>
      <c r="M661" s="38"/>
      <c r="N661" s="38"/>
    </row>
    <row r="662" spans="1:14" x14ac:dyDescent="0.3">
      <c r="A662" s="403"/>
      <c r="B662" s="38"/>
      <c r="C662" s="88">
        <v>3</v>
      </c>
      <c r="D662" s="88"/>
      <c r="E662" s="88"/>
      <c r="F662" s="88"/>
      <c r="G662" s="88"/>
      <c r="H662" s="88"/>
      <c r="I662" s="86"/>
      <c r="J662" s="88"/>
      <c r="K662" s="38"/>
      <c r="L662" s="38"/>
      <c r="M662" s="38"/>
      <c r="N662" s="38"/>
    </row>
    <row r="663" spans="1:14" x14ac:dyDescent="0.3">
      <c r="A663" s="403"/>
      <c r="B663" s="38"/>
      <c r="C663" s="88">
        <v>4</v>
      </c>
      <c r="D663" s="88"/>
      <c r="E663" s="88"/>
      <c r="F663" s="88"/>
      <c r="G663" s="88"/>
      <c r="H663" s="88"/>
      <c r="I663" s="86"/>
      <c r="J663" s="88"/>
      <c r="K663" s="38"/>
      <c r="L663" s="38"/>
      <c r="M663" s="38"/>
      <c r="N663" s="38"/>
    </row>
    <row r="664" spans="1:14" x14ac:dyDescent="0.3">
      <c r="A664" s="403"/>
      <c r="B664" s="38"/>
      <c r="C664" s="88">
        <v>5</v>
      </c>
      <c r="D664" s="88"/>
      <c r="E664" s="88"/>
      <c r="F664" s="88"/>
      <c r="G664" s="88"/>
      <c r="H664" s="88"/>
      <c r="I664" s="86"/>
      <c r="J664" s="88"/>
      <c r="K664" s="38"/>
      <c r="L664" s="38"/>
      <c r="M664" s="38"/>
      <c r="N664" s="38"/>
    </row>
    <row r="665" spans="1:14" x14ac:dyDescent="0.3">
      <c r="A665" s="169"/>
      <c r="B665" s="172"/>
      <c r="C665" s="172"/>
      <c r="D665" s="167"/>
      <c r="E665" s="167"/>
      <c r="F665" s="167"/>
      <c r="G665" s="167"/>
      <c r="H665" s="167"/>
      <c r="I665" s="168"/>
      <c r="J665" s="167"/>
      <c r="K665" s="38"/>
      <c r="L665" s="38"/>
      <c r="M665" s="38"/>
      <c r="N665" s="38"/>
    </row>
    <row r="666" spans="1:14" x14ac:dyDescent="0.3">
      <c r="A666" s="401" t="s">
        <v>43</v>
      </c>
      <c r="B666" s="38"/>
      <c r="C666" s="38"/>
      <c r="D666" s="88"/>
      <c r="E666" s="88"/>
      <c r="F666" s="88"/>
      <c r="G666" s="88"/>
      <c r="H666" s="88"/>
      <c r="I666" s="86"/>
      <c r="J666" s="88"/>
      <c r="K666" s="38"/>
      <c r="L666" s="38"/>
      <c r="M666" s="38"/>
      <c r="N666" s="38"/>
    </row>
    <row r="667" spans="1:14" x14ac:dyDescent="0.3">
      <c r="A667" s="401"/>
      <c r="B667" s="400" t="s">
        <v>158</v>
      </c>
      <c r="C667" s="38"/>
      <c r="D667" s="158" t="s">
        <v>469</v>
      </c>
      <c r="E667" s="25"/>
      <c r="F667" s="157" t="s">
        <v>405</v>
      </c>
      <c r="G667" s="157">
        <f>G668</f>
        <v>0.109</v>
      </c>
      <c r="H667" s="157">
        <f>H668</f>
        <v>1.5</v>
      </c>
      <c r="I667" s="158"/>
      <c r="J667" s="157"/>
      <c r="K667" s="38"/>
      <c r="L667" s="38"/>
      <c r="M667" s="38"/>
      <c r="N667" s="38"/>
    </row>
    <row r="668" spans="1:14" x14ac:dyDescent="0.3">
      <c r="A668" s="401"/>
      <c r="B668" s="400"/>
      <c r="C668" s="88">
        <v>1</v>
      </c>
      <c r="D668" s="88"/>
      <c r="F668" s="88"/>
      <c r="G668" s="252">
        <v>0.109</v>
      </c>
      <c r="H668" s="252">
        <v>1.5</v>
      </c>
      <c r="I668" s="86" t="s">
        <v>982</v>
      </c>
      <c r="J668" s="88"/>
      <c r="K668" s="38"/>
      <c r="L668" s="38"/>
      <c r="M668" s="38" t="s">
        <v>983</v>
      </c>
      <c r="N668" s="38"/>
    </row>
    <row r="669" spans="1:14" x14ac:dyDescent="0.3">
      <c r="A669" s="401"/>
      <c r="B669" s="400"/>
      <c r="C669" s="88">
        <v>2</v>
      </c>
      <c r="D669" s="88"/>
      <c r="E669" s="88"/>
      <c r="F669" s="88"/>
      <c r="G669" s="110">
        <f>G814</f>
        <v>1.2902080172413793E-2</v>
      </c>
      <c r="H669" s="110">
        <f>H814</f>
        <v>0.17080332000000001</v>
      </c>
      <c r="I669" s="110" t="str">
        <f>I814</f>
        <v>Idemat2021 Coaster Class A (coast US, North and Baltic sea)</v>
      </c>
      <c r="J669" s="88"/>
      <c r="K669" s="38"/>
      <c r="L669" s="38"/>
      <c r="M669" s="38"/>
      <c r="N669" s="38"/>
    </row>
    <row r="670" spans="1:14" x14ac:dyDescent="0.3">
      <c r="A670" s="401"/>
      <c r="B670" s="400"/>
      <c r="C670" s="88">
        <v>3</v>
      </c>
      <c r="D670" s="88"/>
      <c r="E670" s="88"/>
      <c r="F670" s="88"/>
      <c r="G670" s="88"/>
      <c r="H670" s="88"/>
      <c r="I670" s="86"/>
      <c r="J670" s="88"/>
      <c r="K670" s="38"/>
      <c r="L670" s="38"/>
      <c r="M670" s="38"/>
      <c r="N670" s="38"/>
    </row>
    <row r="671" spans="1:14" x14ac:dyDescent="0.3">
      <c r="A671" s="401"/>
      <c r="B671" s="400"/>
      <c r="C671" s="88">
        <v>4</v>
      </c>
      <c r="D671" s="88"/>
      <c r="E671" s="88"/>
      <c r="F671" s="88"/>
      <c r="G671" s="88"/>
      <c r="H671" s="88"/>
      <c r="I671" s="86"/>
      <c r="J671" s="88"/>
      <c r="K671" s="38"/>
      <c r="L671" s="38"/>
      <c r="M671" s="38"/>
      <c r="N671" s="38"/>
    </row>
    <row r="672" spans="1:14" x14ac:dyDescent="0.3">
      <c r="A672" s="401"/>
      <c r="B672" s="400"/>
      <c r="C672" s="88">
        <v>5</v>
      </c>
      <c r="D672" s="88"/>
      <c r="E672" s="88"/>
      <c r="F672" s="88"/>
      <c r="G672" s="88"/>
      <c r="H672" s="88"/>
      <c r="I672" s="86"/>
      <c r="J672" s="88"/>
      <c r="K672" s="38"/>
      <c r="L672" s="38"/>
      <c r="M672" s="38"/>
      <c r="N672" s="38"/>
    </row>
    <row r="673" spans="1:17" x14ac:dyDescent="0.3">
      <c r="A673" s="401"/>
      <c r="B673" s="400"/>
      <c r="C673" s="38"/>
      <c r="D673" s="88"/>
      <c r="E673" s="88"/>
      <c r="F673" s="88"/>
      <c r="G673" s="88"/>
      <c r="H673" s="88"/>
      <c r="I673" s="86"/>
      <c r="J673" s="88"/>
      <c r="K673" s="38"/>
      <c r="L673" s="38"/>
      <c r="M673" s="38"/>
      <c r="N673" s="38"/>
    </row>
    <row r="674" spans="1:17" ht="18" customHeight="1" x14ac:dyDescent="0.35">
      <c r="A674" s="401"/>
      <c r="B674" s="400"/>
      <c r="C674" s="38"/>
      <c r="D674" s="158" t="s">
        <v>60</v>
      </c>
      <c r="E674" s="25"/>
      <c r="F674" s="157" t="s">
        <v>405</v>
      </c>
      <c r="G674" s="157">
        <f>G675</f>
        <v>9.3399999999999993E-3</v>
      </c>
      <c r="H674" s="157">
        <f>H675</f>
        <v>0.129</v>
      </c>
      <c r="I674" s="158"/>
      <c r="J674" s="157"/>
      <c r="K674" s="162"/>
      <c r="L674" s="162"/>
      <c r="M674" s="162"/>
      <c r="N674" s="162"/>
      <c r="O674" s="162"/>
      <c r="P674" s="162"/>
      <c r="Q674" s="162"/>
    </row>
    <row r="675" spans="1:17" ht="14.4" customHeight="1" x14ac:dyDescent="0.35">
      <c r="A675" s="401"/>
      <c r="B675" s="400"/>
      <c r="C675" s="88">
        <v>1</v>
      </c>
      <c r="D675" s="88"/>
      <c r="F675" s="88"/>
      <c r="G675" s="252">
        <v>9.3399999999999993E-3</v>
      </c>
      <c r="H675" s="252">
        <v>0.129</v>
      </c>
      <c r="I675" s="86" t="s">
        <v>984</v>
      </c>
      <c r="J675" s="88"/>
      <c r="K675" s="162"/>
      <c r="L675" s="162"/>
      <c r="M675" s="162"/>
      <c r="N675" s="162"/>
      <c r="O675" s="162"/>
      <c r="P675" s="162"/>
      <c r="Q675" s="162"/>
    </row>
    <row r="676" spans="1:17" ht="14.4" customHeight="1" x14ac:dyDescent="0.35">
      <c r="A676" s="401"/>
      <c r="B676" s="400"/>
      <c r="C676" s="88">
        <v>2</v>
      </c>
      <c r="D676" s="88"/>
      <c r="E676" s="88"/>
      <c r="F676" s="88"/>
      <c r="G676" s="110">
        <f>G816</f>
        <v>4.7969540517241371E-3</v>
      </c>
      <c r="H676" s="110">
        <f>H816</f>
        <v>6.3366251999999998E-2</v>
      </c>
      <c r="I676" s="110" t="str">
        <f>I816</f>
        <v>Idemat2021 Container ship (min weight/volume ratio 0,41 ton/m3)</v>
      </c>
      <c r="J676" s="88"/>
      <c r="K676" s="162"/>
      <c r="L676" s="162"/>
      <c r="M676" s="162"/>
      <c r="N676" s="162"/>
      <c r="O676" s="162"/>
      <c r="P676" s="162"/>
      <c r="Q676" s="162"/>
    </row>
    <row r="677" spans="1:17" ht="14.4" customHeight="1" x14ac:dyDescent="0.35">
      <c r="A677" s="401"/>
      <c r="B677" s="400"/>
      <c r="C677" s="88">
        <v>3</v>
      </c>
      <c r="D677" s="88"/>
      <c r="E677" s="88"/>
      <c r="F677" s="88"/>
      <c r="G677" s="88"/>
      <c r="H677" s="88"/>
      <c r="I677" s="86"/>
      <c r="J677" s="88"/>
      <c r="K677" s="162"/>
      <c r="L677" s="162"/>
      <c r="M677" s="162"/>
      <c r="N677" s="162"/>
      <c r="O677" s="162"/>
      <c r="P677" s="162"/>
      <c r="Q677" s="162"/>
    </row>
    <row r="678" spans="1:17" ht="14.4" customHeight="1" x14ac:dyDescent="0.35">
      <c r="A678" s="401"/>
      <c r="B678" s="400"/>
      <c r="C678" s="88">
        <v>4</v>
      </c>
      <c r="D678" s="88"/>
      <c r="E678" s="88"/>
      <c r="F678" s="88"/>
      <c r="G678" s="88"/>
      <c r="H678" s="88"/>
      <c r="I678" s="86"/>
      <c r="J678" s="88"/>
      <c r="K678" s="162"/>
      <c r="L678" s="162"/>
      <c r="M678" s="171" t="s">
        <v>468</v>
      </c>
      <c r="N678" s="162"/>
      <c r="O678" s="162"/>
      <c r="P678" s="162"/>
      <c r="Q678" s="162"/>
    </row>
    <row r="679" spans="1:17" ht="14.4" customHeight="1" x14ac:dyDescent="0.35">
      <c r="A679" s="401"/>
      <c r="B679" s="400"/>
      <c r="C679" s="88">
        <v>5</v>
      </c>
      <c r="D679" s="88"/>
      <c r="E679" s="88"/>
      <c r="F679" s="88"/>
      <c r="G679" s="88"/>
      <c r="H679" s="88"/>
      <c r="I679" s="86"/>
      <c r="J679" s="88"/>
      <c r="K679" s="162"/>
      <c r="L679" s="162"/>
      <c r="M679" s="162"/>
      <c r="N679" s="162"/>
      <c r="O679" s="162"/>
      <c r="P679" s="162"/>
      <c r="Q679" s="162"/>
    </row>
    <row r="680" spans="1:17" ht="14.4" customHeight="1" x14ac:dyDescent="0.35">
      <c r="A680" s="401"/>
      <c r="B680" s="400"/>
      <c r="C680" s="162"/>
      <c r="D680" s="162"/>
      <c r="E680" s="162"/>
      <c r="F680" s="162"/>
      <c r="G680" s="292"/>
      <c r="H680" s="292"/>
      <c r="I680" s="162"/>
      <c r="J680" s="162"/>
      <c r="K680" s="162"/>
      <c r="L680" s="162"/>
      <c r="M680" s="162"/>
      <c r="N680" s="162"/>
      <c r="O680" s="162"/>
      <c r="P680" s="162"/>
      <c r="Q680" s="162"/>
    </row>
    <row r="681" spans="1:17" ht="14.4" customHeight="1" x14ac:dyDescent="0.35">
      <c r="A681" s="401"/>
      <c r="B681" s="400" t="s">
        <v>467</v>
      </c>
      <c r="C681" s="38"/>
      <c r="D681" s="158" t="s">
        <v>466</v>
      </c>
      <c r="E681" s="25"/>
      <c r="F681" s="157" t="s">
        <v>405</v>
      </c>
      <c r="G681" s="175">
        <f>G683</f>
        <v>0.50757898000000001</v>
      </c>
      <c r="H681" s="175">
        <f>H683</f>
        <v>8.2200000000000006</v>
      </c>
      <c r="I681" s="158"/>
      <c r="J681" s="157"/>
      <c r="K681" s="162"/>
      <c r="L681" s="162"/>
      <c r="M681" s="162"/>
      <c r="N681" s="162"/>
      <c r="O681" s="162"/>
      <c r="P681" s="162"/>
      <c r="Q681" s="162"/>
    </row>
    <row r="682" spans="1:17" ht="14.4" customHeight="1" x14ac:dyDescent="0.35">
      <c r="A682" s="401"/>
      <c r="B682" s="400"/>
      <c r="C682" s="88">
        <v>1</v>
      </c>
      <c r="D682" s="88"/>
      <c r="F682" s="88"/>
      <c r="G682" s="155"/>
      <c r="H682" s="155"/>
      <c r="I682" s="86"/>
      <c r="J682" s="88"/>
      <c r="K682" s="162"/>
      <c r="L682" s="162"/>
      <c r="M682" s="171" t="s">
        <v>465</v>
      </c>
      <c r="N682" s="162"/>
      <c r="O682" s="162"/>
      <c r="P682" s="162"/>
      <c r="Q682" s="162"/>
    </row>
    <row r="683" spans="1:17" ht="14.4" customHeight="1" x14ac:dyDescent="0.35">
      <c r="A683" s="401"/>
      <c r="B683" s="400"/>
      <c r="C683" s="88">
        <v>2</v>
      </c>
      <c r="D683" s="88"/>
      <c r="E683" s="88"/>
      <c r="F683" s="88"/>
      <c r="G683" s="293">
        <v>0.50757898000000001</v>
      </c>
      <c r="H683" s="255">
        <v>8.2200000000000006</v>
      </c>
      <c r="I683" t="s">
        <v>980</v>
      </c>
      <c r="J683" s="88"/>
      <c r="K683" s="162"/>
      <c r="L683" s="162"/>
      <c r="M683" s="162"/>
      <c r="N683" s="162"/>
      <c r="O683" s="162"/>
      <c r="P683" s="162"/>
      <c r="Q683" s="162"/>
    </row>
    <row r="684" spans="1:17" ht="14.4" customHeight="1" x14ac:dyDescent="0.35">
      <c r="A684" s="401"/>
      <c r="B684" s="400"/>
      <c r="C684" s="88">
        <v>3</v>
      </c>
      <c r="D684" s="88"/>
      <c r="E684" s="88"/>
      <c r="F684" s="88"/>
      <c r="G684" s="155"/>
      <c r="H684" s="155"/>
      <c r="I684" s="86"/>
      <c r="J684" s="88"/>
      <c r="K684" s="162"/>
      <c r="L684" s="162"/>
      <c r="M684" s="162"/>
      <c r="N684" s="162"/>
      <c r="O684" s="162"/>
      <c r="P684" s="162"/>
      <c r="Q684" s="162"/>
    </row>
    <row r="685" spans="1:17" ht="14.4" customHeight="1" x14ac:dyDescent="0.35">
      <c r="A685" s="401"/>
      <c r="B685" s="400"/>
      <c r="C685" s="88">
        <v>4</v>
      </c>
      <c r="D685" s="88"/>
      <c r="E685" s="88"/>
      <c r="F685" s="88"/>
      <c r="G685" s="155"/>
      <c r="H685" s="155"/>
      <c r="I685" s="86"/>
      <c r="J685" s="88"/>
      <c r="K685" s="162"/>
      <c r="L685" s="162"/>
      <c r="M685" s="162"/>
      <c r="N685" s="162"/>
      <c r="O685" s="162"/>
      <c r="P685" s="162"/>
      <c r="Q685" s="162"/>
    </row>
    <row r="686" spans="1:17" ht="14.4" customHeight="1" x14ac:dyDescent="0.35">
      <c r="A686" s="401"/>
      <c r="B686" s="400"/>
      <c r="C686" s="88">
        <v>5</v>
      </c>
      <c r="D686" s="88"/>
      <c r="E686" s="88"/>
      <c r="F686" s="88"/>
      <c r="G686" s="155"/>
      <c r="H686" s="155"/>
      <c r="I686" s="86"/>
      <c r="J686" s="88"/>
      <c r="K686" s="162"/>
      <c r="L686" s="162"/>
      <c r="M686" s="162"/>
      <c r="N686" s="162"/>
      <c r="O686" s="162"/>
      <c r="P686" s="162"/>
      <c r="Q686" s="162"/>
    </row>
    <row r="687" spans="1:17" ht="14.4" customHeight="1" x14ac:dyDescent="0.35">
      <c r="A687" s="401"/>
      <c r="B687" s="400"/>
      <c r="C687" s="38"/>
      <c r="D687" s="88"/>
      <c r="E687" s="88"/>
      <c r="F687" s="88"/>
      <c r="G687" s="155"/>
      <c r="H687" s="155"/>
      <c r="I687" s="86"/>
      <c r="J687" s="88"/>
      <c r="K687" s="162"/>
      <c r="L687" s="162"/>
      <c r="M687" s="162"/>
      <c r="N687" s="162"/>
      <c r="O687" s="162"/>
      <c r="P687" s="162"/>
      <c r="Q687" s="162"/>
    </row>
    <row r="688" spans="1:17" x14ac:dyDescent="0.3">
      <c r="A688" s="401"/>
      <c r="B688" s="400"/>
      <c r="C688" s="38"/>
      <c r="D688" s="158" t="s">
        <v>464</v>
      </c>
      <c r="E688" s="25"/>
      <c r="F688" s="157" t="s">
        <v>405</v>
      </c>
      <c r="G688" s="175">
        <f>G690</f>
        <v>0.21306132</v>
      </c>
      <c r="H688" s="175">
        <f>H690</f>
        <v>3.45</v>
      </c>
      <c r="I688" s="158"/>
      <c r="J688" s="157"/>
    </row>
    <row r="689" spans="1:10" x14ac:dyDescent="0.3">
      <c r="A689" s="401"/>
      <c r="B689" s="400"/>
      <c r="C689" s="88">
        <v>1</v>
      </c>
      <c r="D689" s="88"/>
      <c r="F689" s="88"/>
      <c r="G689" s="155"/>
      <c r="H689" s="155"/>
      <c r="I689" s="86"/>
      <c r="J689" s="88"/>
    </row>
    <row r="690" spans="1:10" x14ac:dyDescent="0.3">
      <c r="A690" s="401"/>
      <c r="B690" s="400"/>
      <c r="C690" s="88">
        <v>2</v>
      </c>
      <c r="D690" s="88"/>
      <c r="E690" s="88"/>
      <c r="F690" s="88"/>
      <c r="G690" s="293">
        <v>0.21306132</v>
      </c>
      <c r="H690" s="255">
        <v>3.45</v>
      </c>
      <c r="I690" t="s">
        <v>981</v>
      </c>
      <c r="J690" s="88"/>
    </row>
    <row r="691" spans="1:10" x14ac:dyDescent="0.3">
      <c r="A691" s="401"/>
      <c r="B691" s="400"/>
      <c r="C691" s="88">
        <v>3</v>
      </c>
      <c r="D691" s="88"/>
      <c r="E691" s="88"/>
      <c r="F691" s="88"/>
      <c r="G691" s="155"/>
      <c r="H691" s="155"/>
      <c r="I691" s="86"/>
      <c r="J691" s="88"/>
    </row>
    <row r="692" spans="1:10" x14ac:dyDescent="0.3">
      <c r="A692" s="401"/>
      <c r="B692" s="400"/>
      <c r="C692" s="88">
        <v>4</v>
      </c>
      <c r="D692" s="88"/>
      <c r="E692" s="88"/>
      <c r="F692" s="88"/>
      <c r="G692" s="155"/>
      <c r="H692" s="155"/>
      <c r="I692" s="86"/>
      <c r="J692" s="88"/>
    </row>
    <row r="693" spans="1:10" x14ac:dyDescent="0.3">
      <c r="A693" s="401"/>
      <c r="B693" s="400"/>
      <c r="C693" s="88">
        <v>5</v>
      </c>
      <c r="D693" s="88"/>
      <c r="E693" s="88"/>
      <c r="F693" s="88"/>
      <c r="G693" s="155"/>
      <c r="H693" s="155"/>
      <c r="I693" s="86"/>
      <c r="J693" s="88"/>
    </row>
    <row r="694" spans="1:10" x14ac:dyDescent="0.3">
      <c r="A694" s="401"/>
      <c r="B694" s="400"/>
      <c r="G694" s="207"/>
      <c r="H694" s="207"/>
    </row>
    <row r="695" spans="1:10" x14ac:dyDescent="0.3">
      <c r="A695" s="401"/>
      <c r="B695" s="400"/>
      <c r="C695" s="38"/>
      <c r="D695" s="158" t="s">
        <v>463</v>
      </c>
      <c r="E695" s="25"/>
      <c r="F695" s="157" t="s">
        <v>405</v>
      </c>
      <c r="G695" s="175">
        <f>G698</f>
        <v>0.16503061999999999</v>
      </c>
      <c r="H695" s="175">
        <f>H698</f>
        <v>2.7</v>
      </c>
      <c r="I695" s="158"/>
      <c r="J695" s="157"/>
    </row>
    <row r="696" spans="1:10" x14ac:dyDescent="0.3">
      <c r="A696" s="401"/>
      <c r="B696" s="400"/>
      <c r="C696" s="88">
        <v>1</v>
      </c>
      <c r="D696" s="88"/>
      <c r="F696" s="88"/>
      <c r="G696" s="155"/>
      <c r="H696" s="155"/>
      <c r="I696" s="86"/>
      <c r="J696" s="88"/>
    </row>
    <row r="697" spans="1:10" x14ac:dyDescent="0.3">
      <c r="A697" s="401"/>
      <c r="B697" s="400"/>
      <c r="C697" s="88">
        <v>2</v>
      </c>
      <c r="D697" s="88"/>
      <c r="E697" s="88"/>
      <c r="F697" s="88"/>
      <c r="G697" s="156">
        <v>8.6177951724137933E-2</v>
      </c>
      <c r="H697" s="156">
        <v>1.3568724000000001</v>
      </c>
      <c r="I697" s="156" t="s">
        <v>902</v>
      </c>
      <c r="J697" s="88"/>
    </row>
    <row r="698" spans="1:10" x14ac:dyDescent="0.3">
      <c r="A698" s="401"/>
      <c r="B698" s="400"/>
      <c r="C698" s="88">
        <v>3</v>
      </c>
      <c r="D698" s="88"/>
      <c r="E698" s="88"/>
      <c r="F698" s="88"/>
      <c r="G698" s="293">
        <v>0.16503061999999999</v>
      </c>
      <c r="H698" s="255">
        <v>2.7</v>
      </c>
      <c r="I698" t="s">
        <v>979</v>
      </c>
      <c r="J698" s="88"/>
    </row>
    <row r="699" spans="1:10" x14ac:dyDescent="0.3">
      <c r="A699" s="401"/>
      <c r="B699" s="400"/>
      <c r="C699" s="88">
        <v>4</v>
      </c>
      <c r="D699" s="88"/>
      <c r="E699" s="88"/>
      <c r="F699" s="88"/>
      <c r="G699" s="155"/>
      <c r="H699" s="155"/>
      <c r="I699" s="86"/>
      <c r="J699" s="88"/>
    </row>
    <row r="700" spans="1:10" x14ac:dyDescent="0.3">
      <c r="A700" s="401"/>
      <c r="B700" s="400"/>
      <c r="C700" s="88">
        <v>5</v>
      </c>
      <c r="D700" s="88"/>
      <c r="E700" s="88"/>
      <c r="F700" s="88"/>
      <c r="G700" s="155"/>
      <c r="H700" s="155"/>
      <c r="I700" s="86"/>
      <c r="J700" s="88"/>
    </row>
    <row r="701" spans="1:10" x14ac:dyDescent="0.3">
      <c r="A701" s="401"/>
      <c r="B701" s="400"/>
      <c r="C701" s="38"/>
      <c r="D701" s="88"/>
      <c r="E701" s="88"/>
      <c r="F701" s="88"/>
      <c r="G701" s="155"/>
      <c r="H701" s="155"/>
      <c r="I701" s="86"/>
      <c r="J701" s="88"/>
    </row>
    <row r="702" spans="1:10" x14ac:dyDescent="0.3">
      <c r="A702" s="401"/>
      <c r="B702" s="400"/>
      <c r="C702" s="38"/>
      <c r="D702" s="158" t="s">
        <v>462</v>
      </c>
      <c r="E702" s="25"/>
      <c r="F702" s="157" t="s">
        <v>405</v>
      </c>
      <c r="G702" s="175">
        <f>G705</f>
        <v>8.9976823999999997E-2</v>
      </c>
      <c r="H702" s="175">
        <f>H705</f>
        <v>1.52</v>
      </c>
      <c r="I702" s="158"/>
      <c r="J702" s="157"/>
    </row>
    <row r="703" spans="1:10" x14ac:dyDescent="0.3">
      <c r="A703" s="401"/>
      <c r="B703" s="400"/>
      <c r="C703" s="88">
        <v>1</v>
      </c>
      <c r="D703" s="88"/>
      <c r="F703" s="88"/>
      <c r="G703" s="155"/>
      <c r="H703" s="155"/>
      <c r="I703" s="86"/>
      <c r="J703" s="88"/>
    </row>
    <row r="704" spans="1:10" x14ac:dyDescent="0.3">
      <c r="A704" s="401"/>
      <c r="B704" s="400"/>
      <c r="C704" s="88">
        <v>2</v>
      </c>
      <c r="D704" s="88"/>
      <c r="E704" s="88"/>
      <c r="F704" s="88"/>
      <c r="G704" s="156">
        <v>7.3866815517241377E-2</v>
      </c>
      <c r="H704" s="156">
        <v>1.1630335000000001</v>
      </c>
      <c r="I704" s="156" t="s">
        <v>903</v>
      </c>
      <c r="J704" s="88"/>
    </row>
    <row r="705" spans="1:10" x14ac:dyDescent="0.3">
      <c r="A705" s="401"/>
      <c r="B705" s="400"/>
      <c r="C705" s="88">
        <v>3</v>
      </c>
      <c r="D705" s="88"/>
      <c r="E705" s="88"/>
      <c r="F705" s="88"/>
      <c r="G705" s="293">
        <v>8.9976823999999997E-2</v>
      </c>
      <c r="H705" s="255">
        <v>1.52</v>
      </c>
      <c r="I705" s="86" t="s">
        <v>978</v>
      </c>
      <c r="J705" s="88"/>
    </row>
    <row r="706" spans="1:10" x14ac:dyDescent="0.3">
      <c r="A706" s="401"/>
      <c r="B706" s="400"/>
      <c r="C706" s="88">
        <v>4</v>
      </c>
      <c r="D706" s="88"/>
      <c r="E706" s="88"/>
      <c r="F706" s="88"/>
      <c r="G706" s="155"/>
      <c r="H706" s="88"/>
      <c r="I706" s="86"/>
      <c r="J706" s="88"/>
    </row>
    <row r="707" spans="1:10" x14ac:dyDescent="0.3">
      <c r="A707" s="401"/>
      <c r="B707" s="400"/>
      <c r="C707" s="88">
        <v>5</v>
      </c>
      <c r="D707" s="88"/>
      <c r="E707" s="88"/>
      <c r="F707" s="88"/>
      <c r="G707" s="88"/>
      <c r="H707" s="88"/>
      <c r="I707" s="86"/>
      <c r="J707" s="88"/>
    </row>
    <row r="708" spans="1:10" ht="18" x14ac:dyDescent="0.35">
      <c r="A708" s="401"/>
      <c r="B708" s="400"/>
      <c r="C708" s="162"/>
      <c r="D708" s="162"/>
      <c r="E708" s="162"/>
      <c r="F708" s="162"/>
      <c r="G708" s="162"/>
      <c r="H708" s="162"/>
      <c r="I708" s="162"/>
      <c r="J708" s="162"/>
    </row>
    <row r="709" spans="1:10" x14ac:dyDescent="0.3">
      <c r="A709" s="401"/>
      <c r="C709" s="38"/>
      <c r="D709" s="158" t="s">
        <v>1467</v>
      </c>
      <c r="E709" s="25"/>
      <c r="F709" s="157" t="s">
        <v>405</v>
      </c>
      <c r="G709" s="157">
        <f>G710</f>
        <v>0.126</v>
      </c>
      <c r="H709" s="157">
        <f>H710</f>
        <v>2.09</v>
      </c>
      <c r="I709" s="158"/>
      <c r="J709" s="157"/>
    </row>
    <row r="710" spans="1:10" x14ac:dyDescent="0.3">
      <c r="A710" s="401"/>
      <c r="C710" s="88">
        <v>1</v>
      </c>
      <c r="D710" s="88"/>
      <c r="F710" s="88" t="s">
        <v>1471</v>
      </c>
      <c r="G710" s="88">
        <v>0.126</v>
      </c>
      <c r="H710" s="88">
        <v>2.09</v>
      </c>
      <c r="I710" s="86" t="s">
        <v>1468</v>
      </c>
      <c r="J710" s="88"/>
    </row>
    <row r="711" spans="1:10" x14ac:dyDescent="0.3">
      <c r="A711" s="401"/>
      <c r="C711" s="88">
        <v>2</v>
      </c>
      <c r="D711" s="88"/>
      <c r="E711" s="88"/>
      <c r="F711" s="88" t="s">
        <v>1471</v>
      </c>
      <c r="G711" s="88">
        <v>0.127</v>
      </c>
      <c r="H711" s="88">
        <v>2.12</v>
      </c>
      <c r="I711" s="86" t="s">
        <v>1470</v>
      </c>
      <c r="J711" s="88"/>
    </row>
    <row r="712" spans="1:10" x14ac:dyDescent="0.3">
      <c r="A712" s="401"/>
      <c r="C712" s="88">
        <v>3</v>
      </c>
      <c r="D712" s="88"/>
      <c r="E712" s="88"/>
      <c r="F712" s="88" t="s">
        <v>1471</v>
      </c>
      <c r="G712" s="88">
        <v>0.13500000000000001</v>
      </c>
      <c r="H712" s="88">
        <v>2.2400000000000002</v>
      </c>
      <c r="I712" s="86" t="s">
        <v>1469</v>
      </c>
      <c r="J712" s="88"/>
    </row>
    <row r="713" spans="1:10" x14ac:dyDescent="0.3">
      <c r="A713" s="401"/>
      <c r="C713" s="88">
        <v>4</v>
      </c>
      <c r="D713" s="88"/>
      <c r="E713" s="88"/>
      <c r="F713" s="88"/>
      <c r="G713" s="88"/>
      <c r="H713" s="88"/>
      <c r="I713" s="86"/>
      <c r="J713" s="88"/>
    </row>
    <row r="714" spans="1:10" x14ac:dyDescent="0.3">
      <c r="A714" s="401"/>
      <c r="C714" s="88">
        <v>5</v>
      </c>
      <c r="D714" s="88"/>
      <c r="E714" s="88"/>
      <c r="F714" s="88"/>
      <c r="G714" s="88"/>
      <c r="H714" s="88"/>
      <c r="I714" s="86"/>
      <c r="J714" s="88"/>
    </row>
    <row r="715" spans="1:10" x14ac:dyDescent="0.3">
      <c r="A715" s="401"/>
      <c r="C715" s="38"/>
      <c r="D715" s="88"/>
      <c r="E715" s="88"/>
      <c r="F715" s="88"/>
      <c r="G715" s="88"/>
      <c r="H715" s="88"/>
      <c r="I715" s="86"/>
      <c r="J715" s="88"/>
    </row>
    <row r="716" spans="1:10" x14ac:dyDescent="0.3">
      <c r="A716" s="401"/>
      <c r="C716" s="38"/>
      <c r="D716" s="158" t="s">
        <v>461</v>
      </c>
      <c r="E716" s="25"/>
      <c r="F716" s="157" t="s">
        <v>405</v>
      </c>
      <c r="G716" s="157"/>
      <c r="H716" s="157"/>
      <c r="I716" s="158"/>
      <c r="J716" s="157"/>
    </row>
    <row r="717" spans="1:10" x14ac:dyDescent="0.3">
      <c r="A717" s="401"/>
      <c r="C717" s="88">
        <v>1</v>
      </c>
      <c r="D717" s="88"/>
      <c r="F717" s="88"/>
      <c r="G717" s="88"/>
      <c r="H717" s="88"/>
      <c r="I717" s="86"/>
      <c r="J717" s="88"/>
    </row>
    <row r="718" spans="1:10" x14ac:dyDescent="0.3">
      <c r="A718" s="401"/>
      <c r="C718" s="88">
        <v>2</v>
      </c>
      <c r="D718" s="88"/>
      <c r="E718" s="88"/>
      <c r="F718" s="88"/>
      <c r="G718" s="88"/>
      <c r="H718" s="88"/>
      <c r="I718" s="86"/>
      <c r="J718" s="88"/>
    </row>
    <row r="719" spans="1:10" x14ac:dyDescent="0.3">
      <c r="A719" s="401"/>
      <c r="C719" s="88">
        <v>3</v>
      </c>
      <c r="D719" s="88"/>
      <c r="E719" s="88"/>
      <c r="F719" s="88"/>
      <c r="G719" s="88"/>
      <c r="H719" s="88"/>
      <c r="I719" s="86"/>
      <c r="J719" s="88"/>
    </row>
    <row r="720" spans="1:10" x14ac:dyDescent="0.3">
      <c r="A720" s="401"/>
      <c r="C720" s="88">
        <v>4</v>
      </c>
      <c r="D720" s="88"/>
      <c r="E720" s="88"/>
      <c r="F720" s="88"/>
      <c r="G720" s="88"/>
      <c r="H720" s="88"/>
      <c r="I720" s="86"/>
      <c r="J720" s="88"/>
    </row>
    <row r="721" spans="1:21" x14ac:dyDescent="0.3">
      <c r="A721" s="401"/>
      <c r="C721" s="88">
        <v>5</v>
      </c>
      <c r="D721" s="88"/>
      <c r="E721" s="88"/>
      <c r="F721" s="88"/>
      <c r="G721" s="88"/>
      <c r="H721" s="88"/>
      <c r="I721" s="86"/>
      <c r="J721" s="88"/>
    </row>
    <row r="722" spans="1:21" x14ac:dyDescent="0.3">
      <c r="A722" s="169"/>
      <c r="B722" s="169"/>
      <c r="C722" s="167"/>
      <c r="D722" s="167"/>
      <c r="E722" s="167"/>
      <c r="F722" s="167"/>
      <c r="G722" s="167"/>
      <c r="H722" s="167"/>
      <c r="I722" s="168"/>
      <c r="J722" s="167"/>
    </row>
    <row r="724" spans="1:21" x14ac:dyDescent="0.3">
      <c r="C724" s="38"/>
      <c r="D724" s="158" t="s">
        <v>460</v>
      </c>
      <c r="E724" s="25"/>
      <c r="F724" s="157" t="s">
        <v>405</v>
      </c>
      <c r="G724" s="157">
        <f>G725</f>
        <v>0.52600000000000002</v>
      </c>
      <c r="H724" s="157">
        <f>H725</f>
        <v>7.81</v>
      </c>
      <c r="I724" s="158"/>
      <c r="J724" s="157"/>
    </row>
    <row r="725" spans="1:21" x14ac:dyDescent="0.3">
      <c r="C725" s="88">
        <v>1</v>
      </c>
      <c r="D725" s="88"/>
      <c r="F725" s="88" t="s">
        <v>507</v>
      </c>
      <c r="G725" s="252">
        <v>0.52600000000000002</v>
      </c>
      <c r="H725" s="252">
        <v>7.81</v>
      </c>
      <c r="I725" s="86" t="s">
        <v>459</v>
      </c>
      <c r="J725" s="88"/>
      <c r="M725" t="s">
        <v>1368</v>
      </c>
    </row>
    <row r="726" spans="1:21" x14ac:dyDescent="0.3">
      <c r="C726" s="88">
        <v>2</v>
      </c>
      <c r="D726" s="88"/>
      <c r="E726" s="88"/>
      <c r="F726" s="88" t="s">
        <v>507</v>
      </c>
      <c r="G726" s="166">
        <v>0.52700000000000002</v>
      </c>
      <c r="H726" s="166">
        <v>7.82</v>
      </c>
      <c r="I726" s="86" t="s">
        <v>458</v>
      </c>
      <c r="J726" s="88"/>
      <c r="N726" t="s">
        <v>1369</v>
      </c>
      <c r="P726">
        <f>7.06*G748</f>
        <v>24.439072499999998</v>
      </c>
      <c r="Q726" t="s">
        <v>1370</v>
      </c>
      <c r="S726" t="s">
        <v>1373</v>
      </c>
      <c r="U726" t="s">
        <v>1375</v>
      </c>
    </row>
    <row r="727" spans="1:21" x14ac:dyDescent="0.3">
      <c r="C727" s="88">
        <v>3</v>
      </c>
      <c r="D727" s="88"/>
      <c r="E727" s="88"/>
      <c r="F727" s="88"/>
      <c r="G727" s="88"/>
      <c r="H727" s="88"/>
      <c r="I727" s="86"/>
      <c r="J727" s="88"/>
      <c r="N727" t="s">
        <v>1371</v>
      </c>
      <c r="P727">
        <f>P726/G725</f>
        <v>46.462115019011399</v>
      </c>
      <c r="Q727" t="s">
        <v>1372</v>
      </c>
      <c r="S727" t="s">
        <v>1374</v>
      </c>
    </row>
    <row r="728" spans="1:21" x14ac:dyDescent="0.3">
      <c r="C728" s="88">
        <v>4</v>
      </c>
      <c r="D728" s="88"/>
      <c r="E728" s="88"/>
      <c r="F728" s="88" t="s">
        <v>455</v>
      </c>
      <c r="G728" s="88">
        <v>50</v>
      </c>
      <c r="H728" s="88"/>
      <c r="I728" s="86" t="s">
        <v>454</v>
      </c>
      <c r="J728" s="88"/>
    </row>
    <row r="729" spans="1:21" x14ac:dyDescent="0.3">
      <c r="C729" s="88">
        <v>5</v>
      </c>
      <c r="D729" s="88"/>
      <c r="E729" s="88"/>
      <c r="F729" s="88"/>
      <c r="G729" s="88"/>
      <c r="H729" s="88"/>
      <c r="I729" s="86"/>
      <c r="J729" s="88"/>
    </row>
    <row r="730" spans="1:21" x14ac:dyDescent="0.3">
      <c r="C730" s="38"/>
      <c r="D730" s="88"/>
      <c r="E730" s="88"/>
      <c r="F730" s="88"/>
      <c r="G730" s="88"/>
      <c r="H730" s="88"/>
      <c r="I730" s="86"/>
      <c r="J730" s="88"/>
    </row>
    <row r="731" spans="1:21" x14ac:dyDescent="0.3">
      <c r="C731" s="38"/>
      <c r="D731" s="158" t="s">
        <v>457</v>
      </c>
      <c r="E731" s="25"/>
      <c r="F731" s="157" t="s">
        <v>405</v>
      </c>
      <c r="G731" s="157">
        <f>G733</f>
        <v>1.9199999999999998E-2</v>
      </c>
      <c r="H731" s="157">
        <f>H733</f>
        <v>0.28199999999999997</v>
      </c>
      <c r="I731" s="158"/>
      <c r="J731" s="157"/>
    </row>
    <row r="732" spans="1:21" x14ac:dyDescent="0.3">
      <c r="C732" s="88">
        <v>1</v>
      </c>
      <c r="D732" s="88"/>
      <c r="F732" s="88" t="s">
        <v>455</v>
      </c>
      <c r="G732" s="166">
        <v>4.0899999999999999E-2</v>
      </c>
      <c r="H732" s="166">
        <v>0.60099999999999998</v>
      </c>
      <c r="I732" s="86" t="s">
        <v>985</v>
      </c>
      <c r="J732" s="88" t="s">
        <v>456</v>
      </c>
    </row>
    <row r="733" spans="1:21" x14ac:dyDescent="0.3">
      <c r="C733" s="88">
        <v>2</v>
      </c>
      <c r="D733" s="88"/>
      <c r="E733" s="88"/>
      <c r="F733" s="88" t="s">
        <v>455</v>
      </c>
      <c r="G733" s="252">
        <v>1.9199999999999998E-2</v>
      </c>
      <c r="H733" s="252">
        <v>0.28199999999999997</v>
      </c>
      <c r="I733" s="86" t="s">
        <v>985</v>
      </c>
      <c r="J733" s="88"/>
    </row>
    <row r="734" spans="1:21" x14ac:dyDescent="0.3">
      <c r="C734" s="88">
        <v>3</v>
      </c>
      <c r="D734" s="88"/>
      <c r="E734" s="88"/>
      <c r="F734" s="88" t="s">
        <v>455</v>
      </c>
      <c r="G734" s="166">
        <v>6.4700000000000001E-3</v>
      </c>
      <c r="H734" s="166">
        <v>9.5200000000000007E-2</v>
      </c>
      <c r="I734" s="86" t="s">
        <v>985</v>
      </c>
      <c r="J734" s="88" t="s">
        <v>986</v>
      </c>
    </row>
    <row r="735" spans="1:21" x14ac:dyDescent="0.3">
      <c r="C735" s="88">
        <v>4</v>
      </c>
      <c r="D735" s="88"/>
      <c r="E735" s="88"/>
      <c r="F735" s="88"/>
      <c r="G735" s="166">
        <v>2.23E-2</v>
      </c>
      <c r="H735" s="166">
        <v>0.32800000000000001</v>
      </c>
      <c r="I735" s="86" t="s">
        <v>985</v>
      </c>
      <c r="J735" s="88" t="s">
        <v>987</v>
      </c>
    </row>
    <row r="736" spans="1:21" x14ac:dyDescent="0.3">
      <c r="C736" s="88">
        <v>5</v>
      </c>
      <c r="D736" s="88"/>
      <c r="E736" s="88"/>
      <c r="F736" s="88"/>
      <c r="G736" s="88"/>
      <c r="H736" s="88"/>
      <c r="I736" s="86"/>
      <c r="J736" s="88"/>
    </row>
    <row r="737" spans="3:18" ht="18" x14ac:dyDescent="0.35">
      <c r="C737" s="162"/>
      <c r="D737" s="162"/>
      <c r="E737" s="162"/>
      <c r="F737" s="162"/>
      <c r="G737" s="162"/>
      <c r="H737" s="162"/>
      <c r="I737" s="162"/>
      <c r="J737" s="162"/>
    </row>
    <row r="738" spans="3:18" x14ac:dyDescent="0.3">
      <c r="C738" s="38"/>
      <c r="D738" s="158" t="s">
        <v>69</v>
      </c>
      <c r="E738" s="25"/>
      <c r="F738" s="157" t="s">
        <v>405</v>
      </c>
      <c r="G738" s="157">
        <f>G739</f>
        <v>90</v>
      </c>
      <c r="H738" s="157">
        <f>H739</f>
        <v>1342.5414364640887</v>
      </c>
      <c r="I738" s="158"/>
      <c r="J738" s="157"/>
    </row>
    <row r="739" spans="3:18" x14ac:dyDescent="0.3">
      <c r="C739" s="88">
        <v>1</v>
      </c>
      <c r="D739" s="88"/>
      <c r="F739" s="88" t="s">
        <v>455</v>
      </c>
      <c r="G739" s="88">
        <v>90</v>
      </c>
      <c r="H739" s="88">
        <f>Q740</f>
        <v>1342.5414364640887</v>
      </c>
      <c r="I739" s="86" t="s">
        <v>454</v>
      </c>
      <c r="J739" s="88"/>
      <c r="L739">
        <v>90</v>
      </c>
      <c r="M739" t="s">
        <v>1361</v>
      </c>
      <c r="O739">
        <f>G739/G749</f>
        <v>25.999350016249597</v>
      </c>
      <c r="P739" t="s">
        <v>1362</v>
      </c>
    </row>
    <row r="740" spans="3:18" x14ac:dyDescent="0.3">
      <c r="C740" s="88">
        <v>2</v>
      </c>
      <c r="D740" s="88"/>
      <c r="E740" s="88"/>
      <c r="F740" s="88"/>
      <c r="G740" s="88"/>
      <c r="H740" s="88"/>
      <c r="I740" s="86"/>
      <c r="J740" s="88"/>
      <c r="P740" t="s">
        <v>1363</v>
      </c>
      <c r="Q740">
        <f>O739*H748</f>
        <v>1342.5414364640887</v>
      </c>
      <c r="R740" t="s">
        <v>1364</v>
      </c>
    </row>
    <row r="741" spans="3:18" x14ac:dyDescent="0.3">
      <c r="C741" s="88">
        <v>3</v>
      </c>
      <c r="D741" s="88"/>
      <c r="E741" s="88"/>
      <c r="F741" s="88"/>
      <c r="G741" s="88"/>
      <c r="H741" s="88"/>
      <c r="I741" s="86"/>
      <c r="J741" s="88"/>
    </row>
    <row r="742" spans="3:18" x14ac:dyDescent="0.3">
      <c r="C742" s="88">
        <v>4</v>
      </c>
      <c r="D742" s="88"/>
      <c r="E742" s="88"/>
      <c r="F742" s="88"/>
      <c r="G742" s="88"/>
      <c r="H742" s="88"/>
      <c r="I742" s="86"/>
      <c r="J742" s="88"/>
    </row>
    <row r="743" spans="3:18" x14ac:dyDescent="0.3">
      <c r="C743" s="88">
        <v>5</v>
      </c>
      <c r="D743" s="88"/>
      <c r="E743" s="88"/>
      <c r="F743" s="88"/>
      <c r="G743" s="88"/>
      <c r="H743" s="88"/>
      <c r="I743" s="86"/>
      <c r="J743" s="88"/>
    </row>
    <row r="744" spans="3:18" x14ac:dyDescent="0.3">
      <c r="C744" s="38"/>
      <c r="D744" s="158" t="s">
        <v>1353</v>
      </c>
      <c r="E744" s="25"/>
      <c r="F744" s="157" t="s">
        <v>405</v>
      </c>
      <c r="G744" s="157">
        <f>G745</f>
        <v>9.0499999999999997E-2</v>
      </c>
      <c r="H744" s="157">
        <f>H745</f>
        <v>1.35</v>
      </c>
      <c r="I744" s="158"/>
      <c r="J744" s="157"/>
    </row>
    <row r="745" spans="3:18" x14ac:dyDescent="0.3">
      <c r="C745" s="88">
        <v>1</v>
      </c>
      <c r="D745" s="88"/>
      <c r="F745" s="88" t="s">
        <v>473</v>
      </c>
      <c r="G745" s="88">
        <v>9.0499999999999997E-2</v>
      </c>
      <c r="H745" s="88">
        <v>1.35</v>
      </c>
      <c r="I745" s="86" t="s">
        <v>1354</v>
      </c>
      <c r="J745" s="88" t="s">
        <v>525</v>
      </c>
    </row>
    <row r="746" spans="3:18" x14ac:dyDescent="0.3">
      <c r="C746" s="88">
        <v>2</v>
      </c>
      <c r="D746" s="88"/>
      <c r="E746" s="88"/>
      <c r="F746" s="88"/>
      <c r="G746" s="88"/>
      <c r="H746" s="88"/>
      <c r="I746" s="86"/>
      <c r="J746" s="88"/>
    </row>
    <row r="747" spans="3:18" x14ac:dyDescent="0.3">
      <c r="C747" s="38"/>
      <c r="D747" s="88"/>
      <c r="E747" s="88"/>
      <c r="F747" s="88"/>
      <c r="G747" s="88"/>
      <c r="H747" s="88"/>
      <c r="I747" s="86"/>
      <c r="J747" s="88"/>
    </row>
    <row r="748" spans="3:18" x14ac:dyDescent="0.3">
      <c r="C748" s="38"/>
      <c r="D748" s="158" t="s">
        <v>1355</v>
      </c>
      <c r="E748" s="25"/>
      <c r="F748" s="157" t="s">
        <v>405</v>
      </c>
      <c r="G748" s="157">
        <f>G749</f>
        <v>3.4616249999999997</v>
      </c>
      <c r="H748" s="157">
        <f>H749</f>
        <v>51.637500000000003</v>
      </c>
      <c r="I748" s="158"/>
      <c r="J748" s="157"/>
    </row>
    <row r="749" spans="3:18" x14ac:dyDescent="0.3">
      <c r="C749" s="88">
        <v>1</v>
      </c>
      <c r="D749" s="88"/>
      <c r="F749" s="88" t="s">
        <v>1356</v>
      </c>
      <c r="G749" s="88">
        <f>G745*J750</f>
        <v>3.4616249999999997</v>
      </c>
      <c r="H749" s="88">
        <f>H745*J750</f>
        <v>51.637500000000003</v>
      </c>
      <c r="I749" s="86" t="s">
        <v>454</v>
      </c>
      <c r="J749" s="88"/>
    </row>
    <row r="750" spans="3:18" x14ac:dyDescent="0.3">
      <c r="C750" s="88">
        <v>2</v>
      </c>
      <c r="D750" s="88"/>
      <c r="E750" s="88"/>
      <c r="F750" s="88"/>
      <c r="G750" s="88"/>
      <c r="H750" s="88"/>
      <c r="I750" s="86" t="s">
        <v>1357</v>
      </c>
      <c r="J750" s="88">
        <f>L752</f>
        <v>38.25</v>
      </c>
      <c r="K750" t="s">
        <v>1358</v>
      </c>
      <c r="L750">
        <v>45</v>
      </c>
      <c r="M750" t="s">
        <v>1365</v>
      </c>
    </row>
    <row r="751" spans="3:18" x14ac:dyDescent="0.3">
      <c r="C751" s="38"/>
      <c r="D751" s="88"/>
      <c r="E751" s="88"/>
      <c r="F751" s="88"/>
      <c r="G751" s="88"/>
      <c r="H751" s="88"/>
      <c r="I751" s="86"/>
      <c r="J751" s="88"/>
      <c r="L751">
        <v>0.85</v>
      </c>
      <c r="M751" t="s">
        <v>1366</v>
      </c>
    </row>
    <row r="752" spans="3:18" x14ac:dyDescent="0.3">
      <c r="C752" s="38"/>
      <c r="D752" s="158" t="s">
        <v>69</v>
      </c>
      <c r="E752" s="25"/>
      <c r="F752" s="157" t="s">
        <v>405</v>
      </c>
      <c r="G752" s="157">
        <f>G753</f>
        <v>90</v>
      </c>
      <c r="H752" s="157"/>
      <c r="I752" s="158"/>
      <c r="J752" s="157"/>
      <c r="L752">
        <f>L750*L751</f>
        <v>38.25</v>
      </c>
      <c r="M752" t="s">
        <v>1367</v>
      </c>
    </row>
    <row r="753" spans="3:11" x14ac:dyDescent="0.3">
      <c r="C753" s="88">
        <v>1</v>
      </c>
      <c r="D753" s="88"/>
      <c r="F753" s="88" t="s">
        <v>455</v>
      </c>
      <c r="G753" s="88">
        <v>90</v>
      </c>
      <c r="H753" s="88"/>
      <c r="I753" s="86" t="s">
        <v>454</v>
      </c>
      <c r="J753" s="88"/>
    </row>
    <row r="754" spans="3:11" x14ac:dyDescent="0.3">
      <c r="C754" s="88">
        <v>2</v>
      </c>
      <c r="D754" s="88"/>
      <c r="E754" s="88"/>
      <c r="F754" s="88"/>
      <c r="G754" s="88"/>
      <c r="H754" s="88"/>
      <c r="I754" s="86"/>
      <c r="J754" s="88"/>
    </row>
    <row r="755" spans="3:11" x14ac:dyDescent="0.3">
      <c r="C755" s="38"/>
      <c r="D755" s="88"/>
      <c r="E755" s="88"/>
      <c r="F755" s="88"/>
      <c r="G755" s="88"/>
      <c r="H755" s="88"/>
      <c r="I755" s="86"/>
      <c r="J755" s="88"/>
    </row>
    <row r="756" spans="3:11" x14ac:dyDescent="0.3">
      <c r="C756" s="38"/>
      <c r="D756" s="88"/>
      <c r="E756" s="88"/>
      <c r="F756" s="88"/>
      <c r="G756" s="88"/>
      <c r="H756" s="88"/>
      <c r="I756" s="86"/>
      <c r="J756" s="88"/>
    </row>
    <row r="757" spans="3:11" s="70" customFormat="1" x14ac:dyDescent="0.3">
      <c r="C757" s="133"/>
      <c r="D757" s="144"/>
      <c r="E757" s="144"/>
      <c r="F757" s="144"/>
      <c r="G757" s="144"/>
      <c r="H757" s="144"/>
      <c r="I757" s="132"/>
      <c r="J757" s="144"/>
    </row>
    <row r="758" spans="3:11" x14ac:dyDescent="0.3">
      <c r="C758" s="38"/>
      <c r="D758" s="88"/>
      <c r="E758" s="88"/>
      <c r="F758" s="88"/>
      <c r="G758" s="88"/>
      <c r="H758" s="88"/>
      <c r="I758" s="86"/>
      <c r="J758" s="88"/>
    </row>
    <row r="759" spans="3:11" x14ac:dyDescent="0.3">
      <c r="C759" s="38"/>
      <c r="D759" s="158" t="s">
        <v>453</v>
      </c>
      <c r="E759" s="25"/>
      <c r="F759" s="157" t="s">
        <v>405</v>
      </c>
      <c r="G759" s="157" t="str">
        <f>F744</f>
        <v>Value used:</v>
      </c>
      <c r="H759" s="157"/>
      <c r="I759" s="158" t="s">
        <v>452</v>
      </c>
      <c r="J759" s="157"/>
    </row>
    <row r="760" spans="3:11" x14ac:dyDescent="0.3">
      <c r="C760" s="88">
        <v>1</v>
      </c>
      <c r="D760" s="88"/>
      <c r="F760" s="88"/>
      <c r="G760" s="88">
        <v>2.2799999999999998</v>
      </c>
      <c r="H760" s="88">
        <v>24.9</v>
      </c>
      <c r="I760" s="86" t="s">
        <v>29</v>
      </c>
      <c r="J760" s="88" t="s">
        <v>412</v>
      </c>
    </row>
    <row r="761" spans="3:11" x14ac:dyDescent="0.3">
      <c r="C761" s="88">
        <v>2</v>
      </c>
      <c r="D761" s="88"/>
      <c r="E761" s="88"/>
      <c r="F761" s="88"/>
      <c r="G761" s="88">
        <v>2.6</v>
      </c>
      <c r="H761" s="88">
        <v>29.6</v>
      </c>
      <c r="I761" s="86" t="s">
        <v>30</v>
      </c>
      <c r="J761" s="88" t="s">
        <v>412</v>
      </c>
    </row>
    <row r="762" spans="3:11" x14ac:dyDescent="0.3">
      <c r="C762" s="88">
        <v>3</v>
      </c>
      <c r="D762" s="88"/>
      <c r="E762" s="88"/>
      <c r="F762" s="88"/>
      <c r="G762" s="88">
        <v>2.08</v>
      </c>
      <c r="H762" s="88">
        <v>22.3</v>
      </c>
      <c r="I762" s="86" t="s">
        <v>451</v>
      </c>
      <c r="J762" s="88" t="s">
        <v>412</v>
      </c>
    </row>
    <row r="763" spans="3:11" x14ac:dyDescent="0.3">
      <c r="C763" s="88">
        <v>4</v>
      </c>
      <c r="D763" s="88"/>
      <c r="E763" s="88"/>
      <c r="F763" s="88"/>
      <c r="G763" s="88">
        <v>1.45</v>
      </c>
      <c r="H763" s="88">
        <v>19.2</v>
      </c>
      <c r="I763" s="86" t="s">
        <v>450</v>
      </c>
      <c r="J763" s="88" t="s">
        <v>412</v>
      </c>
      <c r="K763" t="s">
        <v>449</v>
      </c>
    </row>
    <row r="764" spans="3:11" x14ac:dyDescent="0.3">
      <c r="C764" s="88">
        <v>5</v>
      </c>
      <c r="D764" s="88"/>
      <c r="E764" s="88"/>
      <c r="F764" s="88"/>
      <c r="G764" s="88">
        <v>2.29</v>
      </c>
      <c r="H764" s="88">
        <v>27.3</v>
      </c>
      <c r="I764" s="86" t="s">
        <v>448</v>
      </c>
      <c r="J764" s="88" t="s">
        <v>412</v>
      </c>
    </row>
    <row r="766" spans="3:11" x14ac:dyDescent="0.3">
      <c r="C766" s="38"/>
      <c r="D766" s="158" t="s">
        <v>447</v>
      </c>
      <c r="E766" s="25"/>
      <c r="F766" s="157" t="s">
        <v>405</v>
      </c>
      <c r="G766" s="157">
        <f>F765</f>
        <v>0</v>
      </c>
      <c r="H766" s="157"/>
      <c r="I766" s="158"/>
      <c r="J766" s="157"/>
    </row>
    <row r="767" spans="3:11" x14ac:dyDescent="0.3">
      <c r="C767" s="88">
        <v>1</v>
      </c>
      <c r="D767" s="88"/>
      <c r="F767" s="88"/>
      <c r="G767" s="88"/>
      <c r="H767" s="88">
        <v>27.8</v>
      </c>
      <c r="I767" s="86" t="s">
        <v>446</v>
      </c>
      <c r="J767" s="88"/>
    </row>
    <row r="768" spans="3:11" x14ac:dyDescent="0.3">
      <c r="C768" s="88">
        <v>2</v>
      </c>
      <c r="D768" s="88"/>
      <c r="E768" s="88"/>
      <c r="F768" s="88"/>
      <c r="G768" s="88"/>
      <c r="H768" s="88"/>
      <c r="I768" s="86"/>
      <c r="J768" s="88"/>
    </row>
    <row r="769" spans="3:10" x14ac:dyDescent="0.3">
      <c r="C769" s="88">
        <v>3</v>
      </c>
      <c r="D769" s="88"/>
      <c r="E769" s="88"/>
      <c r="F769" s="88"/>
      <c r="G769" s="88"/>
      <c r="H769" s="88"/>
      <c r="I769" s="86"/>
      <c r="J769" s="88"/>
    </row>
    <row r="770" spans="3:10" x14ac:dyDescent="0.3">
      <c r="C770" s="88">
        <v>4</v>
      </c>
      <c r="D770" s="88"/>
      <c r="E770" s="88"/>
      <c r="F770" s="88"/>
      <c r="G770" s="88"/>
      <c r="H770" s="88"/>
      <c r="I770" s="86"/>
      <c r="J770" s="88"/>
    </row>
    <row r="771" spans="3:10" x14ac:dyDescent="0.3">
      <c r="C771" s="88">
        <v>5</v>
      </c>
      <c r="D771" s="88"/>
      <c r="E771" s="88"/>
      <c r="F771" s="88"/>
      <c r="G771" s="88"/>
      <c r="H771" s="88"/>
      <c r="I771" s="86"/>
      <c r="J771" s="88"/>
    </row>
    <row r="772" spans="3:10" x14ac:dyDescent="0.3">
      <c r="C772" s="38"/>
      <c r="D772" s="88"/>
      <c r="E772" s="88"/>
      <c r="F772" s="88"/>
      <c r="G772" s="88"/>
      <c r="H772" s="88"/>
      <c r="I772" s="86"/>
      <c r="J772" s="88"/>
    </row>
    <row r="779" spans="3:10" ht="18" x14ac:dyDescent="0.35">
      <c r="C779" s="162"/>
      <c r="D779" s="162"/>
      <c r="E779" s="162"/>
      <c r="F779" s="162"/>
      <c r="G779" s="162"/>
      <c r="H779" s="162"/>
      <c r="I779" s="162"/>
      <c r="J779" s="162"/>
    </row>
    <row r="780" spans="3:10" x14ac:dyDescent="0.3">
      <c r="C780" s="38"/>
      <c r="D780" s="158" t="s">
        <v>444</v>
      </c>
      <c r="E780" s="25"/>
      <c r="F780" s="157" t="s">
        <v>405</v>
      </c>
      <c r="G780" s="157"/>
      <c r="H780" s="157"/>
      <c r="I780" s="158" t="s">
        <v>443</v>
      </c>
      <c r="J780" s="157"/>
    </row>
    <row r="781" spans="3:10" x14ac:dyDescent="0.3">
      <c r="C781" s="88">
        <v>1</v>
      </c>
      <c r="D781" s="88"/>
      <c r="F781" s="88"/>
      <c r="G781" s="88">
        <v>2.36</v>
      </c>
      <c r="H781" s="88">
        <v>29.9</v>
      </c>
      <c r="I781" s="86" t="s">
        <v>442</v>
      </c>
      <c r="J781" s="88"/>
    </row>
    <row r="782" spans="3:10" x14ac:dyDescent="0.3">
      <c r="C782" s="88">
        <v>2</v>
      </c>
      <c r="D782" s="88"/>
      <c r="E782" s="88"/>
      <c r="F782" s="88"/>
      <c r="G782" s="88">
        <v>3.23</v>
      </c>
      <c r="H782" s="88">
        <v>43.4</v>
      </c>
      <c r="I782" s="86" t="s">
        <v>441</v>
      </c>
      <c r="J782" s="88"/>
    </row>
    <row r="783" spans="3:10" x14ac:dyDescent="0.3">
      <c r="C783" s="88">
        <v>3</v>
      </c>
      <c r="D783" s="88"/>
      <c r="E783" s="88"/>
      <c r="F783" s="88"/>
      <c r="G783" s="88">
        <v>2.34</v>
      </c>
      <c r="H783" s="88">
        <v>29.6</v>
      </c>
      <c r="I783" s="86" t="s">
        <v>440</v>
      </c>
      <c r="J783" s="88"/>
    </row>
    <row r="784" spans="3:10" x14ac:dyDescent="0.3">
      <c r="C784" s="88">
        <v>4</v>
      </c>
      <c r="D784" s="88"/>
      <c r="E784" s="88"/>
      <c r="F784" s="88"/>
      <c r="G784" s="88"/>
      <c r="H784" s="88"/>
      <c r="I784" s="86"/>
      <c r="J784" s="88"/>
    </row>
    <row r="785" spans="1:10" x14ac:dyDescent="0.3">
      <c r="C785" s="88">
        <v>5</v>
      </c>
      <c r="D785" s="88"/>
      <c r="E785" s="88"/>
      <c r="F785" s="88"/>
      <c r="G785" s="88"/>
      <c r="H785" s="88"/>
      <c r="I785" s="86"/>
      <c r="J785" s="88"/>
    </row>
    <row r="786" spans="1:10" x14ac:dyDescent="0.3">
      <c r="C786" s="38"/>
      <c r="D786" s="88"/>
      <c r="E786" s="88"/>
      <c r="F786" s="88"/>
      <c r="G786" s="88"/>
      <c r="H786" s="88"/>
      <c r="I786" s="86"/>
      <c r="J786" s="88"/>
    </row>
    <row r="787" spans="1:10" x14ac:dyDescent="0.3">
      <c r="C787" s="38"/>
      <c r="D787" s="158" t="s">
        <v>439</v>
      </c>
      <c r="E787" s="25"/>
      <c r="F787" s="157" t="s">
        <v>405</v>
      </c>
      <c r="G787" s="157"/>
      <c r="H787" s="157"/>
      <c r="I787" s="158" t="s">
        <v>438</v>
      </c>
      <c r="J787" s="157"/>
    </row>
    <row r="788" spans="1:10" x14ac:dyDescent="0.3">
      <c r="C788" s="88">
        <v>1</v>
      </c>
      <c r="D788" s="88"/>
      <c r="F788" s="88"/>
      <c r="G788" s="88">
        <v>2.08</v>
      </c>
      <c r="H788" s="88">
        <v>24.1</v>
      </c>
      <c r="I788" s="86" t="s">
        <v>437</v>
      </c>
      <c r="J788" s="88"/>
    </row>
    <row r="789" spans="1:10" x14ac:dyDescent="0.3">
      <c r="C789" s="88">
        <v>2</v>
      </c>
      <c r="D789" s="88"/>
      <c r="E789" s="88"/>
      <c r="F789" s="88"/>
      <c r="G789" s="88">
        <v>2.31</v>
      </c>
      <c r="H789" s="88">
        <v>27.1</v>
      </c>
      <c r="I789" s="86" t="s">
        <v>436</v>
      </c>
      <c r="J789" s="88"/>
    </row>
    <row r="790" spans="1:10" x14ac:dyDescent="0.3">
      <c r="C790" s="88">
        <v>3</v>
      </c>
      <c r="D790" s="88"/>
      <c r="E790" s="88"/>
      <c r="F790" s="88"/>
      <c r="G790" s="88">
        <v>2.31</v>
      </c>
      <c r="H790" s="88">
        <v>27.1</v>
      </c>
      <c r="I790" s="86" t="s">
        <v>404</v>
      </c>
      <c r="J790" s="88"/>
    </row>
    <row r="791" spans="1:10" x14ac:dyDescent="0.3">
      <c r="C791" s="88">
        <v>4</v>
      </c>
      <c r="D791" s="88"/>
      <c r="E791" s="88"/>
      <c r="F791" s="88"/>
      <c r="G791" s="88">
        <v>2.09</v>
      </c>
      <c r="H791" s="88">
        <v>24.1</v>
      </c>
      <c r="I791" s="86" t="s">
        <v>402</v>
      </c>
      <c r="J791" s="88"/>
    </row>
    <row r="792" spans="1:10" x14ac:dyDescent="0.3">
      <c r="C792" s="88">
        <v>5</v>
      </c>
      <c r="D792" s="88"/>
      <c r="E792" s="88"/>
      <c r="F792" s="88"/>
      <c r="G792" s="88"/>
      <c r="H792" s="88"/>
      <c r="I792" s="86"/>
      <c r="J792" s="88"/>
    </row>
    <row r="793" spans="1:10" x14ac:dyDescent="0.3">
      <c r="C793" s="88">
        <v>6</v>
      </c>
      <c r="G793" s="88">
        <v>1.98</v>
      </c>
      <c r="H793" s="88">
        <v>23.3</v>
      </c>
      <c r="I793" s="95" t="s">
        <v>435</v>
      </c>
    </row>
    <row r="795" spans="1:10" x14ac:dyDescent="0.3">
      <c r="A795" s="395" t="s">
        <v>434</v>
      </c>
      <c r="B795" s="395"/>
      <c r="C795" s="395"/>
      <c r="D795" s="395"/>
      <c r="E795" s="395"/>
      <c r="F795" s="395"/>
      <c r="G795" s="395"/>
      <c r="H795" s="395"/>
      <c r="I795" s="395"/>
      <c r="J795" s="395"/>
    </row>
    <row r="797" spans="1:10" x14ac:dyDescent="0.3">
      <c r="D797" s="25" t="s">
        <v>433</v>
      </c>
      <c r="E797" s="18"/>
      <c r="F797" s="18"/>
    </row>
    <row r="798" spans="1:10" x14ac:dyDescent="0.3">
      <c r="D798" s="42" t="s">
        <v>432</v>
      </c>
      <c r="E798" s="42"/>
      <c r="G798" s="165">
        <v>0.67341293103448274</v>
      </c>
      <c r="H798" s="165"/>
    </row>
    <row r="799" spans="1:10" x14ac:dyDescent="0.3">
      <c r="D799" s="42" t="s">
        <v>431</v>
      </c>
      <c r="E799" s="42"/>
      <c r="G799" s="165">
        <v>0.49345511206896547</v>
      </c>
      <c r="H799" s="165"/>
    </row>
    <row r="800" spans="1:10" x14ac:dyDescent="0.3">
      <c r="D800" s="42" t="s">
        <v>430</v>
      </c>
      <c r="E800" s="42"/>
      <c r="G800" s="165">
        <v>0.41824024999999998</v>
      </c>
      <c r="H800" s="165"/>
    </row>
    <row r="802" spans="3:10" x14ac:dyDescent="0.3">
      <c r="D802" s="42" t="s">
        <v>429</v>
      </c>
      <c r="G802" s="58">
        <v>2.23</v>
      </c>
      <c r="H802" s="58"/>
    </row>
    <row r="803" spans="3:10" x14ac:dyDescent="0.3">
      <c r="D803" s="42" t="s">
        <v>428</v>
      </c>
      <c r="G803" s="58">
        <v>2.59</v>
      </c>
      <c r="H803" s="58"/>
    </row>
    <row r="804" spans="3:10" x14ac:dyDescent="0.3">
      <c r="D804" s="42" t="s">
        <v>427</v>
      </c>
      <c r="G804" s="58">
        <v>0.5</v>
      </c>
      <c r="H804" s="58"/>
    </row>
    <row r="805" spans="3:10" x14ac:dyDescent="0.3">
      <c r="D805" s="42" t="s">
        <v>426</v>
      </c>
      <c r="G805" s="58">
        <v>0.61</v>
      </c>
      <c r="H805" s="58"/>
    </row>
    <row r="810" spans="3:10" x14ac:dyDescent="0.3">
      <c r="C810" s="38"/>
      <c r="D810" s="158" t="s">
        <v>425</v>
      </c>
      <c r="E810" s="25"/>
      <c r="F810" s="157" t="s">
        <v>405</v>
      </c>
      <c r="G810" s="157">
        <f>F806</f>
        <v>0</v>
      </c>
      <c r="H810" s="157"/>
      <c r="I810" s="158"/>
      <c r="J810" s="157"/>
    </row>
    <row r="811" spans="3:10" x14ac:dyDescent="0.3">
      <c r="C811" s="88">
        <v>1</v>
      </c>
      <c r="D811" s="88"/>
      <c r="G811" s="110">
        <v>2.0349573275862069E-2</v>
      </c>
      <c r="H811" s="110">
        <v>0.30088245000000002</v>
      </c>
      <c r="I811" s="155" t="s">
        <v>904</v>
      </c>
      <c r="J811" s="88"/>
    </row>
    <row r="812" spans="3:10" x14ac:dyDescent="0.3">
      <c r="C812" s="88">
        <v>2</v>
      </c>
      <c r="D812" s="88"/>
      <c r="E812" s="88"/>
      <c r="F812" s="88"/>
      <c r="G812" s="110">
        <v>5.5097474999999995E-3</v>
      </c>
      <c r="H812" s="110">
        <v>7.2805744000000006E-2</v>
      </c>
      <c r="I812" s="155" t="s">
        <v>905</v>
      </c>
      <c r="J812" s="88"/>
    </row>
    <row r="813" spans="3:10" x14ac:dyDescent="0.3">
      <c r="C813" s="88">
        <v>3</v>
      </c>
      <c r="D813" s="88"/>
      <c r="E813" s="88"/>
      <c r="F813" s="88"/>
      <c r="G813" s="110">
        <v>3.2874493965517242E-3</v>
      </c>
      <c r="H813" s="110">
        <v>4.3621541E-2</v>
      </c>
      <c r="I813" s="155" t="s">
        <v>906</v>
      </c>
      <c r="J813" s="88"/>
    </row>
    <row r="814" spans="3:10" x14ac:dyDescent="0.3">
      <c r="C814" s="88">
        <v>4</v>
      </c>
      <c r="D814" s="88"/>
      <c r="E814" s="88"/>
      <c r="F814" s="88"/>
      <c r="G814" s="110">
        <v>1.2902080172413793E-2</v>
      </c>
      <c r="H814" s="110">
        <v>0.17080332000000001</v>
      </c>
      <c r="I814" s="155" t="s">
        <v>907</v>
      </c>
      <c r="J814" s="88"/>
    </row>
    <row r="815" spans="3:10" x14ac:dyDescent="0.3">
      <c r="C815" s="88">
        <v>5</v>
      </c>
      <c r="D815" s="88"/>
      <c r="E815" s="88"/>
      <c r="F815" s="88"/>
      <c r="G815" s="110">
        <v>1.1270806896551725E-2</v>
      </c>
      <c r="H815" s="110">
        <v>0.14916663999999999</v>
      </c>
      <c r="I815" s="155" t="s">
        <v>908</v>
      </c>
      <c r="J815" s="88"/>
    </row>
    <row r="816" spans="3:10" x14ac:dyDescent="0.3">
      <c r="C816" s="88">
        <v>6</v>
      </c>
      <c r="G816" s="110">
        <v>4.7969540517241371E-3</v>
      </c>
      <c r="H816" s="110">
        <v>6.3366251999999998E-2</v>
      </c>
      <c r="I816" s="155" t="s">
        <v>909</v>
      </c>
    </row>
    <row r="817" spans="3:9" x14ac:dyDescent="0.3">
      <c r="C817" s="88">
        <v>7</v>
      </c>
      <c r="G817" s="110">
        <v>2.8818706896551723E-3</v>
      </c>
      <c r="H817" s="110">
        <v>3.8254813999999998E-2</v>
      </c>
      <c r="I817" s="155" t="s">
        <v>910</v>
      </c>
    </row>
    <row r="818" spans="3:9" x14ac:dyDescent="0.3">
      <c r="C818" s="88"/>
      <c r="G818" s="110"/>
      <c r="H818" s="110"/>
      <c r="I818" s="155"/>
    </row>
    <row r="826" spans="3:9" x14ac:dyDescent="0.3">
      <c r="G826" s="163">
        <v>2.3061416379310344</v>
      </c>
      <c r="H826">
        <v>27.798991999999998</v>
      </c>
      <c r="I826" s="116" t="s">
        <v>911</v>
      </c>
    </row>
    <row r="827" spans="3:9" x14ac:dyDescent="0.3">
      <c r="G827" s="163">
        <v>2.0542687068965515</v>
      </c>
      <c r="H827">
        <v>23.605537999999999</v>
      </c>
      <c r="I827" s="116" t="s">
        <v>912</v>
      </c>
    </row>
    <row r="828" spans="3:9" x14ac:dyDescent="0.3">
      <c r="G828" s="163">
        <v>0.52509571551724132</v>
      </c>
      <c r="H828">
        <v>10.033813</v>
      </c>
      <c r="I828" s="116" t="s">
        <v>913</v>
      </c>
    </row>
    <row r="829" spans="3:9" x14ac:dyDescent="0.3">
      <c r="G829" s="163">
        <v>2.1042636206896552</v>
      </c>
      <c r="H829">
        <v>29.200471</v>
      </c>
      <c r="I829" s="116" t="s">
        <v>914</v>
      </c>
    </row>
    <row r="830" spans="3:9" x14ac:dyDescent="0.3">
      <c r="G830" s="163">
        <v>0</v>
      </c>
      <c r="H830">
        <v>0</v>
      </c>
      <c r="I830" s="116">
        <v>0</v>
      </c>
    </row>
    <row r="831" spans="3:9" x14ac:dyDescent="0.3">
      <c r="E831" t="s">
        <v>424</v>
      </c>
      <c r="F831" s="164"/>
      <c r="G831" s="163">
        <v>1.5183682758620689</v>
      </c>
      <c r="H831">
        <v>23.114318000000001</v>
      </c>
      <c r="I831" s="116" t="s">
        <v>915</v>
      </c>
    </row>
    <row r="832" spans="3:9" x14ac:dyDescent="0.3">
      <c r="F832" s="164"/>
      <c r="G832" s="163">
        <v>1.5183682758620689</v>
      </c>
      <c r="H832">
        <v>23.114318000000001</v>
      </c>
      <c r="I832" s="116" t="s">
        <v>916</v>
      </c>
    </row>
    <row r="839" spans="1:10" x14ac:dyDescent="0.3">
      <c r="G839" s="163"/>
      <c r="I839" s="116"/>
    </row>
    <row r="844" spans="1:10" ht="15.6" x14ac:dyDescent="0.3">
      <c r="A844" s="397" t="s">
        <v>423</v>
      </c>
      <c r="B844" s="397"/>
      <c r="C844" s="397"/>
      <c r="D844" s="397"/>
      <c r="E844" s="397"/>
      <c r="F844" s="397"/>
      <c r="G844" s="397"/>
      <c r="H844" s="397"/>
      <c r="I844" s="397"/>
      <c r="J844" s="397"/>
    </row>
    <row r="845" spans="1:10" x14ac:dyDescent="0.3">
      <c r="C845" s="38"/>
      <c r="D845" s="161" t="s">
        <v>422</v>
      </c>
      <c r="E845" s="17"/>
      <c r="F845" s="160"/>
      <c r="G845" s="160"/>
      <c r="H845" s="160"/>
      <c r="I845" s="161"/>
      <c r="J845" s="160"/>
    </row>
    <row r="846" spans="1:10" x14ac:dyDescent="0.3">
      <c r="C846" s="88"/>
      <c r="D846" s="88"/>
      <c r="F846" s="88"/>
      <c r="G846" s="88"/>
      <c r="H846" s="88"/>
      <c r="I846" s="139" t="s">
        <v>421</v>
      </c>
      <c r="J846" s="88"/>
    </row>
    <row r="847" spans="1:10" x14ac:dyDescent="0.3">
      <c r="C847" s="38"/>
      <c r="D847" s="88"/>
      <c r="E847" s="88"/>
      <c r="F847" s="88"/>
      <c r="G847" s="88"/>
      <c r="H847" s="88"/>
      <c r="I847" s="86"/>
      <c r="J847" s="88"/>
    </row>
    <row r="848" spans="1:10" x14ac:dyDescent="0.3">
      <c r="C848" s="38"/>
      <c r="D848" s="161" t="s">
        <v>420</v>
      </c>
      <c r="E848" s="17"/>
      <c r="F848" s="160"/>
      <c r="G848" s="160"/>
      <c r="H848" s="160"/>
      <c r="I848" s="161"/>
      <c r="J848" s="160"/>
    </row>
    <row r="849" spans="3:10" x14ac:dyDescent="0.3">
      <c r="C849" s="88"/>
      <c r="D849" s="88"/>
      <c r="F849" s="88"/>
      <c r="G849" s="88"/>
      <c r="H849" s="88"/>
      <c r="I849" s="139" t="s">
        <v>419</v>
      </c>
      <c r="J849" s="88"/>
    </row>
    <row r="851" spans="3:10" x14ac:dyDescent="0.3">
      <c r="C851" s="38"/>
      <c r="D851" s="161" t="s">
        <v>12</v>
      </c>
      <c r="E851" s="17"/>
      <c r="F851" s="160"/>
      <c r="G851" s="160"/>
      <c r="H851" s="160"/>
      <c r="I851" s="161"/>
      <c r="J851" s="160"/>
    </row>
    <row r="852" spans="3:10" ht="12" customHeight="1" x14ac:dyDescent="0.3">
      <c r="C852" s="88"/>
      <c r="D852" s="88"/>
      <c r="F852" s="88"/>
      <c r="G852" s="88"/>
      <c r="H852" s="88"/>
      <c r="I852" s="139" t="s">
        <v>418</v>
      </c>
      <c r="J852" s="88"/>
    </row>
    <row r="853" spans="3:10" x14ac:dyDescent="0.3">
      <c r="C853" s="38"/>
      <c r="D853" s="88"/>
      <c r="E853" s="88"/>
      <c r="F853" s="88"/>
      <c r="G853" s="88"/>
      <c r="H853" s="88"/>
      <c r="I853" s="86"/>
      <c r="J853" s="88"/>
    </row>
    <row r="854" spans="3:10" x14ac:dyDescent="0.3">
      <c r="C854" s="38"/>
      <c r="D854" s="161" t="s">
        <v>28</v>
      </c>
      <c r="E854" s="17"/>
      <c r="F854" s="160"/>
      <c r="G854" s="160"/>
      <c r="H854" s="160"/>
      <c r="I854" s="161"/>
      <c r="J854" s="160"/>
    </row>
    <row r="855" spans="3:10" x14ac:dyDescent="0.3">
      <c r="C855" s="88"/>
      <c r="D855" s="88"/>
      <c r="F855" s="88"/>
      <c r="G855" s="88"/>
      <c r="H855" s="88"/>
      <c r="I855" s="139" t="s">
        <v>417</v>
      </c>
      <c r="J855" s="88"/>
    </row>
    <row r="856" spans="3:10" ht="18" x14ac:dyDescent="0.35">
      <c r="C856" s="162"/>
      <c r="D856" s="162"/>
      <c r="E856" s="162"/>
      <c r="F856" s="162"/>
      <c r="G856" s="162"/>
      <c r="H856" s="162"/>
      <c r="I856" s="162"/>
      <c r="J856" s="162"/>
    </row>
    <row r="857" spans="3:10" x14ac:dyDescent="0.3">
      <c r="C857" s="38"/>
      <c r="D857" s="161" t="s">
        <v>416</v>
      </c>
      <c r="E857" s="17"/>
      <c r="F857" s="160"/>
      <c r="G857" s="160"/>
      <c r="H857" s="160"/>
      <c r="I857" s="161"/>
      <c r="J857" s="160"/>
    </row>
    <row r="858" spans="3:10" x14ac:dyDescent="0.3">
      <c r="C858" s="88"/>
      <c r="D858" s="88"/>
      <c r="F858" s="88"/>
      <c r="G858" s="88"/>
      <c r="H858" s="88"/>
      <c r="I858" s="139" t="s">
        <v>415</v>
      </c>
      <c r="J858" s="88"/>
    </row>
    <row r="859" spans="3:10" x14ac:dyDescent="0.3">
      <c r="C859" s="38"/>
      <c r="D859" s="88"/>
      <c r="E859" s="88"/>
      <c r="F859" s="88"/>
      <c r="G859" s="88"/>
      <c r="H859" s="88"/>
      <c r="I859" s="86"/>
      <c r="J859" s="88"/>
    </row>
    <row r="860" spans="3:10" x14ac:dyDescent="0.3">
      <c r="C860" s="38"/>
      <c r="D860" s="161" t="s">
        <v>113</v>
      </c>
      <c r="E860" s="17"/>
      <c r="F860" s="160"/>
      <c r="G860" s="160"/>
      <c r="H860" s="160"/>
      <c r="I860" s="161"/>
      <c r="J860" s="160"/>
    </row>
    <row r="861" spans="3:10" x14ac:dyDescent="0.3">
      <c r="C861" s="88"/>
      <c r="D861" s="88"/>
      <c r="F861" s="88"/>
      <c r="G861" s="88"/>
      <c r="H861" s="88"/>
      <c r="I861" s="139" t="s">
        <v>414</v>
      </c>
      <c r="J861" s="88"/>
    </row>
    <row r="870" spans="2:10" x14ac:dyDescent="0.3">
      <c r="B870" s="46"/>
      <c r="C870" s="46"/>
      <c r="D870" s="46"/>
      <c r="E870" s="46"/>
      <c r="F870" s="46"/>
      <c r="G870" s="46"/>
      <c r="H870" s="46"/>
      <c r="I870" s="159"/>
      <c r="J870" s="46"/>
    </row>
    <row r="873" spans="2:10" x14ac:dyDescent="0.3">
      <c r="D873" t="s">
        <v>413</v>
      </c>
    </row>
    <row r="874" spans="2:10" x14ac:dyDescent="0.3">
      <c r="E874" t="s">
        <v>411</v>
      </c>
      <c r="F874" t="s">
        <v>412</v>
      </c>
      <c r="G874">
        <v>0.47199999999999998</v>
      </c>
    </row>
    <row r="875" spans="2:10" x14ac:dyDescent="0.3">
      <c r="E875" t="s">
        <v>411</v>
      </c>
      <c r="F875" t="s">
        <v>410</v>
      </c>
      <c r="G875">
        <v>0.48299999999999998</v>
      </c>
    </row>
    <row r="877" spans="2:10" x14ac:dyDescent="0.3">
      <c r="E877" t="s">
        <v>409</v>
      </c>
      <c r="F877" t="s">
        <v>408</v>
      </c>
      <c r="G877">
        <v>8.5599999999999996E-2</v>
      </c>
      <c r="H877">
        <v>1.26</v>
      </c>
      <c r="I877" s="95" t="s">
        <v>407</v>
      </c>
    </row>
    <row r="882" spans="3:13" x14ac:dyDescent="0.3">
      <c r="C882" s="38"/>
      <c r="D882" s="158" t="s">
        <v>406</v>
      </c>
      <c r="E882" s="25"/>
      <c r="F882" s="157" t="s">
        <v>405</v>
      </c>
      <c r="G882" s="157">
        <f>F881</f>
        <v>0</v>
      </c>
      <c r="H882" s="157"/>
      <c r="I882" s="158"/>
      <c r="J882" s="157"/>
      <c r="K882" s="38"/>
      <c r="L882" s="38"/>
      <c r="M882" s="38"/>
    </row>
    <row r="883" spans="3:13" x14ac:dyDescent="0.3">
      <c r="C883" s="88">
        <v>1</v>
      </c>
      <c r="D883" s="88"/>
      <c r="F883" s="88"/>
      <c r="G883" s="156">
        <v>2.4180272413793102</v>
      </c>
      <c r="H883" s="156">
        <v>28.348735999999999</v>
      </c>
      <c r="I883" s="155" t="s">
        <v>917</v>
      </c>
      <c r="J883" s="88"/>
      <c r="K883" s="38"/>
      <c r="L883" s="38"/>
      <c r="M883" s="38"/>
    </row>
    <row r="884" spans="3:13" x14ac:dyDescent="0.3">
      <c r="C884" s="88">
        <v>2</v>
      </c>
      <c r="D884" s="88"/>
      <c r="E884" s="88"/>
      <c r="F884" s="88"/>
      <c r="G884" s="156">
        <v>2.0984544827586205</v>
      </c>
      <c r="H884" s="156">
        <v>24.551295</v>
      </c>
      <c r="I884" s="155" t="s">
        <v>918</v>
      </c>
      <c r="J884" s="88"/>
      <c r="K884" s="38"/>
      <c r="L884" s="38"/>
      <c r="M884" s="38"/>
    </row>
    <row r="885" spans="3:13" x14ac:dyDescent="0.3">
      <c r="C885" s="88">
        <v>3</v>
      </c>
      <c r="D885" s="88"/>
      <c r="E885" s="88"/>
      <c r="F885" s="88"/>
      <c r="G885" s="88">
        <v>2.31</v>
      </c>
      <c r="H885" s="88"/>
      <c r="I885" s="86" t="s">
        <v>401</v>
      </c>
      <c r="J885" s="88" t="s">
        <v>404</v>
      </c>
      <c r="K885" s="38" t="s">
        <v>403</v>
      </c>
      <c r="L885" s="38"/>
      <c r="M885" s="38"/>
    </row>
    <row r="886" spans="3:13" x14ac:dyDescent="0.3">
      <c r="C886" s="88">
        <v>4</v>
      </c>
      <c r="D886" s="88"/>
      <c r="E886" s="88"/>
      <c r="F886" s="88"/>
      <c r="G886" s="88">
        <v>2.09</v>
      </c>
      <c r="H886" s="88"/>
      <c r="I886" s="86" t="s">
        <v>401</v>
      </c>
      <c r="J886" s="88" t="s">
        <v>402</v>
      </c>
      <c r="K886" s="38"/>
      <c r="L886" s="38"/>
      <c r="M886" s="38"/>
    </row>
    <row r="887" spans="3:13" x14ac:dyDescent="0.3">
      <c r="C887" s="88"/>
      <c r="D887" s="88"/>
      <c r="E887" s="88"/>
      <c r="F887" s="88"/>
      <c r="G887" s="88">
        <v>2.48</v>
      </c>
      <c r="H887" s="88"/>
      <c r="I887" s="86" t="s">
        <v>401</v>
      </c>
      <c r="J887" s="88" t="s">
        <v>400</v>
      </c>
      <c r="K887" s="38"/>
      <c r="L887" s="38"/>
      <c r="M887" s="38"/>
    </row>
    <row r="888" spans="3:13" x14ac:dyDescent="0.3">
      <c r="C888" s="88"/>
      <c r="D888" s="88"/>
      <c r="E888" s="88"/>
      <c r="F888" s="88"/>
      <c r="G888" s="88"/>
      <c r="H888" s="88"/>
      <c r="I888" s="86"/>
      <c r="J888" s="88"/>
      <c r="K888" s="38"/>
      <c r="L888" s="38"/>
      <c r="M888" s="38"/>
    </row>
  </sheetData>
  <mergeCells count="21">
    <mergeCell ref="V404:X404"/>
    <mergeCell ref="R423:T423"/>
    <mergeCell ref="V423:X423"/>
    <mergeCell ref="A287:A346"/>
    <mergeCell ref="B2:N2"/>
    <mergeCell ref="D99:E99"/>
    <mergeCell ref="L100:Q100"/>
    <mergeCell ref="J111:J113"/>
    <mergeCell ref="A101:A174"/>
    <mergeCell ref="E115:E116"/>
    <mergeCell ref="A795:J795"/>
    <mergeCell ref="M403:R403"/>
    <mergeCell ref="A844:J844"/>
    <mergeCell ref="A354:A380"/>
    <mergeCell ref="A211:A286"/>
    <mergeCell ref="M422:R422"/>
    <mergeCell ref="B667:B680"/>
    <mergeCell ref="B681:B708"/>
    <mergeCell ref="A666:A721"/>
    <mergeCell ref="A638:A664"/>
    <mergeCell ref="R404:T40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8F8B-7783-4333-9E81-E9F98492663B}">
  <dimension ref="A3:AO71"/>
  <sheetViews>
    <sheetView topLeftCell="A28" zoomScale="55" zoomScaleNormal="55" workbookViewId="0">
      <selection activeCell="AH62" sqref="AH62"/>
    </sheetView>
  </sheetViews>
  <sheetFormatPr defaultRowHeight="14.4" x14ac:dyDescent="0.3"/>
  <cols>
    <col min="29" max="29" width="9" customWidth="1"/>
  </cols>
  <sheetData>
    <row r="3" spans="2:36" x14ac:dyDescent="0.3">
      <c r="B3" s="381" t="s">
        <v>1003</v>
      </c>
      <c r="C3" s="381"/>
      <c r="D3" s="381"/>
      <c r="E3" s="381"/>
      <c r="F3" s="381"/>
      <c r="G3" s="381"/>
      <c r="H3" s="381"/>
      <c r="I3" s="381"/>
      <c r="J3" s="381"/>
      <c r="K3" s="381"/>
    </row>
    <row r="6" spans="2:36" x14ac:dyDescent="0.3">
      <c r="C6" s="47">
        <v>2700</v>
      </c>
      <c r="D6" t="s">
        <v>703</v>
      </c>
    </row>
    <row r="7" spans="2:36" x14ac:dyDescent="0.3">
      <c r="C7" s="47">
        <v>1380</v>
      </c>
      <c r="D7" t="s">
        <v>706</v>
      </c>
      <c r="J7" s="42" t="s">
        <v>750</v>
      </c>
      <c r="AE7" t="s">
        <v>734</v>
      </c>
    </row>
    <row r="8" spans="2:36" x14ac:dyDescent="0.3">
      <c r="C8" s="47">
        <v>930</v>
      </c>
      <c r="D8" t="s">
        <v>705</v>
      </c>
      <c r="J8">
        <v>50</v>
      </c>
      <c r="K8">
        <v>3.22</v>
      </c>
      <c r="AE8" t="s">
        <v>735</v>
      </c>
    </row>
    <row r="9" spans="2:36" x14ac:dyDescent="0.3">
      <c r="C9" s="47">
        <v>8900</v>
      </c>
      <c r="D9" t="s">
        <v>711</v>
      </c>
      <c r="J9">
        <v>70</v>
      </c>
      <c r="K9">
        <v>3.67</v>
      </c>
    </row>
    <row r="10" spans="2:36" x14ac:dyDescent="0.3">
      <c r="J10">
        <v>95</v>
      </c>
      <c r="K10">
        <v>4.18</v>
      </c>
    </row>
    <row r="11" spans="2:36" x14ac:dyDescent="0.3">
      <c r="J11">
        <v>120</v>
      </c>
      <c r="K11">
        <v>4.63</v>
      </c>
    </row>
    <row r="12" spans="2:36" x14ac:dyDescent="0.3">
      <c r="J12">
        <v>150</v>
      </c>
      <c r="K12">
        <v>5.0999999999999996</v>
      </c>
    </row>
    <row r="13" spans="2:36" x14ac:dyDescent="0.3">
      <c r="J13">
        <v>185</v>
      </c>
      <c r="K13">
        <v>5.7</v>
      </c>
      <c r="AJ13">
        <f>5000/33</f>
        <v>151.5151515151515</v>
      </c>
    </row>
    <row r="14" spans="2:36" x14ac:dyDescent="0.3">
      <c r="J14">
        <v>240</v>
      </c>
      <c r="K14">
        <v>6.65</v>
      </c>
    </row>
    <row r="15" spans="2:36" x14ac:dyDescent="0.3">
      <c r="J15">
        <v>300</v>
      </c>
      <c r="K15">
        <v>7.55</v>
      </c>
    </row>
    <row r="16" spans="2:36" x14ac:dyDescent="0.3">
      <c r="J16" t="s">
        <v>751</v>
      </c>
    </row>
    <row r="20" spans="1:32" x14ac:dyDescent="0.3">
      <c r="C20" s="386" t="s">
        <v>736</v>
      </c>
      <c r="D20" s="386"/>
      <c r="G20" t="s">
        <v>698</v>
      </c>
    </row>
    <row r="21" spans="1:32" ht="86.4" x14ac:dyDescent="0.3">
      <c r="A21" s="224" t="s">
        <v>697</v>
      </c>
      <c r="B21" s="224" t="s">
        <v>719</v>
      </c>
      <c r="C21" s="224"/>
      <c r="D21" s="224"/>
      <c r="E21" s="224"/>
      <c r="F21" s="224"/>
      <c r="G21" s="224" t="s">
        <v>699</v>
      </c>
      <c r="H21" s="224"/>
      <c r="I21" s="224"/>
      <c r="J21" s="224"/>
      <c r="K21" s="224" t="s">
        <v>698</v>
      </c>
      <c r="L21" s="224" t="s">
        <v>701</v>
      </c>
      <c r="M21" s="224" t="s">
        <v>700</v>
      </c>
      <c r="N21" s="224" t="s">
        <v>702</v>
      </c>
      <c r="O21" s="229" t="s">
        <v>704</v>
      </c>
      <c r="P21" s="224" t="s">
        <v>709</v>
      </c>
      <c r="Q21" s="229" t="s">
        <v>707</v>
      </c>
      <c r="R21" s="224" t="s">
        <v>708</v>
      </c>
      <c r="S21" s="224"/>
      <c r="T21" s="224" t="s">
        <v>710</v>
      </c>
      <c r="U21" s="224" t="s">
        <v>712</v>
      </c>
      <c r="V21" s="229" t="s">
        <v>713</v>
      </c>
      <c r="W21" s="224" t="s">
        <v>714</v>
      </c>
      <c r="X21" s="224"/>
      <c r="Y21" s="224" t="s">
        <v>715</v>
      </c>
      <c r="Z21" s="224"/>
      <c r="AA21" s="229" t="s">
        <v>713</v>
      </c>
      <c r="AB21" s="224"/>
      <c r="AC21" s="224" t="s">
        <v>716</v>
      </c>
      <c r="AD21" s="224" t="s">
        <v>717</v>
      </c>
      <c r="AE21" s="229" t="s">
        <v>718</v>
      </c>
      <c r="AF21" s="224"/>
    </row>
    <row r="22" spans="1:32" x14ac:dyDescent="0.3">
      <c r="B22" t="s">
        <v>720</v>
      </c>
      <c r="C22" t="s">
        <v>734</v>
      </c>
      <c r="D22" t="s">
        <v>700</v>
      </c>
      <c r="E22" t="s">
        <v>696</v>
      </c>
      <c r="F22" t="s">
        <v>237</v>
      </c>
      <c r="G22" t="s">
        <v>237</v>
      </c>
      <c r="I22" t="s">
        <v>698</v>
      </c>
      <c r="K22" t="s">
        <v>1</v>
      </c>
      <c r="T22" t="s">
        <v>259</v>
      </c>
      <c r="W22" t="s">
        <v>698</v>
      </c>
      <c r="Y22" t="s">
        <v>259</v>
      </c>
      <c r="Z22" t="s">
        <v>1</v>
      </c>
    </row>
    <row r="23" spans="1:32" x14ac:dyDescent="0.3">
      <c r="A23">
        <v>50</v>
      </c>
      <c r="B23">
        <v>164</v>
      </c>
      <c r="C23">
        <f t="shared" ref="C23" si="0">-0.0015*A23^2 + 1.826*A23 + 132.55</f>
        <v>220.10000000000002</v>
      </c>
      <c r="D23">
        <f t="shared" ref="D23" si="1">1.2025*A23+191.9</f>
        <v>252.02500000000001</v>
      </c>
      <c r="E23">
        <f t="shared" ref="E23" si="2">SQRT(A23/PI())</f>
        <v>3.9894228040143269</v>
      </c>
      <c r="F23">
        <f t="shared" ref="F23" si="3">E23*2</f>
        <v>7.9788456080286538</v>
      </c>
      <c r="G23" s="225">
        <v>24.5</v>
      </c>
      <c r="H23" s="225">
        <f>(G23-F23)/2</f>
        <v>8.2605771959856735</v>
      </c>
      <c r="K23" s="225">
        <v>3.22</v>
      </c>
      <c r="L23">
        <f t="shared" ref="L23" si="4">(-10^(-5*(A23)^2))+0.0208*A23+2.2507</f>
        <v>3.2907000000000002</v>
      </c>
      <c r="M23">
        <f>0.0172*A23+2.4905</f>
        <v>3.3504999999999998</v>
      </c>
      <c r="N23">
        <f>A23/(1000*1000)*$C$6</f>
        <v>0.13500000000000001</v>
      </c>
      <c r="O23">
        <f>N23*3</f>
        <v>0.40500000000000003</v>
      </c>
      <c r="P23">
        <f t="shared" ref="P23" si="5">(PI()*(G23/2)^2-A23)/(1000*1000)*$C$8</f>
        <v>0.39193478024876605</v>
      </c>
      <c r="Q23">
        <f>P23*3</f>
        <v>1.1758043407462981</v>
      </c>
      <c r="R23">
        <f>Q23+O23</f>
        <v>1.5808043407462982</v>
      </c>
      <c r="T23" s="225">
        <v>9.1999999999999993</v>
      </c>
      <c r="U23">
        <f>T23/(1000*1000)*$C$9</f>
        <v>8.1879999999999994E-2</v>
      </c>
      <c r="V23">
        <f>3*U23</f>
        <v>0.24563999999999997</v>
      </c>
      <c r="W23">
        <v>0.7</v>
      </c>
      <c r="Y23">
        <f>PI()*((G23/2)+W23)^2-PI()*(G23/2)^2</f>
        <v>55.417694409323872</v>
      </c>
      <c r="Z23">
        <f t="shared" ref="Z23" si="6">Y23/(1000*1000)*$C$7</f>
        <v>7.647641828486694E-2</v>
      </c>
      <c r="AA23">
        <f>Z23*3</f>
        <v>0.22942925485460081</v>
      </c>
      <c r="AC23">
        <f>AA23+V23+R23</f>
        <v>2.0558735956008989</v>
      </c>
      <c r="AD23">
        <f>K23</f>
        <v>3.22</v>
      </c>
      <c r="AE23">
        <f>AD23-AC23</f>
        <v>1.1641264043991013</v>
      </c>
    </row>
    <row r="24" spans="1:32" x14ac:dyDescent="0.3">
      <c r="A24">
        <v>70</v>
      </c>
      <c r="B24">
        <v>203</v>
      </c>
      <c r="C24">
        <f t="shared" ref="C24:C25" si="7">-0.0015*A24^2 + 1.826*A24 + 132.55</f>
        <v>253.02000000000004</v>
      </c>
      <c r="D24">
        <f t="shared" ref="D24:D25" si="8">1.2025*A24+191.9</f>
        <v>276.07499999999999</v>
      </c>
      <c r="E24">
        <f t="shared" ref="E24:E25" si="9">SQRT(A24/PI())</f>
        <v>4.7203487194131482</v>
      </c>
      <c r="F24">
        <f t="shared" ref="F24:F25" si="10">E24*2</f>
        <v>9.4406974388262963</v>
      </c>
      <c r="G24" s="225">
        <v>26</v>
      </c>
      <c r="H24" s="225">
        <f>(G24-F24)/2</f>
        <v>8.279651280586851</v>
      </c>
      <c r="K24" s="225">
        <v>3.67</v>
      </c>
      <c r="L24">
        <f t="shared" ref="L24:L25" si="11">(-10^(-5*(A24)^2))+0.0208*A24+2.2507</f>
        <v>3.7067000000000001</v>
      </c>
      <c r="M24">
        <f t="shared" ref="M24:M25" si="12">0.0172*A24+2.4905</f>
        <v>3.6944999999999997</v>
      </c>
      <c r="N24">
        <f t="shared" ref="N24:N25" si="13">A24/(1000*1000)*$C$6</f>
        <v>0.18899999999999997</v>
      </c>
      <c r="O24">
        <f>N24*3</f>
        <v>0.56699999999999995</v>
      </c>
      <c r="P24">
        <f t="shared" ref="P24" si="14">(PI()*(G24/2)^2-A24)/(1000*1000)*$C$8</f>
        <v>0.42866411736470778</v>
      </c>
      <c r="Q24">
        <f>P24*3</f>
        <v>1.2859923520941234</v>
      </c>
      <c r="R24">
        <f>Q24+O24</f>
        <v>1.8529923520941234</v>
      </c>
      <c r="T24" s="225">
        <v>10.199999999999999</v>
      </c>
      <c r="U24">
        <f>T24/(1000*1000)*$C$9</f>
        <v>9.0779999999999986E-2</v>
      </c>
      <c r="V24">
        <f>3*U24</f>
        <v>0.27233999999999997</v>
      </c>
      <c r="W24">
        <v>1.7</v>
      </c>
      <c r="Y24">
        <f>PI()*((G24/2)+W24)^2-PI()*(G24/2)^2</f>
        <v>147.93759805754325</v>
      </c>
      <c r="Z24">
        <f t="shared" ref="Z24:Z25" si="15">Y24/(1000*1000)*$C$7</f>
        <v>0.20415388531940967</v>
      </c>
      <c r="AA24">
        <f>Z24*3</f>
        <v>0.61246165595822899</v>
      </c>
      <c r="AC24">
        <f>AA24+V24+R24</f>
        <v>2.7377940080523526</v>
      </c>
      <c r="AD24">
        <f>M24</f>
        <v>3.6944999999999997</v>
      </c>
      <c r="AE24">
        <f>AD24-AC24</f>
        <v>0.95670599194764705</v>
      </c>
    </row>
    <row r="25" spans="1:32" x14ac:dyDescent="0.3">
      <c r="A25">
        <v>95</v>
      </c>
      <c r="B25">
        <v>246</v>
      </c>
      <c r="C25">
        <f t="shared" si="7"/>
        <v>292.48250000000002</v>
      </c>
      <c r="D25">
        <f t="shared" si="8"/>
        <v>306.13749999999999</v>
      </c>
      <c r="E25">
        <f t="shared" si="9"/>
        <v>5.4990398423233957</v>
      </c>
      <c r="F25">
        <f t="shared" si="10"/>
        <v>10.998079684646791</v>
      </c>
      <c r="G25" s="225">
        <v>27.7</v>
      </c>
      <c r="H25" s="225">
        <f t="shared" ref="H25" si="16">(G25-F25)/2</f>
        <v>8.350960157676603</v>
      </c>
      <c r="K25" s="225">
        <v>4.18</v>
      </c>
      <c r="L25">
        <f t="shared" si="11"/>
        <v>4.2267000000000001</v>
      </c>
      <c r="M25">
        <f t="shared" si="12"/>
        <v>4.1244999999999994</v>
      </c>
      <c r="N25">
        <f t="shared" si="13"/>
        <v>0.25650000000000001</v>
      </c>
      <c r="O25">
        <f>N25*3</f>
        <v>0.76950000000000007</v>
      </c>
      <c r="P25">
        <f>(PI()*(G25/2)^2-A25)/(1000*1000)*$C$8</f>
        <v>0.47209418581770218</v>
      </c>
      <c r="Q25">
        <f>P25*3</f>
        <v>1.4162825574531066</v>
      </c>
      <c r="R25">
        <f>Q25+O25</f>
        <v>2.1857825574531065</v>
      </c>
      <c r="T25" s="225">
        <v>10.8</v>
      </c>
      <c r="U25">
        <f t="shared" ref="U25" si="17">T25/(1000*1000)*$C$9</f>
        <v>9.6119999999999997E-2</v>
      </c>
      <c r="V25">
        <f>3*U25</f>
        <v>0.28836000000000001</v>
      </c>
      <c r="W25">
        <v>1.7</v>
      </c>
      <c r="Y25">
        <f>PI()*((G25/2)+W25)^2-PI()*(G25/2)^2</f>
        <v>157.01680082641781</v>
      </c>
      <c r="Z25">
        <f t="shared" si="15"/>
        <v>0.21668318514045656</v>
      </c>
      <c r="AA25">
        <f>Z25*3</f>
        <v>0.65004955542136966</v>
      </c>
      <c r="AC25">
        <f>AA25+V25+R25</f>
        <v>3.1241921128744758</v>
      </c>
      <c r="AD25">
        <f>M25</f>
        <v>4.1244999999999994</v>
      </c>
      <c r="AE25">
        <f>AD25-AC25</f>
        <v>1.0003078871255235</v>
      </c>
    </row>
    <row r="26" spans="1:32" x14ac:dyDescent="0.3">
      <c r="A26">
        <v>120</v>
      </c>
      <c r="B26">
        <v>331</v>
      </c>
      <c r="C26">
        <f t="shared" ref="C26:C32" si="18">-0.0015*A26^2 + 1.826*A26 + 132.55</f>
        <v>330.07000000000005</v>
      </c>
      <c r="D26">
        <f t="shared" ref="D26:D32" si="19">1.2025*A26+191.9</f>
        <v>336.2</v>
      </c>
      <c r="E26">
        <f t="shared" ref="E26:E28" si="20">SQRT(A26/PI())</f>
        <v>6.1803872323710332</v>
      </c>
      <c r="F26">
        <f t="shared" ref="F26:F28" si="21">E26*2</f>
        <v>12.360774464742066</v>
      </c>
      <c r="G26" s="225">
        <v>29.1</v>
      </c>
      <c r="H26" s="225">
        <f t="shared" ref="H26:H28" si="22">(G26-F26)/2</f>
        <v>8.3696127676289684</v>
      </c>
      <c r="K26" s="225">
        <v>4.63</v>
      </c>
      <c r="L26">
        <f t="shared" ref="L26:L32" si="23">(-10^(-5*(A26)^2))+0.0208*A26+2.2507</f>
        <v>4.7467000000000006</v>
      </c>
      <c r="M26">
        <f t="shared" ref="M26:M32" si="24">0.0172*A26+2.4905</f>
        <v>4.5545</v>
      </c>
      <c r="N26">
        <f t="shared" ref="N26:N33" si="25">A26/(1000*1000)*$C$6</f>
        <v>0.32400000000000001</v>
      </c>
      <c r="O26">
        <f>N26*3</f>
        <v>0.97199999999999998</v>
      </c>
      <c r="P26">
        <f t="shared" ref="P26:P33" si="26">(PI()*(G26/2)^2-A26)/(1000*1000)*$C$8</f>
        <v>0.50692720743433162</v>
      </c>
      <c r="Q26">
        <f>P26*3</f>
        <v>1.5207816223029949</v>
      </c>
      <c r="R26">
        <f>Q26+O26</f>
        <v>2.4927816223029948</v>
      </c>
      <c r="T26" s="225">
        <v>11.3</v>
      </c>
      <c r="U26">
        <f t="shared" ref="U26:U33" si="27">T26/(1000*1000)*$C$9</f>
        <v>0.10057000000000001</v>
      </c>
      <c r="V26">
        <f>3*U26</f>
        <v>0.30171000000000003</v>
      </c>
      <c r="W26">
        <v>1.8</v>
      </c>
      <c r="Y26">
        <f>PI()*((G26/2)+W26)^2-PI()*(G26/2)^2</f>
        <v>174.7353833926644</v>
      </c>
      <c r="Z26">
        <f t="shared" ref="Z26:Z33" si="28">Y26/(1000*1000)*$C$7</f>
        <v>0.24113482908187689</v>
      </c>
      <c r="AA26">
        <f>Z26*3</f>
        <v>0.72340448724563067</v>
      </c>
      <c r="AC26">
        <f>AA26+V26+R26</f>
        <v>3.5178961095486256</v>
      </c>
      <c r="AD26">
        <f>M26</f>
        <v>4.5545</v>
      </c>
      <c r="AE26">
        <f>AD26-AC26</f>
        <v>1.0366038904513744</v>
      </c>
    </row>
    <row r="27" spans="1:32" x14ac:dyDescent="0.3">
      <c r="A27">
        <v>150</v>
      </c>
      <c r="B27">
        <v>372</v>
      </c>
      <c r="C27">
        <f t="shared" si="18"/>
        <v>372.70000000000005</v>
      </c>
      <c r="D27">
        <f t="shared" si="19"/>
        <v>372.27499999999998</v>
      </c>
      <c r="E27">
        <f t="shared" si="20"/>
        <v>6.90988298942671</v>
      </c>
      <c r="F27">
        <f t="shared" si="21"/>
        <v>13.81976597885342</v>
      </c>
      <c r="G27" s="225">
        <v>30.5</v>
      </c>
      <c r="H27" s="225">
        <f t="shared" si="22"/>
        <v>8.3401170105732909</v>
      </c>
      <c r="K27" s="225">
        <v>5.0999999999999996</v>
      </c>
      <c r="L27">
        <f t="shared" si="23"/>
        <v>5.3706999999999994</v>
      </c>
      <c r="M27">
        <f t="shared" si="24"/>
        <v>5.0705</v>
      </c>
      <c r="N27">
        <f t="shared" si="25"/>
        <v>0.40499999999999997</v>
      </c>
      <c r="O27">
        <f t="shared" ref="O27:O33" si="29">N27*3</f>
        <v>1.2149999999999999</v>
      </c>
      <c r="P27">
        <f t="shared" si="26"/>
        <v>0.53997347659544292</v>
      </c>
      <c r="Q27">
        <f t="shared" ref="Q27:Q33" si="30">P27*3</f>
        <v>1.6199204297863288</v>
      </c>
      <c r="R27">
        <f t="shared" ref="R27:R33" si="31">Q27+O27</f>
        <v>2.8349204297863286</v>
      </c>
      <c r="T27" s="225">
        <v>11.9</v>
      </c>
      <c r="U27">
        <f t="shared" si="27"/>
        <v>0.10590999999999999</v>
      </c>
      <c r="V27">
        <f t="shared" ref="V27:V33" si="32">3*U27</f>
        <v>0.31772999999999996</v>
      </c>
      <c r="W27" s="225">
        <v>1.8</v>
      </c>
      <c r="Y27">
        <f t="shared" ref="Y27:Y33" si="33">PI()*((G27/2)+W27)^2-PI()*(G27/2)^2</f>
        <v>182.65219687971069</v>
      </c>
      <c r="Z27">
        <f t="shared" si="28"/>
        <v>0.25206003169400076</v>
      </c>
      <c r="AA27">
        <f t="shared" ref="AA27:AA33" si="34">Z27*3</f>
        <v>0.75618009508200235</v>
      </c>
      <c r="AC27">
        <f t="shared" ref="AC27:AC33" si="35">AA27+V27+R27</f>
        <v>3.908830524868331</v>
      </c>
      <c r="AD27">
        <f t="shared" ref="AD27:AD33" si="36">M27</f>
        <v>5.0705</v>
      </c>
      <c r="AE27">
        <f t="shared" ref="AE27:AE33" si="37">AD27-AC27</f>
        <v>1.161669475131669</v>
      </c>
    </row>
    <row r="28" spans="1:32" x14ac:dyDescent="0.3">
      <c r="A28">
        <v>185</v>
      </c>
      <c r="B28">
        <v>420</v>
      </c>
      <c r="C28">
        <f t="shared" si="18"/>
        <v>419.02250000000004</v>
      </c>
      <c r="D28">
        <f t="shared" si="19"/>
        <v>414.36249999999995</v>
      </c>
      <c r="E28">
        <f t="shared" si="20"/>
        <v>7.6738079819605387</v>
      </c>
      <c r="F28">
        <f t="shared" si="21"/>
        <v>15.347615963921077</v>
      </c>
      <c r="G28" s="225">
        <v>32.200000000000003</v>
      </c>
      <c r="H28" s="225">
        <f t="shared" si="22"/>
        <v>8.4261920180394618</v>
      </c>
      <c r="K28" s="225">
        <v>5.7</v>
      </c>
      <c r="L28">
        <f t="shared" si="23"/>
        <v>6.0987</v>
      </c>
      <c r="M28">
        <f t="shared" si="24"/>
        <v>5.6724999999999994</v>
      </c>
      <c r="N28">
        <f t="shared" si="25"/>
        <v>0.4995</v>
      </c>
      <c r="O28">
        <f t="shared" si="29"/>
        <v>1.4984999999999999</v>
      </c>
      <c r="P28">
        <f t="shared" si="26"/>
        <v>0.58527897551541963</v>
      </c>
      <c r="Q28">
        <f t="shared" si="30"/>
        <v>1.7558369265462588</v>
      </c>
      <c r="R28">
        <f t="shared" si="31"/>
        <v>3.2543369265462587</v>
      </c>
      <c r="T28" s="225">
        <v>12.5</v>
      </c>
      <c r="U28">
        <f t="shared" si="27"/>
        <v>0.11125</v>
      </c>
      <c r="V28">
        <f t="shared" si="32"/>
        <v>0.33374999999999999</v>
      </c>
      <c r="W28" s="225">
        <v>1.9</v>
      </c>
      <c r="Y28">
        <f t="shared" si="33"/>
        <v>203.54378802608255</v>
      </c>
      <c r="Z28">
        <f t="shared" si="28"/>
        <v>0.28089042747599391</v>
      </c>
      <c r="AA28">
        <f t="shared" si="34"/>
        <v>0.84267128242798173</v>
      </c>
      <c r="AC28">
        <f t="shared" si="35"/>
        <v>4.4307582089742406</v>
      </c>
      <c r="AD28">
        <f t="shared" si="36"/>
        <v>5.6724999999999994</v>
      </c>
      <c r="AE28">
        <f t="shared" si="37"/>
        <v>1.2417417910257589</v>
      </c>
    </row>
    <row r="29" spans="1:32" s="2" customFormat="1" x14ac:dyDescent="0.3">
      <c r="A29" s="2">
        <v>240</v>
      </c>
      <c r="B29" s="2">
        <v>486</v>
      </c>
      <c r="C29" s="2">
        <f t="shared" si="18"/>
        <v>484.39000000000004</v>
      </c>
      <c r="D29" s="2">
        <f t="shared" si="19"/>
        <v>480.5</v>
      </c>
      <c r="E29" s="2">
        <f>SQRT(A29/PI())</f>
        <v>8.7403874447366334</v>
      </c>
      <c r="F29" s="2">
        <f>E29*2</f>
        <v>17.480774889473267</v>
      </c>
      <c r="G29" s="226">
        <v>34.6</v>
      </c>
      <c r="H29" s="226">
        <f>(G29-F29)/2</f>
        <v>8.5596125552633673</v>
      </c>
      <c r="J29" s="2" t="s">
        <v>241</v>
      </c>
      <c r="K29" s="226">
        <v>6.65</v>
      </c>
      <c r="L29" s="2">
        <f t="shared" si="23"/>
        <v>7.2427000000000001</v>
      </c>
      <c r="M29" s="2">
        <f t="shared" si="24"/>
        <v>6.6185</v>
      </c>
      <c r="N29" s="2">
        <f t="shared" si="25"/>
        <v>0.64800000000000002</v>
      </c>
      <c r="O29" s="2">
        <f t="shared" si="29"/>
        <v>1.944</v>
      </c>
      <c r="P29" s="2">
        <f t="shared" si="26"/>
        <v>0.65122995672238693</v>
      </c>
      <c r="Q29" s="2">
        <f t="shared" si="30"/>
        <v>1.9536898701671608</v>
      </c>
      <c r="R29" s="2">
        <f t="shared" si="31"/>
        <v>3.8976898701671607</v>
      </c>
      <c r="T29" s="226">
        <v>13.1</v>
      </c>
      <c r="U29" s="2">
        <f t="shared" si="27"/>
        <v>0.11659</v>
      </c>
      <c r="V29" s="2">
        <f t="shared" si="32"/>
        <v>0.34977000000000003</v>
      </c>
      <c r="W29" s="226">
        <v>2</v>
      </c>
      <c r="Y29" s="2">
        <f t="shared" si="33"/>
        <v>229.96458224277296</v>
      </c>
      <c r="Z29" s="2">
        <f t="shared" si="28"/>
        <v>0.3173511234950267</v>
      </c>
      <c r="AA29" s="2">
        <f t="shared" si="34"/>
        <v>0.9520533704850801</v>
      </c>
      <c r="AC29" s="2">
        <f t="shared" si="35"/>
        <v>5.1995132406522409</v>
      </c>
      <c r="AD29" s="2">
        <f t="shared" si="36"/>
        <v>6.6185</v>
      </c>
      <c r="AE29" s="2">
        <f t="shared" si="37"/>
        <v>1.4189867593477592</v>
      </c>
    </row>
    <row r="30" spans="1:32" x14ac:dyDescent="0.3">
      <c r="A30">
        <v>300</v>
      </c>
      <c r="B30">
        <v>547</v>
      </c>
      <c r="C30">
        <f t="shared" si="18"/>
        <v>545.35000000000014</v>
      </c>
      <c r="D30">
        <f t="shared" si="19"/>
        <v>552.65</v>
      </c>
      <c r="E30">
        <f t="shared" ref="E30:E33" si="38">SQRT(A30/PI())</f>
        <v>9.772050238058398</v>
      </c>
      <c r="F30">
        <f t="shared" ref="F30:F33" si="39">E30*2</f>
        <v>19.544100476116796</v>
      </c>
      <c r="G30" s="225">
        <v>36.6</v>
      </c>
      <c r="H30" s="225">
        <f>(G30-F30)/2</f>
        <v>8.5279497619416027</v>
      </c>
      <c r="K30" s="225">
        <v>7.55</v>
      </c>
      <c r="L30">
        <f t="shared" si="23"/>
        <v>8.4907000000000004</v>
      </c>
      <c r="M30">
        <f t="shared" si="24"/>
        <v>7.6505000000000001</v>
      </c>
      <c r="N30">
        <f t="shared" si="25"/>
        <v>0.80999999999999994</v>
      </c>
      <c r="O30">
        <f t="shared" si="29"/>
        <v>2.4299999999999997</v>
      </c>
      <c r="P30">
        <f t="shared" si="26"/>
        <v>0.69944180629743791</v>
      </c>
      <c r="Q30">
        <f t="shared" si="30"/>
        <v>2.0983254188923137</v>
      </c>
      <c r="R30">
        <f t="shared" si="31"/>
        <v>4.5283254188923134</v>
      </c>
      <c r="T30" s="225">
        <v>14.2</v>
      </c>
      <c r="U30">
        <f t="shared" si="27"/>
        <v>0.12637999999999999</v>
      </c>
      <c r="V30">
        <f t="shared" si="32"/>
        <v>0.37913999999999998</v>
      </c>
      <c r="W30" s="225">
        <v>2</v>
      </c>
      <c r="Y30">
        <f t="shared" si="33"/>
        <v>242.53095285713221</v>
      </c>
      <c r="Z30">
        <f t="shared" si="28"/>
        <v>0.33469271494284242</v>
      </c>
      <c r="AA30">
        <f t="shared" si="34"/>
        <v>1.0040781448285272</v>
      </c>
      <c r="AC30">
        <f t="shared" si="35"/>
        <v>5.9115435637208407</v>
      </c>
      <c r="AD30">
        <f t="shared" si="36"/>
        <v>7.6505000000000001</v>
      </c>
      <c r="AE30">
        <f t="shared" si="37"/>
        <v>1.7389564362791594</v>
      </c>
    </row>
    <row r="31" spans="1:32" x14ac:dyDescent="0.3">
      <c r="A31">
        <v>400</v>
      </c>
      <c r="C31">
        <f t="shared" si="18"/>
        <v>622.95000000000005</v>
      </c>
      <c r="D31">
        <f t="shared" si="19"/>
        <v>672.9</v>
      </c>
      <c r="E31">
        <f t="shared" si="38"/>
        <v>11.283791670955125</v>
      </c>
      <c r="F31">
        <f t="shared" si="39"/>
        <v>22.56758334191025</v>
      </c>
      <c r="G31" s="223">
        <f>F31+2*I31</f>
        <v>40.56758334191025</v>
      </c>
      <c r="I31">
        <v>9</v>
      </c>
      <c r="L31">
        <f t="shared" si="23"/>
        <v>10.5707</v>
      </c>
      <c r="M31">
        <f t="shared" si="24"/>
        <v>9.3704999999999998</v>
      </c>
      <c r="N31">
        <f t="shared" si="25"/>
        <v>1.08</v>
      </c>
      <c r="O31">
        <f t="shared" si="29"/>
        <v>3.24</v>
      </c>
      <c r="P31">
        <f t="shared" si="26"/>
        <v>0.83007372387808565</v>
      </c>
      <c r="Q31">
        <f t="shared" si="30"/>
        <v>2.490221171634257</v>
      </c>
      <c r="R31">
        <f t="shared" si="31"/>
        <v>5.7302211716342573</v>
      </c>
      <c r="T31" s="223">
        <v>16</v>
      </c>
      <c r="U31">
        <f t="shared" si="27"/>
        <v>0.1424</v>
      </c>
      <c r="V31">
        <f t="shared" si="32"/>
        <v>0.42720000000000002</v>
      </c>
      <c r="W31" s="223">
        <v>2.2000000000000002</v>
      </c>
      <c r="Y31">
        <f t="shared" si="33"/>
        <v>295.58831640521566</v>
      </c>
      <c r="Z31">
        <f t="shared" si="28"/>
        <v>0.40791187663919765</v>
      </c>
      <c r="AA31">
        <f t="shared" si="34"/>
        <v>1.223735629917593</v>
      </c>
      <c r="AC31" s="38">
        <f t="shared" si="35"/>
        <v>7.3811568015518505</v>
      </c>
      <c r="AD31">
        <f t="shared" si="36"/>
        <v>9.3704999999999998</v>
      </c>
      <c r="AE31">
        <f t="shared" si="37"/>
        <v>1.9893431984481493</v>
      </c>
    </row>
    <row r="32" spans="1:32" x14ac:dyDescent="0.3">
      <c r="A32">
        <v>500</v>
      </c>
      <c r="C32">
        <f t="shared" si="18"/>
        <v>670.55</v>
      </c>
      <c r="D32">
        <f t="shared" si="19"/>
        <v>793.15</v>
      </c>
      <c r="E32">
        <f t="shared" si="38"/>
        <v>12.6156626101008</v>
      </c>
      <c r="F32">
        <f t="shared" si="39"/>
        <v>25.231325220201601</v>
      </c>
      <c r="G32" s="223">
        <f t="shared" ref="G32:G33" si="40">F32+2*I32</f>
        <v>43.231325220201597</v>
      </c>
      <c r="I32">
        <v>9</v>
      </c>
      <c r="L32">
        <f t="shared" si="23"/>
        <v>12.650700000000001</v>
      </c>
      <c r="M32">
        <f t="shared" si="24"/>
        <v>11.090499999999999</v>
      </c>
      <c r="N32">
        <f t="shared" si="25"/>
        <v>1.35</v>
      </c>
      <c r="O32">
        <f t="shared" si="29"/>
        <v>4.0500000000000007</v>
      </c>
      <c r="P32">
        <f t="shared" si="26"/>
        <v>0.9001171642141651</v>
      </c>
      <c r="Q32">
        <f t="shared" si="30"/>
        <v>2.7003514926424952</v>
      </c>
      <c r="R32">
        <f t="shared" si="31"/>
        <v>6.7503514926424959</v>
      </c>
      <c r="T32" s="223">
        <v>18</v>
      </c>
      <c r="U32">
        <f t="shared" si="27"/>
        <v>0.16020000000000001</v>
      </c>
      <c r="V32">
        <f t="shared" si="32"/>
        <v>0.48060000000000003</v>
      </c>
      <c r="W32" s="223">
        <v>2.4</v>
      </c>
      <c r="Y32">
        <f t="shared" si="33"/>
        <v>344.05208660484459</v>
      </c>
      <c r="Z32">
        <f t="shared" si="28"/>
        <v>0.47479187951468549</v>
      </c>
      <c r="AA32">
        <f t="shared" si="34"/>
        <v>1.4243756385440565</v>
      </c>
      <c r="AC32" s="38">
        <f t="shared" si="35"/>
        <v>8.6553271311865529</v>
      </c>
      <c r="AD32">
        <f t="shared" si="36"/>
        <v>11.090499999999999</v>
      </c>
      <c r="AE32">
        <f t="shared" si="37"/>
        <v>2.4351728688134457</v>
      </c>
    </row>
    <row r="33" spans="1:41" s="2" customFormat="1" x14ac:dyDescent="0.3">
      <c r="A33" s="2">
        <v>600</v>
      </c>
      <c r="C33" s="2">
        <f>-0.0015*A33^2 + 1.826*A33 + 132.55</f>
        <v>688.15000000000009</v>
      </c>
      <c r="D33" s="2">
        <f>1.2025*A33+191.9</f>
        <v>913.39999999999986</v>
      </c>
      <c r="E33" s="2">
        <f t="shared" si="38"/>
        <v>13.81976597885342</v>
      </c>
      <c r="F33" s="2">
        <f t="shared" si="39"/>
        <v>27.63953195770684</v>
      </c>
      <c r="G33" s="227">
        <f t="shared" si="40"/>
        <v>45.639531957706836</v>
      </c>
      <c r="I33" s="2">
        <v>9</v>
      </c>
      <c r="L33" s="2">
        <f>(-10^(-5*(A33)^2))+0.0208*A33+2.2507</f>
        <v>14.730699999999999</v>
      </c>
      <c r="M33" s="2">
        <f>0.0172*A33+2.4905</f>
        <v>12.810500000000001</v>
      </c>
      <c r="N33" s="2">
        <f t="shared" si="25"/>
        <v>1.6199999999999999</v>
      </c>
      <c r="O33" s="2">
        <f t="shared" si="29"/>
        <v>4.8599999999999994</v>
      </c>
      <c r="P33" s="2">
        <f t="shared" si="26"/>
        <v>0.96344127467324292</v>
      </c>
      <c r="Q33" s="2">
        <f t="shared" si="30"/>
        <v>2.8903238240197289</v>
      </c>
      <c r="R33" s="2">
        <f t="shared" si="31"/>
        <v>7.7503238240197287</v>
      </c>
      <c r="T33" s="227">
        <v>20</v>
      </c>
      <c r="U33" s="2">
        <f t="shared" si="27"/>
        <v>0.17800000000000002</v>
      </c>
      <c r="V33" s="2">
        <f t="shared" si="32"/>
        <v>0.53400000000000003</v>
      </c>
      <c r="W33" s="227">
        <v>2.6</v>
      </c>
      <c r="Y33" s="2">
        <f t="shared" si="33"/>
        <v>394.02729394844914</v>
      </c>
      <c r="Z33" s="2">
        <f t="shared" si="28"/>
        <v>0.54375766564885986</v>
      </c>
      <c r="AA33" s="2">
        <f t="shared" si="34"/>
        <v>1.6312729969465796</v>
      </c>
      <c r="AC33" s="228">
        <f t="shared" si="35"/>
        <v>9.9155968209663072</v>
      </c>
      <c r="AD33" s="2">
        <f t="shared" si="36"/>
        <v>12.810500000000001</v>
      </c>
      <c r="AE33" s="2">
        <f t="shared" si="37"/>
        <v>2.8949031790336939</v>
      </c>
    </row>
    <row r="34" spans="1:41" x14ac:dyDescent="0.3">
      <c r="W34" t="s">
        <v>241</v>
      </c>
    </row>
    <row r="35" spans="1:41" x14ac:dyDescent="0.3">
      <c r="C35" s="42"/>
      <c r="D35" s="42"/>
      <c r="E35" s="42"/>
      <c r="F35" s="42"/>
      <c r="G35" s="42"/>
      <c r="H35" s="42"/>
      <c r="I35" s="42"/>
    </row>
    <row r="36" spans="1:41" x14ac:dyDescent="0.3">
      <c r="C36" s="42" t="s">
        <v>737</v>
      </c>
      <c r="D36" s="42"/>
      <c r="E36" s="42"/>
      <c r="F36" s="42" t="s">
        <v>738</v>
      </c>
      <c r="G36" s="42"/>
      <c r="H36" s="42"/>
      <c r="I36" s="42"/>
    </row>
    <row r="38" spans="1:41" x14ac:dyDescent="0.3">
      <c r="F38" t="s">
        <v>732</v>
      </c>
      <c r="S38" s="47" t="s">
        <v>749</v>
      </c>
      <c r="T38" s="47"/>
      <c r="U38" s="47"/>
      <c r="V38" s="47"/>
    </row>
    <row r="39" spans="1:41" x14ac:dyDescent="0.3">
      <c r="F39" t="s">
        <v>733</v>
      </c>
      <c r="S39" s="236" t="s">
        <v>743</v>
      </c>
      <c r="T39" s="237"/>
      <c r="U39" s="412" t="s">
        <v>635</v>
      </c>
      <c r="V39" s="413"/>
      <c r="AI39">
        <v>117</v>
      </c>
    </row>
    <row r="40" spans="1:41" x14ac:dyDescent="0.3">
      <c r="G40" t="s">
        <v>721</v>
      </c>
      <c r="H40">
        <f>5000/33</f>
        <v>151.5151515151515</v>
      </c>
      <c r="I40" t="s">
        <v>722</v>
      </c>
      <c r="J40">
        <f>10000/33</f>
        <v>303.030303030303</v>
      </c>
      <c r="K40" t="s">
        <v>723</v>
      </c>
      <c r="L40">
        <f>15000/33</f>
        <v>454.54545454545456</v>
      </c>
      <c r="S40" s="76"/>
      <c r="T40" s="18"/>
      <c r="U40" s="18" t="s">
        <v>741</v>
      </c>
      <c r="V40" s="238" t="s">
        <v>745</v>
      </c>
      <c r="AC40">
        <v>2.67</v>
      </c>
      <c r="AD40">
        <f>O23</f>
        <v>0.40500000000000003</v>
      </c>
      <c r="AE40">
        <f>Q23</f>
        <v>1.1758043407462981</v>
      </c>
      <c r="AF40">
        <f>V23</f>
        <v>0.24563999999999997</v>
      </c>
      <c r="AG40">
        <f>AA23</f>
        <v>0.22942925485460081</v>
      </c>
      <c r="AH40">
        <f>AE23</f>
        <v>1.1641264043991013</v>
      </c>
      <c r="AI40">
        <f>AC40*$AI$39</f>
        <v>312.39</v>
      </c>
      <c r="AJ40">
        <f t="shared" ref="AJ40:AM40" si="41">AD40*$AI$39</f>
        <v>47.385000000000005</v>
      </c>
      <c r="AK40">
        <f t="shared" si="41"/>
        <v>137.56910786731689</v>
      </c>
      <c r="AL40">
        <f t="shared" si="41"/>
        <v>28.739879999999996</v>
      </c>
      <c r="AM40">
        <f t="shared" si="41"/>
        <v>26.843222817988295</v>
      </c>
      <c r="AN40">
        <f>AH40*$AI$39</f>
        <v>136.20278931469485</v>
      </c>
      <c r="AO40">
        <f>AN40+AM40</f>
        <v>163.04601213268316</v>
      </c>
    </row>
    <row r="41" spans="1:41" x14ac:dyDescent="0.3">
      <c r="S41" s="76" t="s">
        <v>141</v>
      </c>
      <c r="T41" s="18"/>
      <c r="U41" s="18">
        <f>O29</f>
        <v>1.944</v>
      </c>
      <c r="V41" s="238">
        <f>O33</f>
        <v>4.8599999999999994</v>
      </c>
      <c r="AC41" s="1">
        <f>AC40/$AC$40</f>
        <v>1</v>
      </c>
      <c r="AD41" s="1">
        <f t="shared" ref="AD41:AH41" si="42">AD40/$AC$40</f>
        <v>0.15168539325842698</v>
      </c>
      <c r="AE41" s="1">
        <f t="shared" si="42"/>
        <v>0.44037615758288323</v>
      </c>
      <c r="AF41" s="1">
        <f t="shared" si="42"/>
        <v>9.1999999999999985E-2</v>
      </c>
      <c r="AG41" s="1">
        <f t="shared" si="42"/>
        <v>8.5928559870637009E-2</v>
      </c>
      <c r="AH41" s="1">
        <f t="shared" si="42"/>
        <v>0.43600239865134882</v>
      </c>
    </row>
    <row r="42" spans="1:41" x14ac:dyDescent="0.3">
      <c r="G42" t="s">
        <v>724</v>
      </c>
      <c r="H42">
        <f>5000/33</f>
        <v>151.5151515151515</v>
      </c>
      <c r="I42" t="s">
        <v>725</v>
      </c>
      <c r="J42">
        <f>10000/33</f>
        <v>303.030303030303</v>
      </c>
      <c r="K42" t="s">
        <v>726</v>
      </c>
      <c r="L42">
        <f>15000/33</f>
        <v>454.54545454545456</v>
      </c>
      <c r="M42" t="s">
        <v>727</v>
      </c>
      <c r="N42" t="s">
        <v>731</v>
      </c>
      <c r="O42">
        <f>25000/33</f>
        <v>757.57575757575762</v>
      </c>
      <c r="S42" s="76" t="s">
        <v>744</v>
      </c>
      <c r="T42" s="18"/>
      <c r="U42" s="18">
        <f>Q29</f>
        <v>1.9536898701671608</v>
      </c>
      <c r="V42" s="238">
        <f>Q33</f>
        <v>2.8903238240197289</v>
      </c>
      <c r="AC42">
        <f>K25</f>
        <v>4.18</v>
      </c>
      <c r="AD42">
        <f>O25</f>
        <v>0.76950000000000007</v>
      </c>
      <c r="AE42">
        <f>Q25</f>
        <v>1.4162825574531066</v>
      </c>
      <c r="AF42">
        <f>V25</f>
        <v>0.28836000000000001</v>
      </c>
      <c r="AG42">
        <f>AA25</f>
        <v>0.65004955542136966</v>
      </c>
      <c r="AH42">
        <f>AE25</f>
        <v>1.0003078871255235</v>
      </c>
    </row>
    <row r="43" spans="1:41" x14ac:dyDescent="0.3">
      <c r="S43" s="76" t="s">
        <v>678</v>
      </c>
      <c r="T43" s="18"/>
      <c r="U43" s="18">
        <f>V29</f>
        <v>0.34977000000000003</v>
      </c>
      <c r="V43" s="238">
        <f>V33</f>
        <v>0.53400000000000003</v>
      </c>
      <c r="AC43" s="1">
        <f>AC42/$AC$42</f>
        <v>1</v>
      </c>
      <c r="AD43" s="1">
        <f t="shared" ref="AD43:AH43" si="43">AD42/$AC$42</f>
        <v>0.18409090909090911</v>
      </c>
      <c r="AE43" s="1">
        <f t="shared" si="43"/>
        <v>0.33882357833806381</v>
      </c>
      <c r="AF43" s="1">
        <f t="shared" si="43"/>
        <v>6.8985645933014358E-2</v>
      </c>
      <c r="AG43" s="1">
        <f t="shared" si="43"/>
        <v>0.15551424770846164</v>
      </c>
      <c r="AH43" s="1">
        <f t="shared" si="43"/>
        <v>0.23930810696782862</v>
      </c>
    </row>
    <row r="44" spans="1:41" x14ac:dyDescent="0.3">
      <c r="G44" t="s">
        <v>728</v>
      </c>
      <c r="H44">
        <f>5000/33</f>
        <v>151.5151515151515</v>
      </c>
      <c r="I44" t="s">
        <v>729</v>
      </c>
      <c r="J44">
        <f>10000/33</f>
        <v>303.030303030303</v>
      </c>
      <c r="K44" t="s">
        <v>730</v>
      </c>
      <c r="L44">
        <f>15000/33</f>
        <v>454.54545454545456</v>
      </c>
      <c r="S44" s="76" t="s">
        <v>129</v>
      </c>
      <c r="T44" s="18"/>
      <c r="U44" s="18">
        <f>AA29+AE29</f>
        <v>2.3710401298328394</v>
      </c>
      <c r="V44" s="238">
        <f>AA33+AE33</f>
        <v>4.5261761759802734</v>
      </c>
      <c r="AC44">
        <f>K27</f>
        <v>5.0999999999999996</v>
      </c>
      <c r="AD44">
        <f>O27</f>
        <v>1.2149999999999999</v>
      </c>
      <c r="AE44">
        <f>Q27</f>
        <v>1.6199204297863288</v>
      </c>
      <c r="AF44">
        <f>V27</f>
        <v>0.31772999999999996</v>
      </c>
      <c r="AG44">
        <f>AA27</f>
        <v>0.75618009508200235</v>
      </c>
      <c r="AH44">
        <f>AE27</f>
        <v>1.161669475131669</v>
      </c>
    </row>
    <row r="45" spans="1:41" x14ac:dyDescent="0.3">
      <c r="F45" t="s">
        <v>739</v>
      </c>
      <c r="S45" s="76"/>
      <c r="T45" s="18"/>
      <c r="U45" s="18"/>
      <c r="V45" s="238"/>
      <c r="AC45" s="1">
        <f>AC44/$AC$44</f>
        <v>1</v>
      </c>
      <c r="AD45" s="1">
        <f t="shared" ref="AD45:AH45" si="44">AD44/$AC$44</f>
        <v>0.23823529411764705</v>
      </c>
      <c r="AE45" s="1">
        <f t="shared" si="44"/>
        <v>0.31763145682084881</v>
      </c>
      <c r="AF45" s="1">
        <f t="shared" si="44"/>
        <v>6.2299999999999994E-2</v>
      </c>
      <c r="AG45" s="1">
        <f t="shared" si="44"/>
        <v>0.14827060687882401</v>
      </c>
      <c r="AH45" s="1">
        <f t="shared" si="44"/>
        <v>0.22777832845719001</v>
      </c>
    </row>
    <row r="46" spans="1:41" x14ac:dyDescent="0.3">
      <c r="O46">
        <v>50000</v>
      </c>
      <c r="P46">
        <v>15000</v>
      </c>
      <c r="S46" s="76" t="s">
        <v>124</v>
      </c>
      <c r="T46" s="18"/>
      <c r="U46" s="18">
        <f>U41+U43</f>
        <v>2.2937699999999999</v>
      </c>
      <c r="V46" s="238">
        <f>V41+V43</f>
        <v>5.3939999999999992</v>
      </c>
      <c r="AC46">
        <f>K29</f>
        <v>6.65</v>
      </c>
      <c r="AD46">
        <f>O29</f>
        <v>1.944</v>
      </c>
      <c r="AE46">
        <f>Q29</f>
        <v>1.9536898701671608</v>
      </c>
      <c r="AF46">
        <f>V29</f>
        <v>0.34977000000000003</v>
      </c>
      <c r="AG46">
        <f>AA29</f>
        <v>0.9520533704850801</v>
      </c>
      <c r="AH46">
        <f>AE29</f>
        <v>1.4189867593477592</v>
      </c>
    </row>
    <row r="47" spans="1:41" x14ac:dyDescent="0.3">
      <c r="H47" t="s">
        <v>740</v>
      </c>
      <c r="O47">
        <f>O46/135</f>
        <v>370.37037037037038</v>
      </c>
      <c r="P47">
        <f>P46/33</f>
        <v>454.54545454545456</v>
      </c>
      <c r="S47" s="76" t="s">
        <v>746</v>
      </c>
      <c r="T47" s="18"/>
      <c r="U47" s="18">
        <f>U44+U42</f>
        <v>4.3247300000000006</v>
      </c>
      <c r="V47" s="238">
        <f>V44+V42</f>
        <v>7.4165000000000028</v>
      </c>
      <c r="AC47" s="1">
        <f>AC46/$AC$46</f>
        <v>1</v>
      </c>
      <c r="AD47" s="1">
        <f t="shared" ref="AD47:AH47" si="45">AD46/$AC$46</f>
        <v>0.29233082706766916</v>
      </c>
      <c r="AE47" s="1">
        <f t="shared" si="45"/>
        <v>0.2937879504010768</v>
      </c>
      <c r="AF47" s="1">
        <f t="shared" si="45"/>
        <v>5.259699248120301E-2</v>
      </c>
      <c r="AG47" s="1">
        <f t="shared" si="45"/>
        <v>0.14316592037369624</v>
      </c>
      <c r="AH47" s="1">
        <f t="shared" si="45"/>
        <v>0.21338146757109161</v>
      </c>
    </row>
    <row r="48" spans="1:41" x14ac:dyDescent="0.3">
      <c r="I48" t="s">
        <v>741</v>
      </c>
      <c r="J48">
        <f>D29</f>
        <v>480.5</v>
      </c>
      <c r="S48" s="76"/>
      <c r="T48" s="18"/>
      <c r="U48" s="18"/>
      <c r="V48" s="238"/>
    </row>
    <row r="49" spans="9:28" x14ac:dyDescent="0.3">
      <c r="I49" t="s">
        <v>742</v>
      </c>
      <c r="J49" t="s">
        <v>731</v>
      </c>
      <c r="K49">
        <f>D33</f>
        <v>913.39999999999986</v>
      </c>
      <c r="S49" s="76" t="s">
        <v>747</v>
      </c>
      <c r="T49" s="18"/>
      <c r="U49" s="18">
        <f>M29</f>
        <v>6.6185</v>
      </c>
      <c r="V49" s="238">
        <f>M33</f>
        <v>12.810500000000001</v>
      </c>
    </row>
    <row r="50" spans="9:28" x14ac:dyDescent="0.3">
      <c r="S50" s="239"/>
      <c r="T50" s="240"/>
      <c r="U50" s="240"/>
      <c r="V50" s="241"/>
    </row>
    <row r="59" spans="9:28" x14ac:dyDescent="0.3">
      <c r="AB59" t="s">
        <v>1742</v>
      </c>
    </row>
    <row r="60" spans="9:28" x14ac:dyDescent="0.3">
      <c r="N60" t="s">
        <v>1735</v>
      </c>
    </row>
    <row r="61" spans="9:28" x14ac:dyDescent="0.3">
      <c r="O61" t="s">
        <v>1736</v>
      </c>
      <c r="P61">
        <v>145</v>
      </c>
      <c r="Q61" t="s">
        <v>1737</v>
      </c>
      <c r="R61" t="s">
        <v>1738</v>
      </c>
      <c r="T61">
        <v>300</v>
      </c>
      <c r="U61" t="s">
        <v>259</v>
      </c>
      <c r="V61" t="s">
        <v>1739</v>
      </c>
      <c r="X61" t="s">
        <v>1741</v>
      </c>
      <c r="Z61">
        <v>5</v>
      </c>
      <c r="AA61" t="s">
        <v>1023</v>
      </c>
      <c r="AB61">
        <f>Z61*3</f>
        <v>15</v>
      </c>
    </row>
    <row r="62" spans="9:28" x14ac:dyDescent="0.3">
      <c r="P62">
        <v>123</v>
      </c>
      <c r="Q62" t="s">
        <v>1737</v>
      </c>
      <c r="R62" t="s">
        <v>1738</v>
      </c>
      <c r="T62">
        <v>300</v>
      </c>
      <c r="U62" t="s">
        <v>1740</v>
      </c>
      <c r="V62" t="s">
        <v>1739</v>
      </c>
      <c r="X62" t="s">
        <v>1741</v>
      </c>
      <c r="Z62">
        <v>5</v>
      </c>
      <c r="AA62" t="s">
        <v>1023</v>
      </c>
      <c r="AB62">
        <f>Z62*3</f>
        <v>15</v>
      </c>
    </row>
    <row r="66" spans="16:30" x14ac:dyDescent="0.3">
      <c r="R66" t="s">
        <v>1745</v>
      </c>
      <c r="T66" t="s">
        <v>1744</v>
      </c>
      <c r="V66" t="s">
        <v>1746</v>
      </c>
      <c r="Y66" t="s">
        <v>1747</v>
      </c>
      <c r="AB66" t="s">
        <v>1749</v>
      </c>
      <c r="AD66" t="s">
        <v>1750</v>
      </c>
    </row>
    <row r="67" spans="16:30" x14ac:dyDescent="0.3">
      <c r="P67">
        <v>145</v>
      </c>
      <c r="Q67" t="s">
        <v>1743</v>
      </c>
      <c r="R67">
        <v>300</v>
      </c>
      <c r="S67" t="s">
        <v>259</v>
      </c>
      <c r="T67">
        <v>18.100000000000001</v>
      </c>
      <c r="U67" t="s">
        <v>241</v>
      </c>
      <c r="V67">
        <v>90</v>
      </c>
      <c r="W67" t="s">
        <v>259</v>
      </c>
      <c r="Y67">
        <v>76</v>
      </c>
      <c r="Z67" t="s">
        <v>241</v>
      </c>
      <c r="AB67">
        <f>AD67+2*T67</f>
        <v>56.7</v>
      </c>
      <c r="AD67">
        <v>20.5</v>
      </c>
    </row>
    <row r="70" spans="16:30" x14ac:dyDescent="0.3">
      <c r="Q70" t="s">
        <v>1748</v>
      </c>
      <c r="R70">
        <f>R67/(1000*1000)*C6</f>
        <v>0.80999999999999994</v>
      </c>
      <c r="T70">
        <f>(PI()*(AB67/2)^2-R67)/(1000*1000)*$C$8</f>
        <v>2.0692208924180853</v>
      </c>
      <c r="V70">
        <f>V67/(1000*1000)*C9</f>
        <v>0.80100000000000005</v>
      </c>
      <c r="X70">
        <f>R70+T70+V70</f>
        <v>3.6802208924180855</v>
      </c>
    </row>
    <row r="71" spans="16:30" x14ac:dyDescent="0.3">
      <c r="X71">
        <f>Z62-X70</f>
        <v>1.3197791075819145</v>
      </c>
    </row>
  </sheetData>
  <mergeCells count="3">
    <mergeCell ref="C20:D20"/>
    <mergeCell ref="U39:V39"/>
    <mergeCell ref="B3:K3"/>
  </mergeCells>
  <phoneticPr fontId="3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CB77-A415-4D82-AB72-2EBB64F07E49}">
  <dimension ref="A2:AK572"/>
  <sheetViews>
    <sheetView tabSelected="1" zoomScale="60" zoomScaleNormal="60" workbookViewId="0">
      <selection activeCell="I85" sqref="I85"/>
    </sheetView>
  </sheetViews>
  <sheetFormatPr defaultRowHeight="14.4" x14ac:dyDescent="0.3"/>
  <cols>
    <col min="3" max="3" width="16.109375" bestFit="1" customWidth="1"/>
    <col min="7" max="7" width="12" bestFit="1" customWidth="1"/>
    <col min="9" max="9" width="16.21875" bestFit="1" customWidth="1"/>
    <col min="10" max="10" width="11" bestFit="1" customWidth="1"/>
    <col min="11" max="11" width="11.6640625" bestFit="1" customWidth="1"/>
    <col min="13" max="13" width="10" bestFit="1" customWidth="1"/>
    <col min="16" max="16" width="12" bestFit="1" customWidth="1"/>
    <col min="17" max="20" width="9.44140625" bestFit="1" customWidth="1"/>
    <col min="21" max="21" width="9.88671875" customWidth="1"/>
    <col min="25" max="25" width="10.5546875" customWidth="1"/>
    <col min="29" max="29" width="11" bestFit="1" customWidth="1"/>
    <col min="30" max="30" width="11.6640625" bestFit="1" customWidth="1"/>
    <col min="31" max="31" width="10" bestFit="1" customWidth="1"/>
    <col min="33" max="33" width="16.6640625" customWidth="1"/>
  </cols>
  <sheetData>
    <row r="2" spans="1:29" x14ac:dyDescent="0.3">
      <c r="A2" s="376" t="s">
        <v>779</v>
      </c>
      <c r="B2" s="376"/>
      <c r="C2" s="376"/>
      <c r="D2" s="376"/>
      <c r="E2" s="376"/>
      <c r="F2" s="376"/>
      <c r="G2" s="376"/>
    </row>
    <row r="4" spans="1:29" x14ac:dyDescent="0.3">
      <c r="C4" t="s">
        <v>803</v>
      </c>
      <c r="E4">
        <v>2</v>
      </c>
      <c r="F4" t="s">
        <v>777</v>
      </c>
      <c r="G4">
        <f>12.5/2</f>
        <v>6.25</v>
      </c>
      <c r="H4" t="s">
        <v>804</v>
      </c>
    </row>
    <row r="6" spans="1:29" x14ac:dyDescent="0.3">
      <c r="C6" t="s">
        <v>769</v>
      </c>
    </row>
    <row r="7" spans="1:29" x14ac:dyDescent="0.3">
      <c r="C7" t="s">
        <v>763</v>
      </c>
      <c r="F7" t="s">
        <v>766</v>
      </c>
      <c r="G7" t="s">
        <v>767</v>
      </c>
      <c r="I7" t="s">
        <v>768</v>
      </c>
      <c r="T7" s="1">
        <f>T13+T15+T16</f>
        <v>0.23813569607962132</v>
      </c>
    </row>
    <row r="8" spans="1:29" x14ac:dyDescent="0.3">
      <c r="C8" t="s">
        <v>764</v>
      </c>
      <c r="F8" t="s">
        <v>1</v>
      </c>
      <c r="G8" s="147">
        <v>1</v>
      </c>
      <c r="H8" s="147">
        <v>0.75</v>
      </c>
      <c r="I8" s="147">
        <v>1</v>
      </c>
      <c r="J8" s="147">
        <v>0.75</v>
      </c>
    </row>
    <row r="9" spans="1:29" x14ac:dyDescent="0.3">
      <c r="D9" s="58">
        <v>6000</v>
      </c>
      <c r="E9" t="s">
        <v>765</v>
      </c>
      <c r="F9" s="58">
        <v>14200</v>
      </c>
      <c r="G9">
        <v>96.8</v>
      </c>
      <c r="H9">
        <v>96.7</v>
      </c>
      <c r="I9">
        <v>0.88</v>
      </c>
      <c r="J9">
        <v>0.87</v>
      </c>
      <c r="L9" t="s">
        <v>775</v>
      </c>
      <c r="N9" t="s">
        <v>771</v>
      </c>
    </row>
    <row r="10" spans="1:29" x14ac:dyDescent="0.3">
      <c r="Q10" s="247" t="s">
        <v>808</v>
      </c>
      <c r="R10" s="230"/>
      <c r="S10" s="230"/>
      <c r="T10" s="230"/>
      <c r="U10" s="230"/>
      <c r="V10" s="230">
        <v>14000</v>
      </c>
      <c r="W10" s="230"/>
      <c r="X10" s="231"/>
      <c r="Z10">
        <v>6250</v>
      </c>
    </row>
    <row r="11" spans="1:29" x14ac:dyDescent="0.3">
      <c r="Q11" s="6" t="s">
        <v>765</v>
      </c>
      <c r="S11">
        <v>9400</v>
      </c>
      <c r="T11" t="s">
        <v>817</v>
      </c>
      <c r="X11" s="85">
        <f>SUM(X12:X26)</f>
        <v>34232.79524214103</v>
      </c>
      <c r="AC11">
        <f>SUM(AC12:AC26)</f>
        <v>42821.875</v>
      </c>
    </row>
    <row r="12" spans="1:29" x14ac:dyDescent="0.3">
      <c r="D12" s="58">
        <v>6200</v>
      </c>
      <c r="F12" s="58">
        <v>12720</v>
      </c>
      <c r="L12" t="s">
        <v>774</v>
      </c>
      <c r="N12" t="s">
        <v>770</v>
      </c>
      <c r="Q12" s="6" t="s">
        <v>810</v>
      </c>
      <c r="S12">
        <v>14092</v>
      </c>
      <c r="T12" s="1">
        <f t="shared" ref="T12:T26" si="0">S12/$S$24</f>
        <v>0.57013391592830842</v>
      </c>
      <c r="V12">
        <f t="shared" ref="V12:V26" si="1">T12*$V$10</f>
        <v>7981.8748229963176</v>
      </c>
      <c r="W12">
        <v>2</v>
      </c>
      <c r="X12" s="85">
        <f>W12*V12</f>
        <v>15963.749645992635</v>
      </c>
      <c r="Z12">
        <v>1.4990000000000001</v>
      </c>
      <c r="AA12">
        <f t="shared" ref="AA12:AA26" si="2">$Z$10*Z12</f>
        <v>9368.75</v>
      </c>
      <c r="AB12">
        <f>W12</f>
        <v>2</v>
      </c>
      <c r="AC12">
        <f>AA12*AB12</f>
        <v>18737.5</v>
      </c>
    </row>
    <row r="13" spans="1:29" x14ac:dyDescent="0.3">
      <c r="D13">
        <v>6900</v>
      </c>
      <c r="F13">
        <v>12990</v>
      </c>
      <c r="Q13" s="6" t="s">
        <v>809</v>
      </c>
      <c r="S13">
        <v>2644</v>
      </c>
      <c r="T13" s="1">
        <f t="shared" si="0"/>
        <v>0.10697091070922847</v>
      </c>
      <c r="V13">
        <f t="shared" si="1"/>
        <v>1497.5927499291986</v>
      </c>
      <c r="W13">
        <v>2</v>
      </c>
      <c r="X13" s="85">
        <f t="shared" ref="X13:X25" si="3">W13*V13</f>
        <v>2995.1854998583972</v>
      </c>
      <c r="Z13">
        <v>0.49399999999999999</v>
      </c>
      <c r="AA13">
        <f t="shared" si="2"/>
        <v>3087.5</v>
      </c>
      <c r="AB13">
        <f t="shared" ref="AB13:AB26" si="4">W13</f>
        <v>2</v>
      </c>
      <c r="AC13">
        <f t="shared" ref="AC13:AC26" si="5">AA13*AB13</f>
        <v>6175</v>
      </c>
    </row>
    <row r="14" spans="1:29" x14ac:dyDescent="0.3">
      <c r="D14">
        <v>7500</v>
      </c>
      <c r="F14">
        <v>13640</v>
      </c>
      <c r="Q14" s="6" t="s">
        <v>113</v>
      </c>
      <c r="S14">
        <v>2767</v>
      </c>
      <c r="T14" s="1">
        <f t="shared" si="0"/>
        <v>0.11194724278836428</v>
      </c>
      <c r="V14">
        <f t="shared" si="1"/>
        <v>1567.2613990370999</v>
      </c>
      <c r="W14">
        <v>6</v>
      </c>
      <c r="X14" s="85">
        <f t="shared" si="3"/>
        <v>9403.5683942225987</v>
      </c>
      <c r="Z14">
        <v>0.29399999999999998</v>
      </c>
      <c r="AA14">
        <f t="shared" si="2"/>
        <v>1837.5</v>
      </c>
      <c r="AB14">
        <f t="shared" si="4"/>
        <v>6</v>
      </c>
      <c r="AC14">
        <f t="shared" si="5"/>
        <v>11025</v>
      </c>
    </row>
    <row r="15" spans="1:29" x14ac:dyDescent="0.3">
      <c r="D15">
        <v>8000</v>
      </c>
      <c r="F15">
        <v>14030</v>
      </c>
      <c r="Q15" s="6" t="s">
        <v>811</v>
      </c>
      <c r="S15">
        <v>2782</v>
      </c>
      <c r="T15" s="1">
        <f t="shared" si="0"/>
        <v>0.11255411255411256</v>
      </c>
      <c r="V15">
        <f t="shared" si="1"/>
        <v>1575.7575757575758</v>
      </c>
      <c r="W15">
        <v>2</v>
      </c>
      <c r="X15" s="85">
        <f t="shared" si="3"/>
        <v>3151.5151515151515</v>
      </c>
      <c r="Z15">
        <v>0.29599999999999999</v>
      </c>
      <c r="AA15">
        <f t="shared" si="2"/>
        <v>1850</v>
      </c>
      <c r="AB15">
        <f t="shared" si="4"/>
        <v>2</v>
      </c>
      <c r="AC15">
        <f t="shared" si="5"/>
        <v>3700</v>
      </c>
    </row>
    <row r="16" spans="1:29" x14ac:dyDescent="0.3">
      <c r="Q16" s="6" t="s">
        <v>23</v>
      </c>
      <c r="S16">
        <v>460</v>
      </c>
      <c r="T16" s="1">
        <f t="shared" si="0"/>
        <v>1.8610672816280292E-2</v>
      </c>
      <c r="V16">
        <f t="shared" si="1"/>
        <v>260.54941942792408</v>
      </c>
      <c r="W16">
        <v>2</v>
      </c>
      <c r="X16" s="85">
        <f t="shared" si="3"/>
        <v>521.09883885584816</v>
      </c>
      <c r="Z16">
        <v>4.9000000000000002E-2</v>
      </c>
      <c r="AA16">
        <f t="shared" si="2"/>
        <v>306.25</v>
      </c>
      <c r="AB16">
        <f t="shared" si="4"/>
        <v>2</v>
      </c>
      <c r="AC16">
        <f t="shared" si="5"/>
        <v>612.5</v>
      </c>
    </row>
    <row r="17" spans="4:29" x14ac:dyDescent="0.3">
      <c r="Q17" s="6" t="s">
        <v>812</v>
      </c>
      <c r="S17">
        <v>385</v>
      </c>
      <c r="T17" s="1">
        <f t="shared" si="0"/>
        <v>1.5576323987538941E-2</v>
      </c>
      <c r="V17">
        <f t="shared" si="1"/>
        <v>218.06853582554518</v>
      </c>
      <c r="W17">
        <v>5</v>
      </c>
      <c r="X17" s="85">
        <f t="shared" si="3"/>
        <v>1090.3426791277259</v>
      </c>
      <c r="Z17">
        <v>4.1000000000000002E-2</v>
      </c>
      <c r="AA17">
        <f t="shared" si="2"/>
        <v>256.25</v>
      </c>
      <c r="AB17">
        <f t="shared" si="4"/>
        <v>5</v>
      </c>
      <c r="AC17">
        <f t="shared" si="5"/>
        <v>1281.25</v>
      </c>
    </row>
    <row r="18" spans="4:29" x14ac:dyDescent="0.3">
      <c r="Q18" s="6" t="s">
        <v>813</v>
      </c>
      <c r="S18">
        <v>6</v>
      </c>
      <c r="T18" s="1">
        <f t="shared" si="0"/>
        <v>2.4274790629930817E-4</v>
      </c>
      <c r="V18">
        <f t="shared" si="1"/>
        <v>3.3984706881903142</v>
      </c>
      <c r="W18">
        <v>5</v>
      </c>
      <c r="X18" s="85">
        <f t="shared" si="3"/>
        <v>16.992353440951572</v>
      </c>
      <c r="Z18">
        <v>5.9999999999999995E-4</v>
      </c>
      <c r="AA18">
        <f t="shared" si="2"/>
        <v>3.7499999999999996</v>
      </c>
      <c r="AB18">
        <f t="shared" si="4"/>
        <v>5</v>
      </c>
      <c r="AC18">
        <f t="shared" si="5"/>
        <v>18.749999999999996</v>
      </c>
    </row>
    <row r="19" spans="4:29" x14ac:dyDescent="0.3">
      <c r="D19">
        <v>7600</v>
      </c>
      <c r="F19">
        <v>13050</v>
      </c>
      <c r="L19" t="s">
        <v>772</v>
      </c>
      <c r="N19" t="s">
        <v>770</v>
      </c>
      <c r="Q19" s="6" t="s">
        <v>138</v>
      </c>
      <c r="S19">
        <v>20</v>
      </c>
      <c r="T19" s="1">
        <f t="shared" si="0"/>
        <v>8.0915968766436051E-4</v>
      </c>
      <c r="V19">
        <f t="shared" si="1"/>
        <v>11.328235627301048</v>
      </c>
      <c r="W19">
        <v>5</v>
      </c>
      <c r="X19" s="85">
        <f t="shared" si="3"/>
        <v>56.641178136505239</v>
      </c>
      <c r="Z19">
        <v>2E-3</v>
      </c>
      <c r="AA19">
        <f t="shared" si="2"/>
        <v>12.5</v>
      </c>
      <c r="AB19">
        <f t="shared" si="4"/>
        <v>5</v>
      </c>
      <c r="AC19">
        <f t="shared" si="5"/>
        <v>62.5</v>
      </c>
    </row>
    <row r="20" spans="4:29" x14ac:dyDescent="0.3">
      <c r="D20">
        <v>7100</v>
      </c>
      <c r="F20">
        <v>12780</v>
      </c>
      <c r="Q20" s="6" t="s">
        <v>797</v>
      </c>
      <c r="S20">
        <v>7</v>
      </c>
      <c r="T20" s="1">
        <f t="shared" si="0"/>
        <v>2.8320589068252618E-4</v>
      </c>
      <c r="V20">
        <f t="shared" si="1"/>
        <v>3.9648824695553664</v>
      </c>
      <c r="W20">
        <v>5</v>
      </c>
      <c r="X20" s="85">
        <f t="shared" si="3"/>
        <v>19.824412347776832</v>
      </c>
      <c r="Z20">
        <v>6.9999999999999999E-4</v>
      </c>
      <c r="AA20">
        <f t="shared" si="2"/>
        <v>4.375</v>
      </c>
      <c r="AB20">
        <f t="shared" si="4"/>
        <v>5</v>
      </c>
      <c r="AC20">
        <f t="shared" si="5"/>
        <v>21.875</v>
      </c>
    </row>
    <row r="21" spans="4:29" x14ac:dyDescent="0.3">
      <c r="D21" s="58">
        <v>6300</v>
      </c>
      <c r="F21" s="58">
        <v>12210</v>
      </c>
      <c r="Q21" s="6" t="s">
        <v>814</v>
      </c>
      <c r="S21">
        <v>29</v>
      </c>
      <c r="T21" s="1">
        <f t="shared" si="0"/>
        <v>1.1732815471133227E-3</v>
      </c>
      <c r="V21">
        <f t="shared" si="1"/>
        <v>16.425941659586517</v>
      </c>
      <c r="X21" s="85">
        <f t="shared" si="3"/>
        <v>0</v>
      </c>
      <c r="Z21">
        <v>3.0000000000000001E-3</v>
      </c>
      <c r="AA21">
        <f t="shared" si="2"/>
        <v>18.75</v>
      </c>
      <c r="AB21">
        <f t="shared" si="4"/>
        <v>0</v>
      </c>
      <c r="AC21">
        <f t="shared" si="5"/>
        <v>0</v>
      </c>
    </row>
    <row r="22" spans="4:29" x14ac:dyDescent="0.3">
      <c r="D22">
        <v>5600</v>
      </c>
      <c r="F22">
        <v>9500</v>
      </c>
      <c r="Q22" s="6" t="s">
        <v>815</v>
      </c>
      <c r="S22">
        <v>12</v>
      </c>
      <c r="T22" s="1">
        <f t="shared" si="0"/>
        <v>4.8549581259861634E-4</v>
      </c>
      <c r="V22">
        <f t="shared" si="1"/>
        <v>6.7969413763806283</v>
      </c>
      <c r="X22" s="85">
        <f t="shared" si="3"/>
        <v>0</v>
      </c>
      <c r="Z22">
        <v>1E-3</v>
      </c>
      <c r="AA22">
        <f t="shared" si="2"/>
        <v>6.25</v>
      </c>
      <c r="AB22">
        <f t="shared" si="4"/>
        <v>0</v>
      </c>
      <c r="AC22">
        <f t="shared" si="5"/>
        <v>0</v>
      </c>
    </row>
    <row r="23" spans="4:29" x14ac:dyDescent="0.3">
      <c r="Q23" s="6" t="s">
        <v>816</v>
      </c>
      <c r="S23">
        <v>1513</v>
      </c>
      <c r="T23" s="1">
        <f t="shared" si="0"/>
        <v>6.1212930371808874E-2</v>
      </c>
      <c r="V23">
        <f t="shared" si="1"/>
        <v>856.98102520532427</v>
      </c>
      <c r="X23" s="85">
        <f t="shared" si="3"/>
        <v>0</v>
      </c>
      <c r="Z23">
        <v>0.161</v>
      </c>
      <c r="AA23">
        <f t="shared" si="2"/>
        <v>1006.25</v>
      </c>
      <c r="AB23">
        <f t="shared" si="4"/>
        <v>0</v>
      </c>
      <c r="AC23">
        <f t="shared" si="5"/>
        <v>0</v>
      </c>
    </row>
    <row r="24" spans="4:29" x14ac:dyDescent="0.3">
      <c r="Q24" s="6"/>
      <c r="R24" t="s">
        <v>55</v>
      </c>
      <c r="S24">
        <f>SUM(S12:S23)</f>
        <v>24717</v>
      </c>
      <c r="T24" s="1">
        <f t="shared" si="0"/>
        <v>1</v>
      </c>
      <c r="V24">
        <f t="shared" si="1"/>
        <v>14000</v>
      </c>
      <c r="X24" s="85">
        <f t="shared" si="3"/>
        <v>0</v>
      </c>
      <c r="AA24">
        <f t="shared" si="2"/>
        <v>0</v>
      </c>
      <c r="AB24">
        <f t="shared" si="4"/>
        <v>0</v>
      </c>
      <c r="AC24">
        <f t="shared" si="5"/>
        <v>0</v>
      </c>
    </row>
    <row r="25" spans="4:29" x14ac:dyDescent="0.3">
      <c r="Q25" s="6" t="s">
        <v>798</v>
      </c>
      <c r="S25">
        <v>17900</v>
      </c>
      <c r="T25" s="1">
        <f t="shared" si="0"/>
        <v>0.72419792045960274</v>
      </c>
      <c r="V25">
        <f t="shared" si="1"/>
        <v>10138.770886434439</v>
      </c>
      <c r="W25">
        <v>0.1</v>
      </c>
      <c r="X25" s="85">
        <f t="shared" si="3"/>
        <v>1013.8770886434439</v>
      </c>
      <c r="Z25">
        <v>1.9</v>
      </c>
      <c r="AA25">
        <f t="shared" si="2"/>
        <v>11875</v>
      </c>
      <c r="AB25">
        <f t="shared" si="4"/>
        <v>0.1</v>
      </c>
      <c r="AC25">
        <f t="shared" si="5"/>
        <v>1187.5</v>
      </c>
    </row>
    <row r="26" spans="4:29" x14ac:dyDescent="0.3">
      <c r="L26" t="s">
        <v>773</v>
      </c>
      <c r="Q26" s="6" t="s">
        <v>819</v>
      </c>
      <c r="S26">
        <v>8300</v>
      </c>
      <c r="T26" s="1">
        <f t="shared" si="0"/>
        <v>0.33580127038070962</v>
      </c>
      <c r="V26">
        <f t="shared" si="1"/>
        <v>4701.2177853299345</v>
      </c>
      <c r="X26" s="85"/>
      <c r="Z26">
        <v>0.88</v>
      </c>
      <c r="AA26">
        <f t="shared" si="2"/>
        <v>5500</v>
      </c>
      <c r="AB26">
        <f t="shared" si="4"/>
        <v>0</v>
      </c>
      <c r="AC26">
        <f t="shared" si="5"/>
        <v>0</v>
      </c>
    </row>
    <row r="27" spans="4:29" x14ac:dyDescent="0.3">
      <c r="D27" s="58">
        <v>6500</v>
      </c>
      <c r="F27" s="58">
        <v>14060</v>
      </c>
      <c r="Q27" s="248"/>
      <c r="R27" s="232"/>
      <c r="S27" s="232"/>
      <c r="T27" s="232"/>
      <c r="U27" s="232"/>
      <c r="V27" s="232"/>
      <c r="W27" s="232"/>
      <c r="X27" s="81"/>
    </row>
    <row r="30" spans="4:29" x14ac:dyDescent="0.3">
      <c r="D30" s="58">
        <v>6300</v>
      </c>
      <c r="E30" s="58"/>
      <c r="F30" s="58">
        <v>13680</v>
      </c>
      <c r="G30">
        <v>96.9</v>
      </c>
      <c r="H30">
        <v>97.1</v>
      </c>
      <c r="I30">
        <v>0.9</v>
      </c>
      <c r="J30">
        <v>0.89</v>
      </c>
      <c r="L30" t="s">
        <v>818</v>
      </c>
    </row>
    <row r="34" spans="3:20" x14ac:dyDescent="0.3">
      <c r="P34">
        <v>17.617000000000001</v>
      </c>
      <c r="Q34" t="s">
        <v>776</v>
      </c>
      <c r="T34">
        <f>P34*P36</f>
        <v>3523.4</v>
      </c>
    </row>
    <row r="35" spans="3:20" x14ac:dyDescent="0.3">
      <c r="D35">
        <v>12.5</v>
      </c>
      <c r="E35">
        <v>6.25</v>
      </c>
      <c r="P35">
        <v>1500</v>
      </c>
      <c r="Q35" t="s">
        <v>65</v>
      </c>
      <c r="T35">
        <f>P35*7.8</f>
        <v>11700</v>
      </c>
    </row>
    <row r="36" spans="3:20" x14ac:dyDescent="0.3">
      <c r="P36">
        <v>200</v>
      </c>
      <c r="Q36" t="s">
        <v>765</v>
      </c>
    </row>
    <row r="40" spans="3:20" x14ac:dyDescent="0.3">
      <c r="P40">
        <v>7.37</v>
      </c>
      <c r="T40">
        <f>P40*P42</f>
        <v>69278</v>
      </c>
    </row>
    <row r="41" spans="3:20" x14ac:dyDescent="0.3">
      <c r="P41">
        <v>25000</v>
      </c>
      <c r="T41">
        <f>P41*7.8</f>
        <v>195000</v>
      </c>
    </row>
    <row r="42" spans="3:20" x14ac:dyDescent="0.3">
      <c r="P42">
        <v>9400</v>
      </c>
    </row>
    <row r="44" spans="3:20" x14ac:dyDescent="0.3">
      <c r="H44" t="s">
        <v>783</v>
      </c>
      <c r="K44">
        <v>7.96</v>
      </c>
    </row>
    <row r="45" spans="3:20" x14ac:dyDescent="0.3">
      <c r="G45" t="s">
        <v>782</v>
      </c>
      <c r="H45" t="s">
        <v>781</v>
      </c>
    </row>
    <row r="46" spans="3:20" x14ac:dyDescent="0.3">
      <c r="C46">
        <v>9400</v>
      </c>
      <c r="D46" t="s">
        <v>765</v>
      </c>
      <c r="E46" t="s">
        <v>780</v>
      </c>
      <c r="G46">
        <v>7.37</v>
      </c>
      <c r="H46">
        <f>G46*C46</f>
        <v>69278</v>
      </c>
      <c r="J46">
        <v>26000</v>
      </c>
      <c r="K46">
        <f>J46*K44</f>
        <v>206960</v>
      </c>
      <c r="M46">
        <f>H46/J46</f>
        <v>2.6645384615384615</v>
      </c>
    </row>
    <row r="47" spans="3:20" x14ac:dyDescent="0.3">
      <c r="C47">
        <v>900</v>
      </c>
      <c r="D47" t="s">
        <v>784</v>
      </c>
      <c r="E47" t="s">
        <v>786</v>
      </c>
      <c r="G47">
        <v>24.89</v>
      </c>
      <c r="H47">
        <f t="shared" ref="H47:H48" si="6">G47*C47</f>
        <v>22401</v>
      </c>
      <c r="J47">
        <v>5550</v>
      </c>
      <c r="K47">
        <f>J47*K44</f>
        <v>44178</v>
      </c>
      <c r="M47">
        <f>H47/J47</f>
        <v>4.0362162162162161</v>
      </c>
    </row>
    <row r="48" spans="3:20" x14ac:dyDescent="0.3">
      <c r="C48">
        <v>4300</v>
      </c>
      <c r="D48" t="s">
        <v>784</v>
      </c>
      <c r="E48" t="s">
        <v>785</v>
      </c>
      <c r="G48">
        <v>16.18</v>
      </c>
      <c r="H48">
        <f t="shared" si="6"/>
        <v>69574</v>
      </c>
      <c r="J48">
        <v>17000</v>
      </c>
      <c r="K48">
        <f>J48*K44</f>
        <v>135320</v>
      </c>
      <c r="M48">
        <f>H48/J48</f>
        <v>4.0925882352941176</v>
      </c>
    </row>
    <row r="49" spans="2:32" x14ac:dyDescent="0.3">
      <c r="J49">
        <v>14000</v>
      </c>
      <c r="K49">
        <f>J49*K44</f>
        <v>111440</v>
      </c>
    </row>
    <row r="51" spans="2:32" x14ac:dyDescent="0.3">
      <c r="C51">
        <v>6250</v>
      </c>
    </row>
    <row r="55" spans="2:32" ht="14.4" customHeight="1" x14ac:dyDescent="0.3">
      <c r="E55" t="s">
        <v>720</v>
      </c>
      <c r="F55" t="s">
        <v>788</v>
      </c>
      <c r="G55" t="s">
        <v>789</v>
      </c>
      <c r="I55" t="s">
        <v>790</v>
      </c>
      <c r="J55" t="s">
        <v>791</v>
      </c>
      <c r="K55" t="s">
        <v>790</v>
      </c>
      <c r="M55" t="s">
        <v>805</v>
      </c>
      <c r="N55" t="s">
        <v>806</v>
      </c>
      <c r="O55" t="s">
        <v>807</v>
      </c>
    </row>
    <row r="56" spans="2:32" x14ac:dyDescent="0.3">
      <c r="C56" t="s">
        <v>792</v>
      </c>
      <c r="E56">
        <v>900</v>
      </c>
      <c r="F56">
        <v>4300</v>
      </c>
      <c r="G56">
        <f>F56-E56</f>
        <v>3400</v>
      </c>
      <c r="H56">
        <f t="shared" ref="H56:H65" si="7">G56/$G$56</f>
        <v>1</v>
      </c>
      <c r="I56" s="34">
        <f>5000/0.8</f>
        <v>6250</v>
      </c>
      <c r="J56">
        <f>I56-E56</f>
        <v>5350</v>
      </c>
      <c r="K56" s="16">
        <f>I56</f>
        <v>6250</v>
      </c>
      <c r="AF56">
        <v>1</v>
      </c>
    </row>
    <row r="57" spans="2:32" x14ac:dyDescent="0.3">
      <c r="C57" t="s">
        <v>793</v>
      </c>
      <c r="E57">
        <v>2678</v>
      </c>
      <c r="F57">
        <v>9340</v>
      </c>
      <c r="G57">
        <f t="shared" ref="G57:G65" si="8">F57-E57</f>
        <v>6662</v>
      </c>
      <c r="H57">
        <f t="shared" si="7"/>
        <v>1.9594117647058824</v>
      </c>
      <c r="I57" s="415" t="s">
        <v>794</v>
      </c>
      <c r="J57">
        <f t="shared" ref="J57:J65" si="9">$J$56*H57</f>
        <v>10482.85294117647</v>
      </c>
      <c r="K57" s="16">
        <f>J57+E57</f>
        <v>13160.85294117647</v>
      </c>
      <c r="M57" s="1">
        <f t="shared" ref="M57:M66" si="10">K57/$K$66</f>
        <v>0.56051964710495039</v>
      </c>
      <c r="N57" s="1">
        <f t="shared" ref="N57:N66" si="11">E57/$E$66</f>
        <v>0.47864164432529044</v>
      </c>
      <c r="O57" s="1">
        <f t="shared" ref="O57:O66" si="12">F57/$F$66</f>
        <v>0.55067507812039385</v>
      </c>
    </row>
    <row r="58" spans="2:32" x14ac:dyDescent="0.3">
      <c r="C58" t="s">
        <v>439</v>
      </c>
      <c r="E58">
        <v>2336</v>
      </c>
      <c r="F58">
        <v>6197</v>
      </c>
      <c r="G58">
        <f t="shared" si="8"/>
        <v>3861</v>
      </c>
      <c r="H58">
        <f t="shared" si="7"/>
        <v>1.1355882352941176</v>
      </c>
      <c r="I58" s="415"/>
      <c r="J58">
        <f t="shared" si="9"/>
        <v>6075.3970588235288</v>
      </c>
      <c r="K58" s="16">
        <f t="shared" ref="K58:K65" si="13">J58+E58</f>
        <v>8411.3970588235279</v>
      </c>
      <c r="M58" s="1">
        <f t="shared" si="10"/>
        <v>0.35824071070046637</v>
      </c>
      <c r="N58" s="1">
        <f t="shared" si="11"/>
        <v>0.41751563896336014</v>
      </c>
      <c r="O58" s="1">
        <f t="shared" si="12"/>
        <v>0.36536760804197865</v>
      </c>
    </row>
    <row r="59" spans="2:32" x14ac:dyDescent="0.3">
      <c r="C59" t="s">
        <v>113</v>
      </c>
      <c r="E59">
        <v>529</v>
      </c>
      <c r="F59">
        <v>1035</v>
      </c>
      <c r="G59">
        <f t="shared" si="8"/>
        <v>506</v>
      </c>
      <c r="H59">
        <f t="shared" si="7"/>
        <v>0.14882352941176472</v>
      </c>
      <c r="I59" s="415"/>
      <c r="J59">
        <f t="shared" si="9"/>
        <v>796.20588235294122</v>
      </c>
      <c r="K59" s="16">
        <f t="shared" si="13"/>
        <v>1325.2058823529412</v>
      </c>
      <c r="M59" s="1">
        <f t="shared" si="10"/>
        <v>5.64404098152224E-2</v>
      </c>
      <c r="N59" s="1">
        <f t="shared" si="11"/>
        <v>9.4548704200178732E-2</v>
      </c>
      <c r="O59" s="1">
        <f t="shared" si="12"/>
        <v>6.1022345380578977E-2</v>
      </c>
    </row>
    <row r="60" spans="2:32" x14ac:dyDescent="0.3">
      <c r="C60" t="s">
        <v>795</v>
      </c>
      <c r="E60">
        <v>17</v>
      </c>
      <c r="F60">
        <v>213</v>
      </c>
      <c r="G60">
        <f t="shared" si="8"/>
        <v>196</v>
      </c>
      <c r="H60">
        <f t="shared" si="7"/>
        <v>5.7647058823529412E-2</v>
      </c>
      <c r="I60" s="415"/>
      <c r="J60">
        <f t="shared" si="9"/>
        <v>308.41176470588238</v>
      </c>
      <c r="K60" s="16">
        <f t="shared" si="13"/>
        <v>325.41176470588238</v>
      </c>
      <c r="M60" s="1">
        <f t="shared" si="10"/>
        <v>1.3859260363442321E-2</v>
      </c>
      <c r="N60" s="1">
        <f t="shared" si="11"/>
        <v>3.0384271671134943E-3</v>
      </c>
      <c r="O60" s="1">
        <f t="shared" si="12"/>
        <v>1.2558221802959731E-2</v>
      </c>
    </row>
    <row r="61" spans="2:32" x14ac:dyDescent="0.3">
      <c r="C61" t="s">
        <v>796</v>
      </c>
      <c r="E61">
        <v>24</v>
      </c>
      <c r="F61">
        <v>125</v>
      </c>
      <c r="G61">
        <f t="shared" si="8"/>
        <v>101</v>
      </c>
      <c r="H61">
        <f t="shared" si="7"/>
        <v>2.9705882352941176E-2</v>
      </c>
      <c r="I61" s="415"/>
      <c r="J61">
        <f t="shared" si="9"/>
        <v>158.9264705882353</v>
      </c>
      <c r="K61" s="16">
        <f t="shared" si="13"/>
        <v>182.9264705882353</v>
      </c>
      <c r="M61" s="1">
        <f t="shared" si="10"/>
        <v>7.79082337585227E-3</v>
      </c>
      <c r="N61" s="1">
        <f t="shared" si="11"/>
        <v>4.2895442359249334E-3</v>
      </c>
      <c r="O61" s="1">
        <f t="shared" si="12"/>
        <v>7.3698484759153349E-3</v>
      </c>
    </row>
    <row r="62" spans="2:32" x14ac:dyDescent="0.3">
      <c r="C62" t="s">
        <v>138</v>
      </c>
      <c r="E62">
        <v>11</v>
      </c>
      <c r="F62">
        <v>51</v>
      </c>
      <c r="G62">
        <f t="shared" si="8"/>
        <v>40</v>
      </c>
      <c r="H62">
        <f t="shared" si="7"/>
        <v>1.1764705882352941E-2</v>
      </c>
      <c r="I62" s="415"/>
      <c r="J62">
        <f t="shared" si="9"/>
        <v>62.941176470588232</v>
      </c>
      <c r="K62" s="16">
        <f t="shared" si="13"/>
        <v>73.941176470588232</v>
      </c>
      <c r="M62" s="1">
        <f t="shared" si="10"/>
        <v>3.1491486400663403E-3</v>
      </c>
      <c r="N62" s="1">
        <f t="shared" si="11"/>
        <v>1.9660411081322609E-3</v>
      </c>
      <c r="O62" s="1">
        <f t="shared" si="12"/>
        <v>3.0068981781734569E-3</v>
      </c>
    </row>
    <row r="63" spans="2:32" x14ac:dyDescent="0.3">
      <c r="C63" t="s">
        <v>797</v>
      </c>
      <c r="E63">
        <v>6</v>
      </c>
      <c r="F63">
        <v>28</v>
      </c>
      <c r="G63">
        <f t="shared" si="8"/>
        <v>22</v>
      </c>
      <c r="H63">
        <f t="shared" si="7"/>
        <v>6.4705882352941177E-3</v>
      </c>
      <c r="I63" s="415"/>
      <c r="J63">
        <f t="shared" si="9"/>
        <v>34.617647058823529</v>
      </c>
      <c r="K63" s="16">
        <f t="shared" si="13"/>
        <v>40.617647058823529</v>
      </c>
      <c r="M63" s="1">
        <f t="shared" si="10"/>
        <v>1.7299022561382722E-3</v>
      </c>
      <c r="N63" s="1">
        <f t="shared" si="11"/>
        <v>1.0723860589812334E-3</v>
      </c>
      <c r="O63" s="1">
        <f t="shared" si="12"/>
        <v>1.6508460586050352E-3</v>
      </c>
    </row>
    <row r="64" spans="2:32" x14ac:dyDescent="0.3">
      <c r="B64" t="s">
        <v>799</v>
      </c>
      <c r="C64" t="s">
        <v>798</v>
      </c>
      <c r="E64">
        <v>3700</v>
      </c>
      <c r="F64">
        <v>17710</v>
      </c>
      <c r="G64">
        <f t="shared" si="8"/>
        <v>14010</v>
      </c>
      <c r="H64">
        <f t="shared" si="7"/>
        <v>4.1205882352941172</v>
      </c>
      <c r="I64" s="415"/>
      <c r="J64">
        <f t="shared" si="9"/>
        <v>22045.147058823528</v>
      </c>
      <c r="K64" s="16">
        <f t="shared" si="13"/>
        <v>25745.147058823528</v>
      </c>
      <c r="L64" t="s">
        <v>799</v>
      </c>
      <c r="M64" s="1">
        <f t="shared" si="10"/>
        <v>1.0964837012141886</v>
      </c>
      <c r="N64" s="1">
        <f t="shared" si="11"/>
        <v>0.66130473637176046</v>
      </c>
      <c r="O64" s="1">
        <f t="shared" si="12"/>
        <v>1.0441601320676848</v>
      </c>
    </row>
    <row r="65" spans="2:16" x14ac:dyDescent="0.3">
      <c r="B65" t="s">
        <v>799</v>
      </c>
      <c r="C65" t="s">
        <v>800</v>
      </c>
      <c r="E65">
        <v>3030</v>
      </c>
      <c r="F65">
        <v>14480</v>
      </c>
      <c r="G65">
        <f t="shared" si="8"/>
        <v>11450</v>
      </c>
      <c r="H65">
        <f t="shared" si="7"/>
        <v>3.3676470588235294</v>
      </c>
      <c r="I65" s="415"/>
      <c r="J65">
        <f t="shared" si="9"/>
        <v>18016.911764705881</v>
      </c>
      <c r="K65" s="16">
        <f t="shared" si="13"/>
        <v>21046.911764705881</v>
      </c>
      <c r="L65" t="s">
        <v>799</v>
      </c>
      <c r="M65" s="1">
        <f t="shared" si="10"/>
        <v>0.89638624546072909</v>
      </c>
      <c r="N65" s="1">
        <f t="shared" si="11"/>
        <v>0.54155495978552282</v>
      </c>
      <c r="O65" s="1">
        <f t="shared" si="12"/>
        <v>0.85372324745003247</v>
      </c>
    </row>
    <row r="66" spans="2:16" x14ac:dyDescent="0.3">
      <c r="E66" s="16">
        <f>E57+E58+E59+E60+E61+E62</f>
        <v>5595</v>
      </c>
      <c r="F66" s="16">
        <f>F57+F58+F59+F60+F61+F62</f>
        <v>16961</v>
      </c>
      <c r="G66" s="16">
        <f>G57+G58+G59+G60+G61+G62</f>
        <v>11366</v>
      </c>
      <c r="J66" s="16">
        <f>J57+J58+J59+J60+J61+J62</f>
        <v>17884.735294117643</v>
      </c>
      <c r="K66" s="16">
        <f>K57+K58+K59+K60+K61+K62</f>
        <v>23479.735294117643</v>
      </c>
      <c r="M66" s="1">
        <f t="shared" si="10"/>
        <v>1</v>
      </c>
      <c r="N66" s="1">
        <f t="shared" si="11"/>
        <v>1</v>
      </c>
      <c r="O66" s="1">
        <f t="shared" si="12"/>
        <v>1</v>
      </c>
    </row>
    <row r="73" spans="2:16" x14ac:dyDescent="0.3">
      <c r="C73" t="s">
        <v>801</v>
      </c>
      <c r="G73">
        <f>K66</f>
        <v>23479.735294117643</v>
      </c>
      <c r="H73" t="s">
        <v>65</v>
      </c>
    </row>
    <row r="75" spans="2:16" x14ac:dyDescent="0.3">
      <c r="C75" t="s">
        <v>802</v>
      </c>
    </row>
    <row r="78" spans="2:16" x14ac:dyDescent="0.3">
      <c r="N78">
        <v>7.37</v>
      </c>
      <c r="O78">
        <v>6250</v>
      </c>
      <c r="P78">
        <f>O78*N78</f>
        <v>46062.5</v>
      </c>
    </row>
    <row r="85" spans="1:9" x14ac:dyDescent="0.3">
      <c r="B85" s="251" t="s">
        <v>846</v>
      </c>
    </row>
    <row r="86" spans="1:9" x14ac:dyDescent="0.3">
      <c r="A86" s="16" t="s">
        <v>840</v>
      </c>
      <c r="B86" s="16"/>
    </row>
    <row r="87" spans="1:9" x14ac:dyDescent="0.3">
      <c r="B87" t="s">
        <v>841</v>
      </c>
    </row>
    <row r="88" spans="1:9" x14ac:dyDescent="0.3">
      <c r="C88" t="s">
        <v>842</v>
      </c>
      <c r="H88">
        <v>5300</v>
      </c>
      <c r="I88" t="s">
        <v>65</v>
      </c>
    </row>
    <row r="89" spans="1:9" x14ac:dyDescent="0.3">
      <c r="H89" t="s">
        <v>843</v>
      </c>
    </row>
    <row r="94" spans="1:9" x14ac:dyDescent="0.3">
      <c r="B94" s="334" t="s">
        <v>854</v>
      </c>
    </row>
    <row r="96" spans="1:9" x14ac:dyDescent="0.3">
      <c r="C96" t="s">
        <v>844</v>
      </c>
    </row>
    <row r="97" spans="3:19" x14ac:dyDescent="0.3">
      <c r="C97" t="s">
        <v>845</v>
      </c>
      <c r="F97">
        <f>2*2800</f>
        <v>5600</v>
      </c>
    </row>
    <row r="98" spans="3:19" x14ac:dyDescent="0.3">
      <c r="H98">
        <f>3.5*F103</f>
        <v>2950.5</v>
      </c>
      <c r="N98">
        <f>K101-I101</f>
        <v>4000</v>
      </c>
    </row>
    <row r="99" spans="3:19" x14ac:dyDescent="0.3">
      <c r="N99">
        <f>K103-I103</f>
        <v>600</v>
      </c>
      <c r="O99">
        <f>N99/N98</f>
        <v>0.15</v>
      </c>
      <c r="P99">
        <v>1000</v>
      </c>
    </row>
    <row r="100" spans="3:19" x14ac:dyDescent="0.3">
      <c r="D100" t="s">
        <v>848</v>
      </c>
      <c r="E100" t="s">
        <v>847</v>
      </c>
      <c r="F100" t="s">
        <v>850</v>
      </c>
    </row>
    <row r="101" spans="3:19" x14ac:dyDescent="0.3">
      <c r="D101" t="s">
        <v>765</v>
      </c>
      <c r="E101">
        <v>250</v>
      </c>
      <c r="F101">
        <v>630</v>
      </c>
      <c r="H101">
        <v>4</v>
      </c>
      <c r="I101">
        <v>6000</v>
      </c>
      <c r="J101">
        <v>12000</v>
      </c>
      <c r="K101">
        <v>10000</v>
      </c>
      <c r="L101">
        <f>6500/4</f>
        <v>1625</v>
      </c>
    </row>
    <row r="102" spans="3:19" x14ac:dyDescent="0.3">
      <c r="D102" t="s">
        <v>849</v>
      </c>
      <c r="E102">
        <v>4.8499999999999996</v>
      </c>
      <c r="F102">
        <v>5.88</v>
      </c>
      <c r="H102">
        <v>21.8</v>
      </c>
    </row>
    <row r="103" spans="3:19" x14ac:dyDescent="0.3">
      <c r="C103" t="s">
        <v>778</v>
      </c>
      <c r="E103">
        <f>SUM(E105:E111)</f>
        <v>196.89999999999998</v>
      </c>
      <c r="F103">
        <f>SUM(F105:F110)</f>
        <v>843</v>
      </c>
      <c r="H103">
        <v>6.5</v>
      </c>
      <c r="I103">
        <v>5600</v>
      </c>
      <c r="J103">
        <v>7300</v>
      </c>
      <c r="K103">
        <v>6200</v>
      </c>
    </row>
    <row r="105" spans="3:19" x14ac:dyDescent="0.3">
      <c r="C105" t="s">
        <v>12</v>
      </c>
      <c r="E105">
        <v>100.8</v>
      </c>
      <c r="F105">
        <v>433</v>
      </c>
      <c r="G105" s="1">
        <f>F105/$F$103</f>
        <v>0.51364175563463821</v>
      </c>
      <c r="I105">
        <f>$I$103*G105</f>
        <v>2876.393831553974</v>
      </c>
      <c r="J105">
        <f>$J$103*G105</f>
        <v>3749.584816132859</v>
      </c>
    </row>
    <row r="106" spans="3:19" x14ac:dyDescent="0.3">
      <c r="C106" t="s">
        <v>420</v>
      </c>
      <c r="F106">
        <v>134</v>
      </c>
      <c r="G106" s="1">
        <f t="shared" ref="G106:G113" si="14">F106/$F$103</f>
        <v>0.15895610913404506</v>
      </c>
      <c r="I106">
        <f t="shared" ref="I106:I113" si="15">$I$103*G106</f>
        <v>890.15421115065237</v>
      </c>
      <c r="J106">
        <f t="shared" ref="J106:J113" si="16">$J$103*G106</f>
        <v>1160.379596678529</v>
      </c>
    </row>
    <row r="107" spans="3:19" x14ac:dyDescent="0.3">
      <c r="C107" t="s">
        <v>113</v>
      </c>
      <c r="E107">
        <v>24.4</v>
      </c>
      <c r="F107">
        <v>153</v>
      </c>
      <c r="G107" s="1">
        <f t="shared" si="14"/>
        <v>0.18149466192170818</v>
      </c>
      <c r="I107">
        <f t="shared" si="15"/>
        <v>1016.3701067615658</v>
      </c>
      <c r="J107">
        <f t="shared" si="16"/>
        <v>1324.9110320284697</v>
      </c>
      <c r="L107">
        <f>L101</f>
        <v>1625</v>
      </c>
      <c r="M107">
        <f>I101</f>
        <v>6000</v>
      </c>
      <c r="N107">
        <f>K101</f>
        <v>10000</v>
      </c>
      <c r="O107">
        <f>J101</f>
        <v>12000</v>
      </c>
      <c r="P107">
        <v>0.2</v>
      </c>
      <c r="Q107">
        <v>1</v>
      </c>
      <c r="R107">
        <v>2</v>
      </c>
      <c r="S107">
        <v>3</v>
      </c>
    </row>
    <row r="108" spans="3:19" x14ac:dyDescent="0.3">
      <c r="C108" t="s">
        <v>141</v>
      </c>
      <c r="E108">
        <v>34.9</v>
      </c>
      <c r="F108">
        <v>77</v>
      </c>
      <c r="G108" s="1">
        <f t="shared" si="14"/>
        <v>9.1340450771055751E-2</v>
      </c>
      <c r="I108">
        <f t="shared" si="15"/>
        <v>511.50652431791218</v>
      </c>
      <c r="J108">
        <f t="shared" si="16"/>
        <v>666.785290628707</v>
      </c>
      <c r="M108">
        <f>I103</f>
        <v>5600</v>
      </c>
      <c r="N108">
        <f>K103</f>
        <v>6200</v>
      </c>
      <c r="O108">
        <f>J103</f>
        <v>7300</v>
      </c>
      <c r="P108">
        <f>3000*P107+3333</f>
        <v>3933</v>
      </c>
      <c r="Q108">
        <f>3000*Q107+3333</f>
        <v>6333</v>
      </c>
      <c r="R108">
        <f>3000*R107+3333</f>
        <v>9333</v>
      </c>
      <c r="S108">
        <f>3000*S107+3333</f>
        <v>12333</v>
      </c>
    </row>
    <row r="109" spans="3:19" x14ac:dyDescent="0.3">
      <c r="C109" t="s">
        <v>851</v>
      </c>
      <c r="E109">
        <v>12.5</v>
      </c>
      <c r="F109">
        <v>16</v>
      </c>
      <c r="G109" s="1">
        <f t="shared" si="14"/>
        <v>1.8979833926453145E-2</v>
      </c>
      <c r="I109">
        <f t="shared" si="15"/>
        <v>106.28706998813762</v>
      </c>
      <c r="J109">
        <f t="shared" si="16"/>
        <v>138.55278766310795</v>
      </c>
    </row>
    <row r="110" spans="3:19" x14ac:dyDescent="0.3">
      <c r="C110" t="s">
        <v>852</v>
      </c>
      <c r="E110">
        <v>4.7</v>
      </c>
      <c r="F110">
        <v>30</v>
      </c>
      <c r="G110" s="1">
        <f t="shared" si="14"/>
        <v>3.5587188612099648E-2</v>
      </c>
      <c r="I110">
        <f t="shared" si="15"/>
        <v>199.28825622775801</v>
      </c>
      <c r="J110">
        <f t="shared" si="16"/>
        <v>259.78647686832744</v>
      </c>
    </row>
    <row r="111" spans="3:19" x14ac:dyDescent="0.3">
      <c r="C111" t="s">
        <v>853</v>
      </c>
      <c r="E111">
        <v>19.600000000000001</v>
      </c>
      <c r="G111" s="1">
        <f t="shared" si="14"/>
        <v>0</v>
      </c>
      <c r="I111">
        <f t="shared" si="15"/>
        <v>0</v>
      </c>
      <c r="J111">
        <f t="shared" si="16"/>
        <v>0</v>
      </c>
    </row>
    <row r="112" spans="3:19" x14ac:dyDescent="0.3">
      <c r="C112" t="s">
        <v>592</v>
      </c>
      <c r="F112">
        <v>717</v>
      </c>
      <c r="G112" s="1">
        <f>F112/$F$103</f>
        <v>0.85053380782918153</v>
      </c>
      <c r="I112">
        <f t="shared" si="15"/>
        <v>4762.989323843417</v>
      </c>
      <c r="J112">
        <f t="shared" si="16"/>
        <v>6208.8967971530255</v>
      </c>
    </row>
    <row r="113" spans="3:10" x14ac:dyDescent="0.3">
      <c r="C113" t="s">
        <v>106</v>
      </c>
      <c r="F113">
        <v>391</v>
      </c>
      <c r="G113" s="1">
        <f t="shared" si="14"/>
        <v>0.4638196915776987</v>
      </c>
      <c r="I113">
        <f t="shared" si="15"/>
        <v>2597.3902728351127</v>
      </c>
      <c r="J113">
        <f t="shared" si="16"/>
        <v>3385.8837485172007</v>
      </c>
    </row>
    <row r="121" spans="3:10" x14ac:dyDescent="0.3">
      <c r="C121" t="s">
        <v>277</v>
      </c>
      <c r="D121" t="s">
        <v>998</v>
      </c>
      <c r="F121">
        <v>44.1</v>
      </c>
      <c r="G121" t="s">
        <v>999</v>
      </c>
    </row>
    <row r="122" spans="3:10" x14ac:dyDescent="0.3">
      <c r="D122" t="s">
        <v>1000</v>
      </c>
      <c r="F122">
        <v>0.13100000000000001</v>
      </c>
      <c r="G122" t="s">
        <v>1001</v>
      </c>
    </row>
    <row r="123" spans="3:10" x14ac:dyDescent="0.3">
      <c r="F123">
        <f>F121/F122</f>
        <v>336.64122137404581</v>
      </c>
      <c r="G123" t="s">
        <v>1002</v>
      </c>
    </row>
    <row r="129" spans="2:11" s="70" customFormat="1" x14ac:dyDescent="0.3">
      <c r="B129" s="47" t="s">
        <v>1580</v>
      </c>
      <c r="C129" s="47"/>
      <c r="D129" s="47"/>
    </row>
    <row r="132" spans="2:11" x14ac:dyDescent="0.3">
      <c r="F132" t="s">
        <v>1281</v>
      </c>
      <c r="G132" t="s">
        <v>1282</v>
      </c>
      <c r="H132" t="s">
        <v>1283</v>
      </c>
    </row>
    <row r="133" spans="2:11" x14ac:dyDescent="0.3">
      <c r="B133" t="s">
        <v>1280</v>
      </c>
      <c r="F133" s="147">
        <v>0.6</v>
      </c>
      <c r="G133">
        <v>15</v>
      </c>
      <c r="H133">
        <v>60.8</v>
      </c>
    </row>
    <row r="134" spans="2:11" x14ac:dyDescent="0.3">
      <c r="B134" t="s">
        <v>1284</v>
      </c>
      <c r="F134" s="147">
        <v>0.4</v>
      </c>
      <c r="G134">
        <v>20</v>
      </c>
      <c r="H134">
        <v>36.1</v>
      </c>
    </row>
    <row r="136" spans="2:11" x14ac:dyDescent="0.3">
      <c r="C136" t="s">
        <v>1285</v>
      </c>
    </row>
    <row r="137" spans="2:11" x14ac:dyDescent="0.3">
      <c r="D137" t="s">
        <v>1286</v>
      </c>
      <c r="F137" t="s">
        <v>1287</v>
      </c>
    </row>
    <row r="140" spans="2:11" x14ac:dyDescent="0.3">
      <c r="J140">
        <f>F133*H133*1/G133</f>
        <v>2.4319999999999999</v>
      </c>
      <c r="K140" t="s">
        <v>1349</v>
      </c>
    </row>
    <row r="141" spans="2:11" x14ac:dyDescent="0.3">
      <c r="J141">
        <f>F134*H134*1/G134</f>
        <v>0.72200000000000009</v>
      </c>
      <c r="K141" t="s">
        <v>1349</v>
      </c>
    </row>
    <row r="143" spans="2:11" s="70" customFormat="1" x14ac:dyDescent="0.3"/>
    <row r="154" spans="5:5" x14ac:dyDescent="0.3">
      <c r="E154">
        <f>0.0632*0.6</f>
        <v>3.7920000000000002E-2</v>
      </c>
    </row>
    <row r="155" spans="5:5" x14ac:dyDescent="0.3">
      <c r="E155">
        <f>0.6-E154</f>
        <v>0.56208000000000002</v>
      </c>
    </row>
    <row r="157" spans="5:5" x14ac:dyDescent="0.3">
      <c r="E157">
        <f>1-0.0632</f>
        <v>0.93679999999999997</v>
      </c>
    </row>
    <row r="164" spans="2:35" x14ac:dyDescent="0.3">
      <c r="K164">
        <f>K165</f>
        <v>250</v>
      </c>
      <c r="L164" t="s">
        <v>260</v>
      </c>
      <c r="M164">
        <f>20000*48.2%</f>
        <v>9640</v>
      </c>
      <c r="N164">
        <f>M164/K164</f>
        <v>38.56</v>
      </c>
      <c r="O164">
        <f>N164/K168</f>
        <v>2.5706666666666669E-2</v>
      </c>
      <c r="P164">
        <f>O164/3</f>
        <v>8.5688888888888898E-3</v>
      </c>
      <c r="Q164">
        <f>P164*1000</f>
        <v>8.568888888888889</v>
      </c>
    </row>
    <row r="165" spans="2:35" x14ac:dyDescent="0.3">
      <c r="K165">
        <v>250</v>
      </c>
      <c r="L165" t="s">
        <v>260</v>
      </c>
      <c r="M165">
        <f>5400*45.2%</f>
        <v>2440.8000000000002</v>
      </c>
      <c r="N165">
        <f>M165/K165</f>
        <v>9.7632000000000012</v>
      </c>
      <c r="O165">
        <f>N165/K168</f>
        <v>6.5088000000000012E-3</v>
      </c>
      <c r="P165">
        <f>O165/3</f>
        <v>2.1696000000000003E-3</v>
      </c>
      <c r="Q165">
        <f>P165*1000</f>
        <v>2.1696000000000004</v>
      </c>
    </row>
    <row r="167" spans="2:35" x14ac:dyDescent="0.3">
      <c r="K167">
        <f>1/K168</f>
        <v>6.6666666666666664E-4</v>
      </c>
      <c r="L167">
        <f>K167/I172</f>
        <v>6.6666666666666662E-3</v>
      </c>
      <c r="M167">
        <f>L167*1000</f>
        <v>6.6666666666666661</v>
      </c>
    </row>
    <row r="168" spans="2:35" x14ac:dyDescent="0.3">
      <c r="J168" t="s">
        <v>244</v>
      </c>
      <c r="K168">
        <v>1500</v>
      </c>
    </row>
    <row r="169" spans="2:35" x14ac:dyDescent="0.3">
      <c r="F169" t="s">
        <v>1610</v>
      </c>
      <c r="G169">
        <v>10</v>
      </c>
      <c r="H169" t="s">
        <v>65</v>
      </c>
      <c r="N169">
        <f>0.1*L167</f>
        <v>6.6666666666666664E-4</v>
      </c>
    </row>
    <row r="170" spans="2:35" s="70" customFormat="1" x14ac:dyDescent="0.3">
      <c r="B170" s="47" t="s">
        <v>1573</v>
      </c>
      <c r="C170" s="47"/>
      <c r="D170" s="47"/>
      <c r="E170" s="47"/>
    </row>
    <row r="171" spans="2:35" x14ac:dyDescent="0.3">
      <c r="I171" t="s">
        <v>260</v>
      </c>
      <c r="J171" t="s">
        <v>1303</v>
      </c>
      <c r="Y171" s="147">
        <v>0.5</v>
      </c>
      <c r="AA171" s="147">
        <v>0.5</v>
      </c>
    </row>
    <row r="172" spans="2:35" x14ac:dyDescent="0.3">
      <c r="B172" t="s">
        <v>1290</v>
      </c>
      <c r="I172">
        <f>1/G169</f>
        <v>0.1</v>
      </c>
      <c r="J172">
        <v>0.05</v>
      </c>
      <c r="L172" t="s">
        <v>1547</v>
      </c>
      <c r="U172" t="s">
        <v>1548</v>
      </c>
      <c r="W172" s="386" t="s">
        <v>47</v>
      </c>
      <c r="X172" s="386"/>
      <c r="Y172" s="386" t="s">
        <v>1306</v>
      </c>
      <c r="Z172" s="386"/>
      <c r="AA172" s="87" t="s">
        <v>1307</v>
      </c>
      <c r="AB172" s="87"/>
    </row>
    <row r="173" spans="2:35" x14ac:dyDescent="0.3">
      <c r="E173" t="s">
        <v>1300</v>
      </c>
      <c r="F173" t="s">
        <v>1301</v>
      </c>
      <c r="G173" t="s">
        <v>1302</v>
      </c>
      <c r="I173" s="386" t="s">
        <v>1574</v>
      </c>
      <c r="J173" s="386"/>
      <c r="L173" s="386" t="s">
        <v>1575</v>
      </c>
      <c r="M173" s="386"/>
      <c r="O173" t="s">
        <v>1305</v>
      </c>
      <c r="U173" t="s">
        <v>32</v>
      </c>
      <c r="V173" t="s">
        <v>162</v>
      </c>
      <c r="W173" t="s">
        <v>32</v>
      </c>
      <c r="X173" t="s">
        <v>162</v>
      </c>
      <c r="Y173" t="s">
        <v>32</v>
      </c>
      <c r="Z173" t="s">
        <v>162</v>
      </c>
      <c r="AA173" t="s">
        <v>32</v>
      </c>
      <c r="AB173" t="s">
        <v>162</v>
      </c>
      <c r="AF173" t="s">
        <v>32</v>
      </c>
      <c r="AG173" t="s">
        <v>162</v>
      </c>
    </row>
    <row r="174" spans="2:35" x14ac:dyDescent="0.3">
      <c r="B174" s="312"/>
      <c r="C174" t="s">
        <v>1291</v>
      </c>
      <c r="E174">
        <v>143.75</v>
      </c>
      <c r="G174" s="1">
        <v>0.2</v>
      </c>
      <c r="I174">
        <f>E174*I$172*(1+$G174)</f>
        <v>17.25</v>
      </c>
      <c r="J174">
        <f>F174*J$172*(1+$G174)</f>
        <v>0</v>
      </c>
      <c r="L174">
        <f>I174/1000</f>
        <v>1.7250000000000001E-2</v>
      </c>
      <c r="M174">
        <f>J174/1000</f>
        <v>0</v>
      </c>
      <c r="O174" t="s">
        <v>1310</v>
      </c>
      <c r="U174">
        <v>3.1</v>
      </c>
      <c r="V174">
        <v>87.1</v>
      </c>
      <c r="W174" s="8">
        <f>$Y$171*Y174+$AA$171*AA174</f>
        <v>1.554</v>
      </c>
      <c r="X174" s="8">
        <f>$Y$171*Z174+$AA$171*AB174</f>
        <v>0.189</v>
      </c>
      <c r="Y174">
        <v>2.99</v>
      </c>
      <c r="Z174">
        <v>0.14699999999999999</v>
      </c>
      <c r="AA174">
        <v>0.11799999999999999</v>
      </c>
      <c r="AB174">
        <v>0.23100000000000001</v>
      </c>
      <c r="AC174" t="s">
        <v>1311</v>
      </c>
      <c r="AF174">
        <f>U174*$L$174</f>
        <v>5.3475000000000009E-2</v>
      </c>
      <c r="AG174">
        <f>V174*$L$174</f>
        <v>1.502475</v>
      </c>
      <c r="AH174">
        <f>W174*$L$174</f>
        <v>2.6806500000000004E-2</v>
      </c>
      <c r="AI174">
        <f t="shared" ref="AH174:AI178" si="17">X174*$L$174</f>
        <v>3.2602500000000001E-3</v>
      </c>
    </row>
    <row r="175" spans="2:35" x14ac:dyDescent="0.3">
      <c r="B175" s="312"/>
      <c r="C175" t="s">
        <v>1292</v>
      </c>
      <c r="E175">
        <v>181.25</v>
      </c>
      <c r="G175" s="1">
        <v>0.2</v>
      </c>
      <c r="I175">
        <f t="shared" ref="I175:I182" si="18">E175*I$172*(1+$G175)</f>
        <v>21.75</v>
      </c>
      <c r="J175">
        <f t="shared" ref="J175:J182" si="19">F175*J$172*(1+$G175)</f>
        <v>0</v>
      </c>
      <c r="L175">
        <f t="shared" ref="L175:L182" si="20">I175/1000</f>
        <v>2.1749999999999999E-2</v>
      </c>
      <c r="M175">
        <f t="shared" ref="M175:M182" si="21">J175/1000</f>
        <v>0</v>
      </c>
      <c r="O175" t="s">
        <v>1318</v>
      </c>
      <c r="U175">
        <v>5.39</v>
      </c>
      <c r="V175">
        <v>116</v>
      </c>
      <c r="W175" s="8">
        <f>$Y$171*Y175+$AA$171*AA175</f>
        <v>0.36799999999999999</v>
      </c>
      <c r="X175" s="8">
        <f t="shared" ref="X175:X182" si="22">$Y$171*Z175+$AA$171*AB175</f>
        <v>0.4385</v>
      </c>
      <c r="Y175">
        <v>0.11600000000000001</v>
      </c>
      <c r="Z175">
        <v>0.55800000000000005</v>
      </c>
      <c r="AA175">
        <v>0.62</v>
      </c>
      <c r="AB175">
        <v>0.31900000000000001</v>
      </c>
      <c r="AC175" t="s">
        <v>1308</v>
      </c>
      <c r="AF175">
        <f t="shared" ref="AF175:AG178" si="23">U175*$L$174</f>
        <v>9.2977500000000005E-2</v>
      </c>
      <c r="AG175">
        <f t="shared" si="23"/>
        <v>2.0010000000000003</v>
      </c>
      <c r="AH175">
        <f t="shared" si="17"/>
        <v>6.3480000000000003E-3</v>
      </c>
      <c r="AI175">
        <f t="shared" si="17"/>
        <v>7.5641250000000005E-3</v>
      </c>
    </row>
    <row r="176" spans="2:35" x14ac:dyDescent="0.3">
      <c r="B176" s="312"/>
      <c r="C176" t="s">
        <v>1293</v>
      </c>
      <c r="E176">
        <v>1331.25</v>
      </c>
      <c r="G176" s="1">
        <v>0.2</v>
      </c>
      <c r="I176">
        <f t="shared" si="18"/>
        <v>159.75</v>
      </c>
      <c r="J176">
        <f t="shared" si="19"/>
        <v>0</v>
      </c>
      <c r="L176">
        <f t="shared" si="20"/>
        <v>0.15975</v>
      </c>
      <c r="M176">
        <f t="shared" si="21"/>
        <v>0</v>
      </c>
      <c r="O176" t="s">
        <v>1309</v>
      </c>
      <c r="U176">
        <v>5.39</v>
      </c>
      <c r="V176">
        <v>116</v>
      </c>
      <c r="W176" s="8">
        <f t="shared" ref="W176:W182" si="24">$Y$171*Y176+$AA$171*AA176</f>
        <v>0.36799999999999999</v>
      </c>
      <c r="X176" s="8">
        <f t="shared" si="22"/>
        <v>0.4385</v>
      </c>
      <c r="Y176">
        <v>0.11600000000000001</v>
      </c>
      <c r="Z176">
        <v>0.55800000000000005</v>
      </c>
      <c r="AA176">
        <v>0.62</v>
      </c>
      <c r="AB176">
        <v>0.31900000000000001</v>
      </c>
      <c r="AC176" t="s">
        <v>1308</v>
      </c>
      <c r="AF176">
        <f t="shared" si="23"/>
        <v>9.2977500000000005E-2</v>
      </c>
      <c r="AG176">
        <f t="shared" si="23"/>
        <v>2.0010000000000003</v>
      </c>
      <c r="AH176">
        <f t="shared" si="17"/>
        <v>6.3480000000000003E-3</v>
      </c>
      <c r="AI176">
        <f t="shared" si="17"/>
        <v>7.5641250000000005E-3</v>
      </c>
    </row>
    <row r="177" spans="2:35" x14ac:dyDescent="0.3">
      <c r="B177" s="312"/>
      <c r="C177" t="s">
        <v>1294</v>
      </c>
      <c r="E177">
        <v>390.63</v>
      </c>
      <c r="G177" s="1">
        <v>0.2</v>
      </c>
      <c r="I177">
        <f t="shared" si="18"/>
        <v>46.875599999999999</v>
      </c>
      <c r="J177">
        <f t="shared" si="19"/>
        <v>0</v>
      </c>
      <c r="L177">
        <f t="shared" si="20"/>
        <v>4.6875599999999996E-2</v>
      </c>
      <c r="M177">
        <f t="shared" si="21"/>
        <v>0</v>
      </c>
      <c r="O177" t="s">
        <v>1317</v>
      </c>
      <c r="U177">
        <v>5.39</v>
      </c>
      <c r="V177">
        <v>116</v>
      </c>
      <c r="W177" s="8">
        <f t="shared" si="24"/>
        <v>0.36799999999999999</v>
      </c>
      <c r="X177" s="8">
        <f t="shared" si="22"/>
        <v>0.4385</v>
      </c>
      <c r="Y177">
        <v>0.11600000000000001</v>
      </c>
      <c r="Z177">
        <v>0.55800000000000005</v>
      </c>
      <c r="AA177">
        <v>0.62</v>
      </c>
      <c r="AB177">
        <v>0.31900000000000001</v>
      </c>
      <c r="AC177" t="s">
        <v>1308</v>
      </c>
      <c r="AF177">
        <f t="shared" si="23"/>
        <v>9.2977500000000005E-2</v>
      </c>
      <c r="AG177">
        <f t="shared" si="23"/>
        <v>2.0010000000000003</v>
      </c>
      <c r="AH177">
        <f t="shared" si="17"/>
        <v>6.3480000000000003E-3</v>
      </c>
      <c r="AI177">
        <f t="shared" si="17"/>
        <v>7.5641250000000005E-3</v>
      </c>
    </row>
    <row r="178" spans="2:35" x14ac:dyDescent="0.3">
      <c r="B178" s="312"/>
      <c r="C178" t="s">
        <v>1295</v>
      </c>
      <c r="E178">
        <v>46.88</v>
      </c>
      <c r="G178" s="1">
        <v>0.2</v>
      </c>
      <c r="I178">
        <f>E178*I$172*(1+$G178)</f>
        <v>5.6256000000000004</v>
      </c>
      <c r="J178">
        <f t="shared" si="19"/>
        <v>0</v>
      </c>
      <c r="L178">
        <f t="shared" si="20"/>
        <v>5.6256000000000006E-3</v>
      </c>
      <c r="M178">
        <f t="shared" si="21"/>
        <v>0</v>
      </c>
      <c r="O178" t="s">
        <v>1310</v>
      </c>
      <c r="U178">
        <v>3.1</v>
      </c>
      <c r="V178">
        <v>87.1</v>
      </c>
      <c r="W178" s="8">
        <f t="shared" si="24"/>
        <v>1.554</v>
      </c>
      <c r="X178" s="8">
        <f t="shared" si="22"/>
        <v>0.189</v>
      </c>
      <c r="Y178">
        <v>2.99</v>
      </c>
      <c r="Z178">
        <v>0.14699999999999999</v>
      </c>
      <c r="AA178">
        <v>0.11799999999999999</v>
      </c>
      <c r="AB178">
        <v>0.23100000000000001</v>
      </c>
      <c r="AC178" t="s">
        <v>1311</v>
      </c>
      <c r="AF178">
        <f t="shared" si="23"/>
        <v>5.3475000000000009E-2</v>
      </c>
      <c r="AG178">
        <f t="shared" si="23"/>
        <v>1.502475</v>
      </c>
      <c r="AH178">
        <f t="shared" si="17"/>
        <v>2.6806500000000004E-2</v>
      </c>
      <c r="AI178">
        <f t="shared" si="17"/>
        <v>3.2602500000000001E-3</v>
      </c>
    </row>
    <row r="179" spans="2:35" x14ac:dyDescent="0.3">
      <c r="B179" s="18"/>
      <c r="C179" t="s">
        <v>1296</v>
      </c>
      <c r="F179">
        <v>375</v>
      </c>
      <c r="G179" s="1">
        <v>0.2</v>
      </c>
      <c r="I179">
        <f t="shared" si="18"/>
        <v>0</v>
      </c>
      <c r="J179">
        <f t="shared" si="19"/>
        <v>22.5</v>
      </c>
      <c r="L179">
        <f t="shared" si="20"/>
        <v>0</v>
      </c>
      <c r="M179">
        <f t="shared" si="21"/>
        <v>2.2499999999999999E-2</v>
      </c>
      <c r="W179" s="8">
        <f>$Y$171*Y179+$AA$171*AA179</f>
        <v>0</v>
      </c>
      <c r="X179" s="8">
        <f t="shared" si="22"/>
        <v>0</v>
      </c>
    </row>
    <row r="180" spans="2:35" x14ac:dyDescent="0.3">
      <c r="B180" s="18"/>
      <c r="C180" t="s">
        <v>1297</v>
      </c>
      <c r="E180">
        <v>62.5</v>
      </c>
      <c r="G180" s="1">
        <v>0.2</v>
      </c>
      <c r="I180">
        <f>E180*I$172*(1+$G180)</f>
        <v>7.5</v>
      </c>
      <c r="J180">
        <f t="shared" si="19"/>
        <v>0</v>
      </c>
      <c r="L180">
        <f t="shared" si="20"/>
        <v>7.4999999999999997E-3</v>
      </c>
      <c r="M180">
        <f t="shared" si="21"/>
        <v>0</v>
      </c>
      <c r="W180" s="8">
        <f t="shared" si="24"/>
        <v>0</v>
      </c>
      <c r="X180" s="8">
        <f t="shared" si="22"/>
        <v>0</v>
      </c>
    </row>
    <row r="181" spans="2:35" x14ac:dyDescent="0.3">
      <c r="B181" s="312"/>
      <c r="C181" t="s">
        <v>1298</v>
      </c>
      <c r="F181">
        <v>655</v>
      </c>
      <c r="G181" s="1">
        <v>0.05</v>
      </c>
      <c r="I181">
        <f t="shared" si="18"/>
        <v>0</v>
      </c>
      <c r="J181">
        <f t="shared" si="19"/>
        <v>34.387500000000003</v>
      </c>
      <c r="L181">
        <f t="shared" si="20"/>
        <v>0</v>
      </c>
      <c r="M181">
        <f t="shared" si="21"/>
        <v>3.4387500000000001E-2</v>
      </c>
      <c r="O181" t="s">
        <v>1312</v>
      </c>
      <c r="U181" s="14">
        <f>'Impact settings'!F50+'Impact settings'!F57</f>
        <v>2.7519999999999998</v>
      </c>
      <c r="V181" s="14">
        <f>'Impact settings'!G50+'Impact settings'!G57</f>
        <v>90.160000000000011</v>
      </c>
      <c r="W181" s="8">
        <f t="shared" si="24"/>
        <v>1.554</v>
      </c>
      <c r="X181" s="8">
        <f t="shared" si="22"/>
        <v>0.189</v>
      </c>
      <c r="Y181">
        <v>2.99</v>
      </c>
      <c r="Z181">
        <v>0.14699999999999999</v>
      </c>
      <c r="AA181">
        <v>0.11799999999999999</v>
      </c>
      <c r="AB181">
        <v>0.23100000000000001</v>
      </c>
      <c r="AC181" t="s">
        <v>1311</v>
      </c>
      <c r="AF181">
        <f>U181*$M$181</f>
        <v>9.4634399999999994E-2</v>
      </c>
      <c r="AG181">
        <f>V181*$M$181</f>
        <v>3.1003770000000004</v>
      </c>
      <c r="AH181">
        <f t="shared" ref="AH181:AI181" si="25">W181*$M$181</f>
        <v>5.3438175000000004E-2</v>
      </c>
      <c r="AI181">
        <f t="shared" si="25"/>
        <v>6.4992375000000003E-3</v>
      </c>
    </row>
    <row r="182" spans="2:35" x14ac:dyDescent="0.3">
      <c r="B182" s="18"/>
      <c r="C182" t="s">
        <v>1299</v>
      </c>
      <c r="E182">
        <v>1</v>
      </c>
      <c r="G182" s="1">
        <v>0</v>
      </c>
      <c r="I182">
        <f t="shared" si="18"/>
        <v>0.1</v>
      </c>
      <c r="J182">
        <f t="shared" si="19"/>
        <v>0</v>
      </c>
      <c r="L182">
        <f t="shared" si="20"/>
        <v>1E-4</v>
      </c>
      <c r="M182">
        <f t="shared" si="21"/>
        <v>0</v>
      </c>
      <c r="W182" s="8">
        <f t="shared" si="24"/>
        <v>0</v>
      </c>
      <c r="X182" s="8">
        <f t="shared" si="22"/>
        <v>0</v>
      </c>
    </row>
    <row r="183" spans="2:35" x14ac:dyDescent="0.3">
      <c r="U183">
        <f>U174*$L174</f>
        <v>5.3475000000000009E-2</v>
      </c>
      <c r="V183">
        <f t="shared" ref="V183:X183" si="26">V174*$L174</f>
        <v>1.502475</v>
      </c>
      <c r="W183">
        <f t="shared" si="26"/>
        <v>2.6806500000000004E-2</v>
      </c>
      <c r="X183">
        <f t="shared" si="26"/>
        <v>3.2602500000000001E-3</v>
      </c>
    </row>
    <row r="184" spans="2:35" x14ac:dyDescent="0.3">
      <c r="I184" t="s">
        <v>1304</v>
      </c>
      <c r="U184">
        <f t="shared" ref="U184:X184" si="27">U175*$L175</f>
        <v>0.11723249999999999</v>
      </c>
      <c r="V184">
        <f t="shared" si="27"/>
        <v>2.5229999999999997</v>
      </c>
      <c r="W184">
        <f t="shared" si="27"/>
        <v>8.003999999999999E-3</v>
      </c>
      <c r="X184">
        <f t="shared" si="27"/>
        <v>9.537374999999999E-3</v>
      </c>
      <c r="Y184" s="42"/>
      <c r="Z184" s="42"/>
    </row>
    <row r="185" spans="2:35" x14ac:dyDescent="0.3">
      <c r="U185">
        <f t="shared" ref="U185:X185" si="28">U176*$L176</f>
        <v>0.8610525</v>
      </c>
      <c r="V185">
        <f t="shared" si="28"/>
        <v>18.530999999999999</v>
      </c>
      <c r="W185">
        <f t="shared" si="28"/>
        <v>5.8788E-2</v>
      </c>
      <c r="X185">
        <f t="shared" si="28"/>
        <v>7.0050374999999998E-2</v>
      </c>
      <c r="AF185">
        <f>SUM(AF174:AF182)</f>
        <v>0.48051690000000002</v>
      </c>
      <c r="AG185">
        <f>SUM(AG174:AG182)</f>
        <v>12.108327000000001</v>
      </c>
      <c r="AH185">
        <f t="shared" ref="AH185:AI185" si="29">SUM(AH174:AH182)</f>
        <v>0.126095175</v>
      </c>
      <c r="AI185">
        <f t="shared" si="29"/>
        <v>3.5712112500000004E-2</v>
      </c>
    </row>
    <row r="186" spans="2:35" x14ac:dyDescent="0.3">
      <c r="U186">
        <f t="shared" ref="U186:X186" si="30">U177*$L177</f>
        <v>0.25265948399999999</v>
      </c>
      <c r="V186">
        <f t="shared" si="30"/>
        <v>5.4375695999999998</v>
      </c>
      <c r="W186">
        <f t="shared" si="30"/>
        <v>1.7250220799999997E-2</v>
      </c>
      <c r="X186">
        <f t="shared" si="30"/>
        <v>2.05549506E-2</v>
      </c>
    </row>
    <row r="187" spans="2:35" x14ac:dyDescent="0.3">
      <c r="C187" t="s">
        <v>1313</v>
      </c>
      <c r="U187">
        <f t="shared" ref="U187:X187" si="31">U178*$L178</f>
        <v>1.7439360000000001E-2</v>
      </c>
      <c r="V187">
        <f t="shared" si="31"/>
        <v>0.48998976</v>
      </c>
      <c r="W187">
        <f t="shared" si="31"/>
        <v>8.7421824000000013E-3</v>
      </c>
      <c r="X187">
        <f t="shared" si="31"/>
        <v>1.0632384000000001E-3</v>
      </c>
    </row>
    <row r="188" spans="2:35" x14ac:dyDescent="0.3">
      <c r="C188" t="s">
        <v>1314</v>
      </c>
    </row>
    <row r="189" spans="2:35" x14ac:dyDescent="0.3">
      <c r="D189" t="s">
        <v>1315</v>
      </c>
      <c r="U189">
        <f>U181*$M181</f>
        <v>9.4634399999999994E-2</v>
      </c>
      <c r="V189">
        <f t="shared" ref="V189:X189" si="32">V181*$M181</f>
        <v>3.1003770000000004</v>
      </c>
      <c r="W189">
        <f t="shared" si="32"/>
        <v>5.3438175000000004E-2</v>
      </c>
      <c r="X189">
        <f t="shared" si="32"/>
        <v>6.4992375000000003E-3</v>
      </c>
    </row>
    <row r="190" spans="2:35" x14ac:dyDescent="0.3">
      <c r="B190" s="312"/>
      <c r="C190" t="s">
        <v>2130</v>
      </c>
      <c r="U190" s="42">
        <f>SUM(U183:U189)</f>
        <v>1.396493244</v>
      </c>
      <c r="V190" s="42">
        <f t="shared" ref="V190:X190" si="33">SUM(V183:V189)</f>
        <v>31.584411360000001</v>
      </c>
      <c r="W190" s="42">
        <f t="shared" si="33"/>
        <v>0.17302907820000002</v>
      </c>
      <c r="X190" s="42">
        <f t="shared" si="33"/>
        <v>0.11096542650000001</v>
      </c>
    </row>
    <row r="191" spans="2:35" x14ac:dyDescent="0.3">
      <c r="B191" s="18"/>
      <c r="C191" t="s">
        <v>1289</v>
      </c>
      <c r="Y191" s="42"/>
      <c r="Z191" s="42"/>
    </row>
    <row r="192" spans="2:35" s="70" customFormat="1" x14ac:dyDescent="0.3">
      <c r="B192" s="47"/>
      <c r="C192" s="47"/>
      <c r="D192" s="47"/>
      <c r="E192" s="47"/>
    </row>
    <row r="201" spans="2:12" s="70" customFormat="1" x14ac:dyDescent="0.3">
      <c r="B201" s="47"/>
      <c r="C201" s="47"/>
      <c r="D201" s="47"/>
    </row>
    <row r="202" spans="2:12" s="70" customFormat="1" x14ac:dyDescent="0.3">
      <c r="C202" s="47"/>
      <c r="D202" s="47"/>
      <c r="E202" s="47"/>
    </row>
    <row r="207" spans="2:12" x14ac:dyDescent="0.3">
      <c r="B207">
        <v>120</v>
      </c>
      <c r="C207">
        <v>140</v>
      </c>
      <c r="D207">
        <v>150</v>
      </c>
      <c r="E207">
        <v>160</v>
      </c>
      <c r="F207">
        <v>180</v>
      </c>
      <c r="G207">
        <v>200</v>
      </c>
      <c r="H207">
        <v>220</v>
      </c>
      <c r="I207">
        <v>250</v>
      </c>
      <c r="J207">
        <v>300</v>
      </c>
      <c r="K207">
        <v>500</v>
      </c>
      <c r="L207">
        <v>600</v>
      </c>
    </row>
    <row r="208" spans="2:12" x14ac:dyDescent="0.3">
      <c r="B208">
        <v>0.82747000000000004</v>
      </c>
      <c r="C208">
        <v>0.85770000000000002</v>
      </c>
      <c r="D208">
        <v>0.87</v>
      </c>
      <c r="E208">
        <v>0.88200000000000001</v>
      </c>
      <c r="F208">
        <v>0.9</v>
      </c>
      <c r="G208">
        <v>0.92</v>
      </c>
      <c r="H208">
        <v>0.93500000000000005</v>
      </c>
      <c r="I208">
        <v>0.95255995999999998</v>
      </c>
      <c r="J208">
        <v>0.37</v>
      </c>
      <c r="K208">
        <v>1</v>
      </c>
    </row>
    <row r="209" spans="2:12" x14ac:dyDescent="0.3">
      <c r="B209">
        <f>B208/$B$208</f>
        <v>1</v>
      </c>
      <c r="C209">
        <f t="shared" ref="C209:L209" si="34">C208/$B$208</f>
        <v>1.0365330465152816</v>
      </c>
      <c r="D209">
        <f t="shared" si="34"/>
        <v>1.0513976337510724</v>
      </c>
      <c r="E209">
        <f t="shared" si="34"/>
        <v>1.0658996700786736</v>
      </c>
      <c r="F209">
        <f t="shared" si="34"/>
        <v>1.0876527245700751</v>
      </c>
      <c r="G209">
        <f t="shared" si="34"/>
        <v>1.1118227851160767</v>
      </c>
      <c r="H209">
        <f t="shared" si="34"/>
        <v>1.129950330525578</v>
      </c>
      <c r="I209">
        <f t="shared" si="34"/>
        <v>1.1511715953448463</v>
      </c>
      <c r="J209">
        <f t="shared" si="34"/>
        <v>0.44714612010103083</v>
      </c>
      <c r="K209">
        <f t="shared" si="34"/>
        <v>1.2085030273000834</v>
      </c>
      <c r="L209">
        <f t="shared" si="34"/>
        <v>0</v>
      </c>
    </row>
    <row r="210" spans="2:12" x14ac:dyDescent="0.3">
      <c r="B210">
        <v>8.5</v>
      </c>
      <c r="I210">
        <f>I209*B210</f>
        <v>9.7849585604311926</v>
      </c>
    </row>
    <row r="213" spans="2:12" x14ac:dyDescent="0.3">
      <c r="B213" s="70"/>
      <c r="C213" s="47"/>
      <c r="D213" s="47"/>
      <c r="E213" s="70"/>
      <c r="F213" s="70"/>
      <c r="G213" s="70"/>
      <c r="H213" s="70"/>
      <c r="I213" s="70"/>
      <c r="J213" s="70"/>
      <c r="K213" s="70"/>
    </row>
    <row r="219" spans="2:12" s="70" customFormat="1" x14ac:dyDescent="0.3">
      <c r="C219" s="47"/>
      <c r="D219" s="47"/>
      <c r="E219" s="47"/>
    </row>
    <row r="224" spans="2:12" s="70" customFormat="1" x14ac:dyDescent="0.3">
      <c r="C224" s="47" t="s">
        <v>2131</v>
      </c>
      <c r="D224" s="47"/>
      <c r="E224" s="47"/>
    </row>
    <row r="226" spans="1:21" x14ac:dyDescent="0.3">
      <c r="C226" s="386" t="s">
        <v>1647</v>
      </c>
      <c r="D226" s="386"/>
      <c r="E226" s="386"/>
      <c r="F226" s="386"/>
      <c r="G226" t="s">
        <v>2039</v>
      </c>
      <c r="J226" s="386" t="s">
        <v>1648</v>
      </c>
      <c r="K226" s="386"/>
      <c r="L226" s="386"/>
      <c r="M226" s="386"/>
    </row>
    <row r="227" spans="1:21" x14ac:dyDescent="0.3">
      <c r="C227" t="s">
        <v>1637</v>
      </c>
      <c r="J227" t="s">
        <v>1649</v>
      </c>
    </row>
    <row r="228" spans="1:21" x14ac:dyDescent="0.3">
      <c r="D228" t="s">
        <v>1640</v>
      </c>
      <c r="E228">
        <v>250</v>
      </c>
      <c r="F228">
        <v>250</v>
      </c>
      <c r="G228">
        <v>250</v>
      </c>
      <c r="H228">
        <v>250</v>
      </c>
      <c r="K228" t="s">
        <v>1639</v>
      </c>
      <c r="L228">
        <v>8.5</v>
      </c>
      <c r="M228">
        <v>10</v>
      </c>
      <c r="N228">
        <v>10</v>
      </c>
      <c r="S228">
        <v>80</v>
      </c>
      <c r="T228">
        <v>10</v>
      </c>
      <c r="U228">
        <f>S232</f>
        <v>9.4619104506913452</v>
      </c>
    </row>
    <row r="229" spans="1:21" x14ac:dyDescent="0.3">
      <c r="D229" t="s">
        <v>1641</v>
      </c>
      <c r="E229">
        <v>0.1</v>
      </c>
      <c r="F229">
        <f>E229</f>
        <v>0.1</v>
      </c>
      <c r="G229">
        <v>2.0000000000000001E-4</v>
      </c>
      <c r="H229">
        <v>0.1</v>
      </c>
      <c r="K229" t="s">
        <v>1638</v>
      </c>
      <c r="L229">
        <v>117</v>
      </c>
      <c r="M229">
        <v>117</v>
      </c>
      <c r="N229">
        <v>90</v>
      </c>
      <c r="S229">
        <v>0.1</v>
      </c>
      <c r="T229">
        <v>117</v>
      </c>
      <c r="U229">
        <v>80</v>
      </c>
    </row>
    <row r="230" spans="1:21" x14ac:dyDescent="0.3">
      <c r="D230" t="s">
        <v>1638</v>
      </c>
      <c r="E230">
        <v>117</v>
      </c>
      <c r="F230">
        <v>117</v>
      </c>
      <c r="G230">
        <v>90</v>
      </c>
      <c r="H230">
        <v>90</v>
      </c>
      <c r="K230" t="s">
        <v>1650</v>
      </c>
      <c r="L230">
        <v>250</v>
      </c>
      <c r="M230">
        <v>250</v>
      </c>
      <c r="N230">
        <v>250</v>
      </c>
      <c r="S230">
        <v>117</v>
      </c>
      <c r="T230">
        <v>250</v>
      </c>
      <c r="U230">
        <v>250</v>
      </c>
    </row>
    <row r="231" spans="1:21" x14ac:dyDescent="0.3">
      <c r="D231" t="s">
        <v>1639</v>
      </c>
      <c r="E231">
        <v>10</v>
      </c>
      <c r="F231">
        <v>10</v>
      </c>
      <c r="G231">
        <v>10</v>
      </c>
      <c r="H231">
        <v>10</v>
      </c>
      <c r="K231" t="s">
        <v>806</v>
      </c>
      <c r="L231">
        <v>0.14299999999999999</v>
      </c>
      <c r="M231">
        <v>0.14299999999999999</v>
      </c>
      <c r="N231">
        <v>0.14299999999999999</v>
      </c>
      <c r="O231" t="s">
        <v>1651</v>
      </c>
      <c r="S231">
        <v>10</v>
      </c>
      <c r="T231">
        <f>T233</f>
        <v>0.14549999999999999</v>
      </c>
      <c r="U231">
        <f>T233</f>
        <v>0.14549999999999999</v>
      </c>
    </row>
    <row r="232" spans="1:21" x14ac:dyDescent="0.3">
      <c r="D232" t="s">
        <v>1642</v>
      </c>
      <c r="E232">
        <f>E231*(LN(E228/E229)/LN(E230/E229))</f>
        <v>11.074752840227895</v>
      </c>
      <c r="F232">
        <f>F231*(LN(F228/F229)/LN(F230/F229))</f>
        <v>11.074752840227895</v>
      </c>
      <c r="G232">
        <f>G231*(LN(G228/G229)/LN(G230/G229))</f>
        <v>10.784859048110331</v>
      </c>
      <c r="H232">
        <f>H231*(LN(H228/H229)/LN(H230/H229))</f>
        <v>11.501899379671848</v>
      </c>
      <c r="K232" t="s">
        <v>1642</v>
      </c>
      <c r="L232">
        <f>L228*(L230/L229)^L231</f>
        <v>9.4748810999754092</v>
      </c>
      <c r="M232">
        <f>M228*(M230/M229)^M231</f>
        <v>11.146918941147542</v>
      </c>
      <c r="N232">
        <f>N228*(N230/N229)^N231</f>
        <v>11.573074328122575</v>
      </c>
      <c r="S232">
        <f>S231*(LN(S228/S229)/LN(S230/S229))</f>
        <v>9.4619104506913452</v>
      </c>
      <c r="T232">
        <f>T228*(T230/T229)^T231</f>
        <v>11.168098312447423</v>
      </c>
      <c r="U232">
        <f>U228*(U230/U229)^U231</f>
        <v>11.168105596716121</v>
      </c>
    </row>
    <row r="233" spans="1:21" x14ac:dyDescent="0.3">
      <c r="S233" t="s">
        <v>1655</v>
      </c>
      <c r="T233">
        <v>0.14549999999999999</v>
      </c>
    </row>
    <row r="234" spans="1:21" s="70" customFormat="1" x14ac:dyDescent="0.3">
      <c r="B234" s="71" t="s">
        <v>1578</v>
      </c>
      <c r="C234" s="47"/>
      <c r="D234" s="47"/>
      <c r="E234" s="47"/>
    </row>
    <row r="238" spans="1:21" x14ac:dyDescent="0.3">
      <c r="A238" s="414" t="s">
        <v>1579</v>
      </c>
      <c r="B238" s="414"/>
      <c r="H238" t="s">
        <v>1408</v>
      </c>
      <c r="J238" t="s">
        <v>1409</v>
      </c>
    </row>
    <row r="239" spans="1:21" x14ac:dyDescent="0.3">
      <c r="C239" t="s">
        <v>1399</v>
      </c>
      <c r="D239" t="s">
        <v>1576</v>
      </c>
      <c r="E239" t="s">
        <v>1396</v>
      </c>
      <c r="F239" t="s">
        <v>1577</v>
      </c>
      <c r="G239" t="s">
        <v>1398</v>
      </c>
      <c r="H239" t="s">
        <v>1397</v>
      </c>
      <c r="J239" t="s">
        <v>1410</v>
      </c>
      <c r="L239" t="s">
        <v>757</v>
      </c>
    </row>
    <row r="240" spans="1:21" x14ac:dyDescent="0.3">
      <c r="A240" t="s">
        <v>1400</v>
      </c>
      <c r="B240" t="s">
        <v>1403</v>
      </c>
      <c r="C240">
        <f t="shared" ref="C240:C247" si="35">SQRT(D240/G240)</f>
        <v>2.6076809620810595</v>
      </c>
      <c r="D240">
        <v>85</v>
      </c>
      <c r="E240">
        <v>299</v>
      </c>
      <c r="F240">
        <f>E240/D240</f>
        <v>3.5176470588235293</v>
      </c>
      <c r="G240">
        <v>12.5</v>
      </c>
      <c r="H240">
        <v>32</v>
      </c>
      <c r="J240">
        <f t="shared" ref="J240:J247" si="36">D240/C240</f>
        <v>32.596012026013241</v>
      </c>
      <c r="M240">
        <f>SQRT(D240*G240)</f>
        <v>32.596012026013241</v>
      </c>
    </row>
    <row r="241" spans="1:23" x14ac:dyDescent="0.3">
      <c r="B241" t="s">
        <v>1401</v>
      </c>
      <c r="C241">
        <f t="shared" si="35"/>
        <v>4.8989794855663558</v>
      </c>
      <c r="D241">
        <v>300</v>
      </c>
      <c r="E241">
        <v>1170</v>
      </c>
      <c r="F241">
        <f>E241/D241</f>
        <v>3.9</v>
      </c>
      <c r="G241">
        <v>12.5</v>
      </c>
      <c r="J241">
        <f t="shared" si="36"/>
        <v>61.237243569579455</v>
      </c>
      <c r="M241">
        <f t="shared" ref="M241:M247" si="37">SQRT(D241*G241)</f>
        <v>61.237243569579455</v>
      </c>
    </row>
    <row r="242" spans="1:23" x14ac:dyDescent="0.3">
      <c r="B242" t="s">
        <v>1411</v>
      </c>
      <c r="C242">
        <f t="shared" si="35"/>
        <v>5.1613951602255765</v>
      </c>
      <c r="D242">
        <v>333</v>
      </c>
      <c r="E242">
        <v>1170</v>
      </c>
      <c r="F242">
        <f>E242/D242</f>
        <v>3.5135135135135136</v>
      </c>
      <c r="G242">
        <v>12.5</v>
      </c>
      <c r="J242">
        <f t="shared" si="36"/>
        <v>64.517439502819698</v>
      </c>
      <c r="M242">
        <f t="shared" si="37"/>
        <v>64.517439502819698</v>
      </c>
    </row>
    <row r="243" spans="1:23" x14ac:dyDescent="0.3">
      <c r="A243" t="s">
        <v>1406</v>
      </c>
      <c r="C243">
        <f t="shared" si="35"/>
        <v>2.6076809620810595</v>
      </c>
      <c r="D243">
        <v>85</v>
      </c>
      <c r="E243">
        <v>272</v>
      </c>
      <c r="F243">
        <f t="shared" ref="F243:F244" si="38">E243/D243</f>
        <v>3.2</v>
      </c>
      <c r="G243">
        <v>12.5</v>
      </c>
      <c r="J243">
        <f t="shared" si="36"/>
        <v>32.596012026013241</v>
      </c>
      <c r="L243" t="s">
        <v>1407</v>
      </c>
      <c r="M243">
        <f t="shared" si="37"/>
        <v>32.596012026013241</v>
      </c>
    </row>
    <row r="244" spans="1:23" x14ac:dyDescent="0.3">
      <c r="A244" t="s">
        <v>1406</v>
      </c>
      <c r="B244" t="s">
        <v>1404</v>
      </c>
      <c r="C244">
        <f t="shared" si="35"/>
        <v>0.9797958971132712</v>
      </c>
      <c r="D244">
        <v>12</v>
      </c>
      <c r="E244">
        <v>42</v>
      </c>
      <c r="F244">
        <f t="shared" si="38"/>
        <v>3.5</v>
      </c>
      <c r="G244">
        <v>12.5</v>
      </c>
      <c r="J244">
        <f t="shared" si="36"/>
        <v>12.24744871391589</v>
      </c>
      <c r="L244" t="s">
        <v>1407</v>
      </c>
      <c r="M244">
        <f t="shared" si="37"/>
        <v>12.24744871391589</v>
      </c>
    </row>
    <row r="245" spans="1:23" x14ac:dyDescent="0.3">
      <c r="A245" t="s">
        <v>1402</v>
      </c>
      <c r="B245" t="s">
        <v>1403</v>
      </c>
      <c r="C245">
        <f t="shared" si="35"/>
        <v>2.5298221281347035</v>
      </c>
      <c r="D245">
        <v>80</v>
      </c>
      <c r="G245">
        <v>12.5</v>
      </c>
      <c r="H245">
        <v>25</v>
      </c>
      <c r="J245">
        <f t="shared" si="36"/>
        <v>31.622776601683793</v>
      </c>
      <c r="M245">
        <f t="shared" si="37"/>
        <v>31.622776601683793</v>
      </c>
    </row>
    <row r="246" spans="1:23" x14ac:dyDescent="0.3">
      <c r="B246" t="s">
        <v>1404</v>
      </c>
      <c r="C246">
        <f t="shared" si="35"/>
        <v>0.9797958971132712</v>
      </c>
      <c r="D246">
        <v>12</v>
      </c>
      <c r="G246">
        <v>12.5</v>
      </c>
      <c r="H246">
        <v>12</v>
      </c>
      <c r="J246">
        <f t="shared" si="36"/>
        <v>12.24744871391589</v>
      </c>
      <c r="M246">
        <f t="shared" si="37"/>
        <v>12.24744871391589</v>
      </c>
    </row>
    <row r="247" spans="1:23" x14ac:dyDescent="0.3">
      <c r="B247" t="s">
        <v>1405</v>
      </c>
      <c r="C247">
        <f t="shared" si="35"/>
        <v>0.4898979485566356</v>
      </c>
      <c r="D247">
        <v>3</v>
      </c>
      <c r="G247">
        <v>12.5</v>
      </c>
      <c r="H247">
        <v>5.5</v>
      </c>
      <c r="J247">
        <f t="shared" si="36"/>
        <v>6.1237243569579451</v>
      </c>
      <c r="M247">
        <f t="shared" si="37"/>
        <v>6.1237243569579451</v>
      </c>
      <c r="Q247">
        <v>15</v>
      </c>
    </row>
    <row r="248" spans="1:23" x14ac:dyDescent="0.3">
      <c r="Q248" s="1">
        <v>5.0000000000000001E-4</v>
      </c>
    </row>
    <row r="249" spans="1:23" x14ac:dyDescent="0.3">
      <c r="Q249">
        <f>Q248*Q247</f>
        <v>7.4999999999999997E-3</v>
      </c>
      <c r="R249">
        <v>4</v>
      </c>
    </row>
    <row r="250" spans="1:23" x14ac:dyDescent="0.3">
      <c r="R250" s="1">
        <f>R249*Q249</f>
        <v>0.03</v>
      </c>
    </row>
    <row r="252" spans="1:23" x14ac:dyDescent="0.3">
      <c r="E252" t="s">
        <v>1754</v>
      </c>
      <c r="G252">
        <v>1.2</v>
      </c>
      <c r="H252" t="s">
        <v>1012</v>
      </c>
    </row>
    <row r="253" spans="1:23" x14ac:dyDescent="0.3">
      <c r="V253" t="s">
        <v>1714</v>
      </c>
    </row>
    <row r="254" spans="1:23" x14ac:dyDescent="0.3">
      <c r="B254" t="s">
        <v>1674</v>
      </c>
      <c r="E254">
        <v>15</v>
      </c>
      <c r="F254" t="s">
        <v>1012</v>
      </c>
      <c r="H254" t="s">
        <v>1713</v>
      </c>
      <c r="N254" t="s">
        <v>1680</v>
      </c>
      <c r="V254" t="s">
        <v>1715</v>
      </c>
    </row>
    <row r="255" spans="1:23" x14ac:dyDescent="0.3">
      <c r="C255" t="s">
        <v>259</v>
      </c>
      <c r="D255" t="s">
        <v>1675</v>
      </c>
      <c r="E255" t="s">
        <v>1676</v>
      </c>
      <c r="G255" t="s">
        <v>1677</v>
      </c>
      <c r="I255" t="s">
        <v>1678</v>
      </c>
      <c r="J255" t="s">
        <v>102</v>
      </c>
      <c r="N255">
        <v>50</v>
      </c>
      <c r="O255" t="s">
        <v>1679</v>
      </c>
      <c r="V255" t="s">
        <v>1716</v>
      </c>
      <c r="W255">
        <f>25000000/0.8</f>
        <v>31250000</v>
      </c>
    </row>
    <row r="256" spans="1:23" x14ac:dyDescent="0.3">
      <c r="C256">
        <v>240</v>
      </c>
      <c r="D256">
        <v>0.11</v>
      </c>
      <c r="E256">
        <f>D256*$G$252</f>
        <v>0.13200000000000001</v>
      </c>
      <c r="G256">
        <v>33</v>
      </c>
      <c r="H256">
        <v>455</v>
      </c>
      <c r="I256">
        <f>H256^2*3*E256</f>
        <v>81981.900000000009</v>
      </c>
      <c r="J256">
        <f>I256/(1000*1000)</f>
        <v>8.198190000000001E-2</v>
      </c>
      <c r="K256">
        <v>3</v>
      </c>
      <c r="M256">
        <f>K256*J256</f>
        <v>0.24594570000000004</v>
      </c>
      <c r="N256">
        <f t="shared" ref="N256:N259" si="39">(M256/$N$255)*100</f>
        <v>0.49189140000000009</v>
      </c>
      <c r="V256" t="s">
        <v>1718</v>
      </c>
    </row>
    <row r="257" spans="3:23" x14ac:dyDescent="0.3">
      <c r="C257">
        <v>240</v>
      </c>
      <c r="D257">
        <v>0.11</v>
      </c>
      <c r="E257">
        <f t="shared" ref="E257:E258" si="40">D257*$G$252</f>
        <v>0.13200000000000001</v>
      </c>
      <c r="G257">
        <v>33</v>
      </c>
      <c r="H257">
        <v>303</v>
      </c>
      <c r="I257">
        <f>H257^2*3*E257</f>
        <v>36356.364000000001</v>
      </c>
      <c r="J257">
        <f>I257/(1000*1000)</f>
        <v>3.6356364000000002E-2</v>
      </c>
      <c r="K257">
        <v>3</v>
      </c>
      <c r="M257">
        <f t="shared" ref="M257:M258" si="41">K257*J257</f>
        <v>0.10906909200000001</v>
      </c>
      <c r="N257">
        <f t="shared" si="39"/>
        <v>0.21813818400000001</v>
      </c>
      <c r="V257" t="s">
        <v>1717</v>
      </c>
      <c r="W257">
        <f>W255/(1.73*33000)</f>
        <v>547.38132772814856</v>
      </c>
    </row>
    <row r="258" spans="3:23" x14ac:dyDescent="0.3">
      <c r="C258">
        <v>240</v>
      </c>
      <c r="D258">
        <v>0.11</v>
      </c>
      <c r="E258">
        <f t="shared" si="40"/>
        <v>0.13200000000000001</v>
      </c>
      <c r="G258">
        <v>33</v>
      </c>
      <c r="H258">
        <v>152</v>
      </c>
      <c r="I258">
        <f>H258^2*3*E258</f>
        <v>9149.1840000000011</v>
      </c>
      <c r="J258">
        <f>I258/(1000*1000)</f>
        <v>9.1491840000000012E-3</v>
      </c>
      <c r="K258">
        <v>3</v>
      </c>
      <c r="M258">
        <f t="shared" si="41"/>
        <v>2.7447552000000004E-2</v>
      </c>
      <c r="N258">
        <f t="shared" si="39"/>
        <v>5.4895104000000007E-2</v>
      </c>
    </row>
    <row r="259" spans="3:23" x14ac:dyDescent="0.3">
      <c r="C259">
        <v>600</v>
      </c>
      <c r="E259">
        <f t="shared" ref="E259" si="42">D259*$E$254</f>
        <v>0</v>
      </c>
      <c r="I259">
        <f t="shared" ref="I259:I260" si="43">H259^2*3*E259</f>
        <v>0</v>
      </c>
      <c r="J259">
        <f t="shared" ref="J259:J260" si="44">I259/(1000*1000)</f>
        <v>0</v>
      </c>
      <c r="N259">
        <f t="shared" si="39"/>
        <v>0</v>
      </c>
    </row>
    <row r="260" spans="3:23" x14ac:dyDescent="0.3">
      <c r="C260">
        <v>630</v>
      </c>
      <c r="D260">
        <v>4.2000000000000003E-2</v>
      </c>
      <c r="E260">
        <f>D260*15</f>
        <v>0.63</v>
      </c>
      <c r="H260">
        <v>760</v>
      </c>
      <c r="I260">
        <f t="shared" si="43"/>
        <v>1091664</v>
      </c>
      <c r="J260">
        <f t="shared" si="44"/>
        <v>1.091664</v>
      </c>
      <c r="K260">
        <v>2</v>
      </c>
      <c r="M260">
        <f>J260*K260</f>
        <v>2.1833279999999999</v>
      </c>
      <c r="N260">
        <f>(M260/$N$255)*100</f>
        <v>4.3666559999999999</v>
      </c>
    </row>
    <row r="261" spans="3:23" x14ac:dyDescent="0.3">
      <c r="N261">
        <f>SUM(N256:N260)</f>
        <v>5.1315806879999997</v>
      </c>
      <c r="O261" t="s">
        <v>1681</v>
      </c>
      <c r="Q261" t="s">
        <v>1682</v>
      </c>
    </row>
    <row r="263" spans="3:23" x14ac:dyDescent="0.3">
      <c r="C263">
        <v>630</v>
      </c>
      <c r="D263">
        <v>4.2000000000000003E-2</v>
      </c>
      <c r="E263">
        <f>D263*E254</f>
        <v>0.63</v>
      </c>
      <c r="G263">
        <f>135</f>
        <v>135</v>
      </c>
      <c r="H263">
        <f>(25000/G263)</f>
        <v>185.18518518518519</v>
      </c>
      <c r="I263">
        <f>H263^2*3*E263</f>
        <v>64814.814814814818</v>
      </c>
      <c r="J263">
        <f>I263/(1000*1000)</f>
        <v>6.4814814814814811E-2</v>
      </c>
      <c r="K263">
        <v>2</v>
      </c>
      <c r="M263">
        <f>J263*K263</f>
        <v>0.12962962962962962</v>
      </c>
      <c r="N263">
        <f>(M263/$N$255)*100</f>
        <v>0.25925925925925924</v>
      </c>
      <c r="P263">
        <f>N263+SUM(N256:N258)</f>
        <v>1.0241839472592593</v>
      </c>
    </row>
    <row r="264" spans="3:23" x14ac:dyDescent="0.3">
      <c r="J264" t="s">
        <v>765</v>
      </c>
    </row>
    <row r="265" spans="3:23" x14ac:dyDescent="0.3">
      <c r="J265">
        <f>(3*(455^2*E256)/1000)</f>
        <v>81.98190000000001</v>
      </c>
    </row>
    <row r="266" spans="3:23" x14ac:dyDescent="0.3">
      <c r="J266">
        <f>(3*(H260^2*E260)/1000)</f>
        <v>1091.664</v>
      </c>
    </row>
    <row r="267" spans="3:23" x14ac:dyDescent="0.3">
      <c r="H267" t="s">
        <v>1693</v>
      </c>
    </row>
    <row r="268" spans="3:23" x14ac:dyDescent="0.3">
      <c r="D268" t="s">
        <v>330</v>
      </c>
      <c r="G268" t="s">
        <v>1683</v>
      </c>
      <c r="H268">
        <v>65</v>
      </c>
    </row>
    <row r="269" spans="3:23" x14ac:dyDescent="0.3">
      <c r="C269" t="s">
        <v>1712</v>
      </c>
      <c r="E269" t="s">
        <v>793</v>
      </c>
      <c r="G269">
        <v>268.66000000000003</v>
      </c>
      <c r="H269">
        <f>G269*$H$268</f>
        <v>17462.900000000001</v>
      </c>
      <c r="I269">
        <f>100*H269/$H$282</f>
        <v>34.093908629441628</v>
      </c>
      <c r="J269" t="s">
        <v>1694</v>
      </c>
      <c r="L269">
        <v>45431</v>
      </c>
    </row>
    <row r="270" spans="3:23" x14ac:dyDescent="0.3">
      <c r="C270" t="s">
        <v>1711</v>
      </c>
      <c r="E270" t="s">
        <v>1684</v>
      </c>
      <c r="G270">
        <v>152.29</v>
      </c>
      <c r="H270">
        <f t="shared" ref="H270:H282" si="45">G270*$H$268</f>
        <v>9898.85</v>
      </c>
      <c r="I270">
        <f t="shared" ref="I270:I282" si="46">100*H270/$H$282</f>
        <v>19.326142131979694</v>
      </c>
      <c r="J270" t="s">
        <v>1695</v>
      </c>
      <c r="L270">
        <v>40000</v>
      </c>
    </row>
    <row r="271" spans="3:23" x14ac:dyDescent="0.3">
      <c r="C271" t="s">
        <v>110</v>
      </c>
      <c r="E271" t="s">
        <v>1685</v>
      </c>
      <c r="G271">
        <v>30</v>
      </c>
      <c r="H271">
        <f t="shared" si="45"/>
        <v>1950</v>
      </c>
      <c r="I271">
        <f t="shared" si="46"/>
        <v>3.8071065989847717</v>
      </c>
      <c r="J271" t="s">
        <v>12</v>
      </c>
      <c r="L271">
        <v>34475</v>
      </c>
    </row>
    <row r="272" spans="3:23" x14ac:dyDescent="0.3">
      <c r="C272" t="s">
        <v>829</v>
      </c>
      <c r="E272" t="s">
        <v>829</v>
      </c>
      <c r="G272">
        <v>4.4400000000000004</v>
      </c>
      <c r="H272">
        <f t="shared" si="45"/>
        <v>288.60000000000002</v>
      </c>
      <c r="I272">
        <f t="shared" si="46"/>
        <v>0.56345177664974622</v>
      </c>
      <c r="J272" t="s">
        <v>113</v>
      </c>
      <c r="L272">
        <v>18320</v>
      </c>
    </row>
    <row r="273" spans="2:12" x14ac:dyDescent="0.3">
      <c r="B273" t="s">
        <v>814</v>
      </c>
      <c r="E273" t="s">
        <v>1686</v>
      </c>
      <c r="G273">
        <v>5.92</v>
      </c>
      <c r="H273">
        <f t="shared" si="45"/>
        <v>384.8</v>
      </c>
      <c r="I273">
        <f t="shared" si="46"/>
        <v>0.75126903553299496</v>
      </c>
      <c r="J273" t="s">
        <v>1696</v>
      </c>
      <c r="L273">
        <v>2283</v>
      </c>
    </row>
    <row r="274" spans="2:12" x14ac:dyDescent="0.3">
      <c r="C274" t="s">
        <v>1709</v>
      </c>
      <c r="E274" t="s">
        <v>1687</v>
      </c>
      <c r="G274">
        <v>1.56</v>
      </c>
      <c r="H274">
        <f t="shared" si="45"/>
        <v>101.4</v>
      </c>
      <c r="I274">
        <f t="shared" si="46"/>
        <v>0.19796954314720813</v>
      </c>
      <c r="J274" t="s">
        <v>1697</v>
      </c>
      <c r="L274">
        <v>1004</v>
      </c>
    </row>
    <row r="275" spans="2:12" x14ac:dyDescent="0.3">
      <c r="C275" t="s">
        <v>1710</v>
      </c>
      <c r="E275" t="s">
        <v>1689</v>
      </c>
      <c r="G275">
        <v>95.35</v>
      </c>
      <c r="H275">
        <f t="shared" si="45"/>
        <v>6197.75</v>
      </c>
      <c r="I275">
        <f t="shared" si="46"/>
        <v>12.100253807106599</v>
      </c>
      <c r="J275" t="s">
        <v>1698</v>
      </c>
      <c r="L275">
        <v>416</v>
      </c>
    </row>
    <row r="276" spans="2:12" x14ac:dyDescent="0.3">
      <c r="E276" t="s">
        <v>1688</v>
      </c>
      <c r="G276">
        <v>21.17</v>
      </c>
      <c r="H276">
        <f t="shared" si="45"/>
        <v>1376.0500000000002</v>
      </c>
      <c r="I276">
        <f t="shared" si="46"/>
        <v>2.6865482233502544</v>
      </c>
      <c r="J276" t="s">
        <v>227</v>
      </c>
      <c r="L276">
        <v>397</v>
      </c>
    </row>
    <row r="277" spans="2:12" x14ac:dyDescent="0.3">
      <c r="E277" t="s">
        <v>1690</v>
      </c>
      <c r="G277">
        <v>8.0299999999999994</v>
      </c>
      <c r="H277">
        <f t="shared" si="45"/>
        <v>521.94999999999993</v>
      </c>
      <c r="I277">
        <f t="shared" si="46"/>
        <v>1.0190355329949237</v>
      </c>
      <c r="J277" t="s">
        <v>814</v>
      </c>
      <c r="L277">
        <v>601</v>
      </c>
    </row>
    <row r="278" spans="2:12" x14ac:dyDescent="0.3">
      <c r="C278" t="s">
        <v>141</v>
      </c>
      <c r="E278" t="s">
        <v>1691</v>
      </c>
      <c r="G278">
        <v>7.95</v>
      </c>
      <c r="H278">
        <f t="shared" si="45"/>
        <v>516.75</v>
      </c>
      <c r="I278">
        <f t="shared" si="46"/>
        <v>1.0088832487309645</v>
      </c>
      <c r="J278" t="s">
        <v>1699</v>
      </c>
      <c r="L278">
        <v>237</v>
      </c>
    </row>
    <row r="279" spans="2:12" x14ac:dyDescent="0.3">
      <c r="C279" t="s">
        <v>138</v>
      </c>
      <c r="E279" t="s">
        <v>138</v>
      </c>
      <c r="G279">
        <v>0.38</v>
      </c>
      <c r="H279">
        <f t="shared" si="45"/>
        <v>24.7</v>
      </c>
      <c r="I279">
        <f t="shared" si="46"/>
        <v>4.8223350253807105E-2</v>
      </c>
      <c r="J279" t="s">
        <v>952</v>
      </c>
      <c r="L279">
        <v>178</v>
      </c>
    </row>
    <row r="280" spans="2:12" x14ac:dyDescent="0.3">
      <c r="C280" t="s">
        <v>45</v>
      </c>
      <c r="E280" t="s">
        <v>1692</v>
      </c>
      <c r="G280">
        <v>192</v>
      </c>
      <c r="H280">
        <f t="shared" si="45"/>
        <v>12480</v>
      </c>
      <c r="I280">
        <f t="shared" si="46"/>
        <v>24.365482233502537</v>
      </c>
      <c r="J280" t="s">
        <v>1700</v>
      </c>
      <c r="L280">
        <v>139</v>
      </c>
    </row>
    <row r="281" spans="2:12" x14ac:dyDescent="0.3">
      <c r="C281" t="s">
        <v>796</v>
      </c>
      <c r="E281" t="s">
        <v>796</v>
      </c>
      <c r="G281">
        <v>0.75</v>
      </c>
      <c r="H281">
        <f t="shared" si="45"/>
        <v>48.75</v>
      </c>
      <c r="I281">
        <f t="shared" si="46"/>
        <v>9.5177664974619283E-2</v>
      </c>
      <c r="J281" t="s">
        <v>1701</v>
      </c>
      <c r="L281">
        <v>172</v>
      </c>
    </row>
    <row r="282" spans="2:12" x14ac:dyDescent="0.3">
      <c r="E282" t="s">
        <v>55</v>
      </c>
      <c r="G282">
        <v>788</v>
      </c>
      <c r="H282">
        <f t="shared" si="45"/>
        <v>51220</v>
      </c>
      <c r="I282">
        <f t="shared" si="46"/>
        <v>100</v>
      </c>
      <c r="J282" t="s">
        <v>1705</v>
      </c>
      <c r="L282">
        <v>105</v>
      </c>
    </row>
    <row r="283" spans="2:12" x14ac:dyDescent="0.3">
      <c r="J283" t="s">
        <v>1702</v>
      </c>
      <c r="L283">
        <v>69</v>
      </c>
    </row>
    <row r="284" spans="2:12" x14ac:dyDescent="0.3">
      <c r="J284" t="s">
        <v>1703</v>
      </c>
      <c r="L284">
        <v>43</v>
      </c>
    </row>
    <row r="285" spans="2:12" x14ac:dyDescent="0.3">
      <c r="H285" t="s">
        <v>1706</v>
      </c>
      <c r="J285" t="s">
        <v>1258</v>
      </c>
      <c r="L285">
        <v>78</v>
      </c>
    </row>
    <row r="286" spans="2:12" x14ac:dyDescent="0.3">
      <c r="H286">
        <v>58000</v>
      </c>
      <c r="I286" t="s">
        <v>1707</v>
      </c>
      <c r="J286" t="s">
        <v>1704</v>
      </c>
      <c r="L286">
        <v>26</v>
      </c>
    </row>
    <row r="287" spans="2:12" x14ac:dyDescent="0.3">
      <c r="H287" t="s">
        <v>1708</v>
      </c>
      <c r="L287">
        <f>SUM(L269:L286)</f>
        <v>143974</v>
      </c>
    </row>
    <row r="288" spans="2:12" s="70" customFormat="1" x14ac:dyDescent="0.3">
      <c r="B288" s="71" t="s">
        <v>1429</v>
      </c>
      <c r="C288" s="47"/>
    </row>
    <row r="289" spans="4:24" x14ac:dyDescent="0.3">
      <c r="D289" t="s">
        <v>1429</v>
      </c>
      <c r="K289" t="s">
        <v>1422</v>
      </c>
      <c r="N289" t="s">
        <v>1424</v>
      </c>
    </row>
    <row r="291" spans="4:24" x14ac:dyDescent="0.3">
      <c r="K291">
        <v>5</v>
      </c>
      <c r="L291" t="s">
        <v>1288</v>
      </c>
      <c r="M291">
        <v>20</v>
      </c>
      <c r="N291" t="s">
        <v>1288</v>
      </c>
      <c r="O291">
        <v>1</v>
      </c>
      <c r="P291">
        <f>M291/K291</f>
        <v>4</v>
      </c>
      <c r="X291">
        <v>5000</v>
      </c>
    </row>
    <row r="292" spans="4:24" x14ac:dyDescent="0.3">
      <c r="E292" t="s">
        <v>1423</v>
      </c>
      <c r="G292" t="s">
        <v>1435</v>
      </c>
      <c r="H292" s="79"/>
      <c r="K292" s="19">
        <v>8400</v>
      </c>
      <c r="L292" t="s">
        <v>65</v>
      </c>
      <c r="M292" s="19">
        <f>K292*$P$291*0.3</f>
        <v>10080</v>
      </c>
      <c r="N292" t="s">
        <v>65</v>
      </c>
      <c r="O292" t="s">
        <v>1433</v>
      </c>
      <c r="X292">
        <f>X291/20</f>
        <v>250</v>
      </c>
    </row>
    <row r="293" spans="4:24" x14ac:dyDescent="0.3">
      <c r="E293" t="s">
        <v>1430</v>
      </c>
      <c r="H293" s="79"/>
      <c r="K293" s="19">
        <v>2000</v>
      </c>
      <c r="L293" t="s">
        <v>65</v>
      </c>
      <c r="M293" s="19">
        <f>K293*$O$291</f>
        <v>2000</v>
      </c>
      <c r="N293" t="s">
        <v>65</v>
      </c>
      <c r="O293" t="s">
        <v>1433</v>
      </c>
    </row>
    <row r="294" spans="4:24" x14ac:dyDescent="0.3">
      <c r="G294" t="s">
        <v>1450</v>
      </c>
      <c r="M294">
        <f t="shared" ref="M294:M298" si="47">K294*$O$291</f>
        <v>0</v>
      </c>
    </row>
    <row r="295" spans="4:24" x14ac:dyDescent="0.3">
      <c r="E295" t="s">
        <v>1431</v>
      </c>
      <c r="J295" t="s">
        <v>55</v>
      </c>
      <c r="K295" s="19">
        <v>400</v>
      </c>
      <c r="L295" t="s">
        <v>65</v>
      </c>
      <c r="M295" s="19">
        <f t="shared" si="47"/>
        <v>400</v>
      </c>
      <c r="N295" t="s">
        <v>65</v>
      </c>
      <c r="O295" t="s">
        <v>1433</v>
      </c>
    </row>
    <row r="296" spans="4:24" x14ac:dyDescent="0.3">
      <c r="G296" t="s">
        <v>6</v>
      </c>
      <c r="H296" s="79"/>
      <c r="J296" s="147">
        <v>0.22</v>
      </c>
      <c r="K296">
        <f>J296*K295</f>
        <v>88</v>
      </c>
      <c r="L296" s="147">
        <v>0.22</v>
      </c>
      <c r="M296" s="19">
        <f t="shared" si="47"/>
        <v>88</v>
      </c>
      <c r="S296">
        <f>M292+M293+M295+K300+M301+M302+M303+M304</f>
        <v>17080</v>
      </c>
    </row>
    <row r="297" spans="4:24" x14ac:dyDescent="0.3">
      <c r="G297" t="s">
        <v>1436</v>
      </c>
      <c r="H297" s="79"/>
      <c r="J297" s="147">
        <v>0.48</v>
      </c>
      <c r="K297">
        <f>J297*K295</f>
        <v>192</v>
      </c>
      <c r="L297" s="147">
        <v>0.48</v>
      </c>
      <c r="M297" s="19">
        <f t="shared" si="47"/>
        <v>192</v>
      </c>
    </row>
    <row r="298" spans="4:24" x14ac:dyDescent="0.3">
      <c r="G298" t="s">
        <v>295</v>
      </c>
      <c r="H298" s="79"/>
      <c r="J298" s="147">
        <v>0.3</v>
      </c>
      <c r="K298">
        <f>J298*K295</f>
        <v>120</v>
      </c>
      <c r="L298" s="147">
        <v>0.3</v>
      </c>
      <c r="M298" s="19">
        <f t="shared" si="47"/>
        <v>120</v>
      </c>
    </row>
    <row r="299" spans="4:24" x14ac:dyDescent="0.3">
      <c r="E299" t="s">
        <v>1432</v>
      </c>
    </row>
    <row r="300" spans="4:24" x14ac:dyDescent="0.3">
      <c r="F300" t="s">
        <v>1441</v>
      </c>
      <c r="H300" s="79">
        <v>500</v>
      </c>
      <c r="K300" s="19">
        <v>500</v>
      </c>
      <c r="L300" t="s">
        <v>1449</v>
      </c>
      <c r="M300">
        <v>2500</v>
      </c>
      <c r="N300" t="s">
        <v>65</v>
      </c>
      <c r="O300" t="s">
        <v>1448</v>
      </c>
    </row>
    <row r="301" spans="4:24" x14ac:dyDescent="0.3">
      <c r="F301" t="s">
        <v>12</v>
      </c>
      <c r="G301" t="s">
        <v>12</v>
      </c>
      <c r="K301">
        <f>J307-K300-K302-K303-K304</f>
        <v>600</v>
      </c>
      <c r="M301">
        <f t="shared" ref="M301:M306" si="48">K301*$O$291</f>
        <v>600</v>
      </c>
      <c r="O301" t="s">
        <v>1433</v>
      </c>
    </row>
    <row r="302" spans="4:24" x14ac:dyDescent="0.3">
      <c r="E302" t="s">
        <v>1438</v>
      </c>
      <c r="G302" t="s">
        <v>12</v>
      </c>
      <c r="K302">
        <v>500</v>
      </c>
      <c r="M302">
        <f t="shared" si="48"/>
        <v>500</v>
      </c>
      <c r="N302" t="s">
        <v>65</v>
      </c>
      <c r="O302" t="s">
        <v>1433</v>
      </c>
    </row>
    <row r="303" spans="4:24" x14ac:dyDescent="0.3">
      <c r="E303" t="s">
        <v>1439</v>
      </c>
      <c r="G303" t="s">
        <v>12</v>
      </c>
      <c r="K303">
        <v>800</v>
      </c>
      <c r="M303">
        <f t="shared" si="48"/>
        <v>800</v>
      </c>
      <c r="N303" t="s">
        <v>65</v>
      </c>
      <c r="O303" t="s">
        <v>1433</v>
      </c>
    </row>
    <row r="304" spans="4:24" x14ac:dyDescent="0.3">
      <c r="E304" t="s">
        <v>1434</v>
      </c>
      <c r="K304">
        <v>2200</v>
      </c>
      <c r="M304">
        <f t="shared" si="48"/>
        <v>2200</v>
      </c>
      <c r="N304" t="s">
        <v>65</v>
      </c>
      <c r="O304" t="s">
        <v>1433</v>
      </c>
    </row>
    <row r="305" spans="4:16" x14ac:dyDescent="0.3">
      <c r="F305" t="s">
        <v>1437</v>
      </c>
      <c r="G305" t="s">
        <v>12</v>
      </c>
      <c r="H305" s="79">
        <v>1100</v>
      </c>
      <c r="J305" s="147">
        <v>0.5</v>
      </c>
      <c r="K305">
        <f>K304*J305</f>
        <v>1100</v>
      </c>
      <c r="L305" s="147">
        <v>0.5</v>
      </c>
      <c r="M305">
        <f t="shared" si="48"/>
        <v>1100</v>
      </c>
    </row>
    <row r="306" spans="4:16" x14ac:dyDescent="0.3">
      <c r="F306" t="s">
        <v>1438</v>
      </c>
      <c r="J306" s="147">
        <v>0.5</v>
      </c>
      <c r="K306">
        <f>J306*K304</f>
        <v>1100</v>
      </c>
      <c r="L306" s="147">
        <v>0.5</v>
      </c>
      <c r="M306">
        <f t="shared" si="48"/>
        <v>1100</v>
      </c>
      <c r="P306">
        <f>M302+M303+M304</f>
        <v>3500</v>
      </c>
    </row>
    <row r="307" spans="4:16" x14ac:dyDescent="0.3">
      <c r="J307">
        <v>4600</v>
      </c>
      <c r="P307">
        <f>M306+M303+M302</f>
        <v>2400</v>
      </c>
    </row>
    <row r="308" spans="4:16" x14ac:dyDescent="0.3">
      <c r="G308" t="s">
        <v>12</v>
      </c>
      <c r="H308" s="79">
        <f>K305+K303+K302+K301</f>
        <v>3000</v>
      </c>
      <c r="K308">
        <f>J307-K304-K303-K302-K301-K300</f>
        <v>0</v>
      </c>
      <c r="M308">
        <f>K292+K293+K295+SUM(K300:K306)</f>
        <v>17600</v>
      </c>
      <c r="O308">
        <f>M292+M293+M295+SUM(M300:M304)</f>
        <v>19080</v>
      </c>
    </row>
    <row r="309" spans="4:16" x14ac:dyDescent="0.3">
      <c r="M309">
        <f>SUM(K293:K306)</f>
        <v>9600</v>
      </c>
    </row>
    <row r="310" spans="4:16" x14ac:dyDescent="0.3">
      <c r="D310" t="s">
        <v>1442</v>
      </c>
      <c r="F310" t="s">
        <v>765</v>
      </c>
      <c r="G310" t="s">
        <v>65</v>
      </c>
    </row>
    <row r="311" spans="4:16" x14ac:dyDescent="0.3">
      <c r="E311" t="s">
        <v>1443</v>
      </c>
      <c r="F311">
        <v>30</v>
      </c>
      <c r="G311">
        <v>250</v>
      </c>
      <c r="M311" t="s">
        <v>1385</v>
      </c>
    </row>
    <row r="312" spans="4:16" x14ac:dyDescent="0.3">
      <c r="F312">
        <v>75</v>
      </c>
      <c r="G312">
        <v>572</v>
      </c>
      <c r="I312" t="s">
        <v>1444</v>
      </c>
      <c r="M312">
        <v>3000</v>
      </c>
    </row>
    <row r="313" spans="4:16" x14ac:dyDescent="0.3">
      <c r="F313">
        <v>75</v>
      </c>
      <c r="G313">
        <v>952</v>
      </c>
      <c r="I313" t="s">
        <v>1445</v>
      </c>
      <c r="M313">
        <v>1000</v>
      </c>
    </row>
    <row r="314" spans="4:16" x14ac:dyDescent="0.3">
      <c r="F314">
        <v>160</v>
      </c>
      <c r="G314">
        <v>1140</v>
      </c>
      <c r="I314" t="s">
        <v>1447</v>
      </c>
      <c r="M314">
        <v>3000</v>
      </c>
    </row>
    <row r="315" spans="4:16" x14ac:dyDescent="0.3">
      <c r="F315">
        <v>160</v>
      </c>
      <c r="G315">
        <v>1790</v>
      </c>
      <c r="I315" t="s">
        <v>1446</v>
      </c>
      <c r="M315">
        <v>1000</v>
      </c>
    </row>
    <row r="329" spans="2:8" s="70" customFormat="1" x14ac:dyDescent="0.3">
      <c r="B329" s="47" t="s">
        <v>6</v>
      </c>
      <c r="C329" s="47"/>
      <c r="D329" s="47"/>
    </row>
    <row r="332" spans="2:8" x14ac:dyDescent="0.3">
      <c r="B332" t="s">
        <v>6</v>
      </c>
    </row>
    <row r="333" spans="2:8" x14ac:dyDescent="0.3">
      <c r="C333" t="s">
        <v>576</v>
      </c>
      <c r="E333" t="s">
        <v>1607</v>
      </c>
    </row>
    <row r="334" spans="2:8" x14ac:dyDescent="0.3">
      <c r="C334" t="s">
        <v>569</v>
      </c>
      <c r="E334" t="s">
        <v>869</v>
      </c>
      <c r="F334" t="s">
        <v>129</v>
      </c>
      <c r="H334" t="s">
        <v>1305</v>
      </c>
    </row>
    <row r="335" spans="2:8" x14ac:dyDescent="0.3">
      <c r="E335" t="s">
        <v>869</v>
      </c>
      <c r="F335" t="s">
        <v>1608</v>
      </c>
      <c r="H335" t="s">
        <v>1609</v>
      </c>
    </row>
    <row r="380" spans="6:6" x14ac:dyDescent="0.3">
      <c r="F380" s="1"/>
    </row>
    <row r="389" spans="11:13" x14ac:dyDescent="0.3">
      <c r="K389" s="16"/>
    </row>
    <row r="391" spans="11:13" x14ac:dyDescent="0.3">
      <c r="M391" s="147"/>
    </row>
    <row r="392" spans="11:13" x14ac:dyDescent="0.3">
      <c r="M392" s="1"/>
    </row>
    <row r="393" spans="11:13" x14ac:dyDescent="0.3">
      <c r="M393" s="147"/>
    </row>
    <row r="406" spans="4:8" x14ac:dyDescent="0.3">
      <c r="D406" s="16"/>
    </row>
    <row r="408" spans="4:8" x14ac:dyDescent="0.3">
      <c r="F408" s="147"/>
    </row>
    <row r="409" spans="4:8" x14ac:dyDescent="0.3">
      <c r="F409" s="147"/>
    </row>
    <row r="410" spans="4:8" x14ac:dyDescent="0.3">
      <c r="F410" s="147"/>
    </row>
    <row r="414" spans="4:8" x14ac:dyDescent="0.3">
      <c r="D414" s="42" t="s">
        <v>1643</v>
      </c>
      <c r="E414" s="42" t="s">
        <v>1644</v>
      </c>
      <c r="F414" s="42"/>
      <c r="G414" s="42" t="s">
        <v>1645</v>
      </c>
      <c r="H414" s="42" t="s">
        <v>65</v>
      </c>
    </row>
    <row r="415" spans="4:8" x14ac:dyDescent="0.3">
      <c r="D415">
        <v>1</v>
      </c>
      <c r="E415">
        <v>1</v>
      </c>
      <c r="G415">
        <v>2.54</v>
      </c>
      <c r="H415">
        <v>0.453592</v>
      </c>
    </row>
    <row r="416" spans="4:8" x14ac:dyDescent="0.3">
      <c r="D416" s="342">
        <v>99</v>
      </c>
      <c r="E416" s="58">
        <v>2948</v>
      </c>
      <c r="G416">
        <f>D416*$G$415</f>
        <v>251.46</v>
      </c>
      <c r="H416">
        <f>E416*$H$415</f>
        <v>1337.189216</v>
      </c>
    </row>
    <row r="417" spans="2:16" x14ac:dyDescent="0.3">
      <c r="D417" s="342">
        <v>88</v>
      </c>
      <c r="E417" s="58">
        <v>6996</v>
      </c>
      <c r="G417">
        <f t="shared" ref="G417:G423" si="49">D417*$G$415</f>
        <v>223.52</v>
      </c>
      <c r="H417">
        <f t="shared" ref="H417:H423" si="50">E417*$H$415</f>
        <v>3173.3296319999999</v>
      </c>
    </row>
    <row r="418" spans="2:16" x14ac:dyDescent="0.3">
      <c r="D418" s="342"/>
      <c r="E418" s="58"/>
      <c r="G418">
        <f t="shared" si="49"/>
        <v>0</v>
      </c>
      <c r="H418">
        <f t="shared" si="50"/>
        <v>0</v>
      </c>
    </row>
    <row r="419" spans="2:16" x14ac:dyDescent="0.3">
      <c r="D419" s="342"/>
      <c r="E419" s="58"/>
      <c r="G419">
        <f t="shared" si="49"/>
        <v>0</v>
      </c>
      <c r="H419">
        <f t="shared" si="50"/>
        <v>0</v>
      </c>
    </row>
    <row r="420" spans="2:16" x14ac:dyDescent="0.3">
      <c r="D420" s="342"/>
      <c r="E420" s="58"/>
      <c r="G420">
        <f t="shared" si="49"/>
        <v>0</v>
      </c>
      <c r="H420">
        <f t="shared" si="50"/>
        <v>0</v>
      </c>
    </row>
    <row r="421" spans="2:16" x14ac:dyDescent="0.3">
      <c r="D421" s="342"/>
      <c r="E421" s="58"/>
      <c r="G421">
        <f t="shared" si="49"/>
        <v>0</v>
      </c>
      <c r="H421">
        <f t="shared" si="50"/>
        <v>0</v>
      </c>
    </row>
    <row r="422" spans="2:16" x14ac:dyDescent="0.3">
      <c r="D422" s="342"/>
      <c r="E422" s="58"/>
      <c r="G422">
        <f t="shared" si="49"/>
        <v>0</v>
      </c>
      <c r="H422">
        <f t="shared" si="50"/>
        <v>0</v>
      </c>
    </row>
    <row r="423" spans="2:16" x14ac:dyDescent="0.3">
      <c r="D423" s="342"/>
      <c r="E423" s="58"/>
      <c r="G423">
        <f t="shared" si="49"/>
        <v>0</v>
      </c>
      <c r="H423">
        <f t="shared" si="50"/>
        <v>0</v>
      </c>
    </row>
    <row r="427" spans="2:16" s="70" customFormat="1" x14ac:dyDescent="0.3">
      <c r="B427" s="47" t="s">
        <v>1052</v>
      </c>
      <c r="C427" s="47" t="s">
        <v>1719</v>
      </c>
      <c r="D427" s="47"/>
    </row>
    <row r="429" spans="2:16" x14ac:dyDescent="0.3">
      <c r="C429" t="s">
        <v>1720</v>
      </c>
    </row>
    <row r="430" spans="2:16" x14ac:dyDescent="0.3">
      <c r="C430" t="s">
        <v>1721</v>
      </c>
      <c r="D430" t="s">
        <v>1722</v>
      </c>
      <c r="F430">
        <v>3.87</v>
      </c>
      <c r="G430" t="s">
        <v>91</v>
      </c>
    </row>
    <row r="431" spans="2:16" x14ac:dyDescent="0.3">
      <c r="C431" t="s">
        <v>1723</v>
      </c>
      <c r="D431" t="s">
        <v>1039</v>
      </c>
      <c r="F431">
        <v>126</v>
      </c>
      <c r="G431" t="s">
        <v>91</v>
      </c>
    </row>
    <row r="432" spans="2:16" x14ac:dyDescent="0.3">
      <c r="C432" t="s">
        <v>1724</v>
      </c>
      <c r="F432">
        <f>((PI()*F430^2)/10)*(F431/1000)</f>
        <v>0.59284661957071716</v>
      </c>
      <c r="K432" t="s">
        <v>1725</v>
      </c>
      <c r="M432" t="s">
        <v>1726</v>
      </c>
      <c r="N432" t="s">
        <v>1727</v>
      </c>
      <c r="O432">
        <v>150</v>
      </c>
      <c r="P432" t="s">
        <v>1023</v>
      </c>
    </row>
    <row r="433" spans="2:19" x14ac:dyDescent="0.3">
      <c r="D433">
        <v>7850</v>
      </c>
      <c r="F433">
        <f>F432*D433</f>
        <v>4653.8459636301295</v>
      </c>
    </row>
    <row r="438" spans="2:19" s="70" customFormat="1" x14ac:dyDescent="0.3">
      <c r="B438" s="47" t="s">
        <v>1172</v>
      </c>
      <c r="C438" s="47" t="s">
        <v>1911</v>
      </c>
      <c r="D438" s="47"/>
    </row>
    <row r="440" spans="2:19" x14ac:dyDescent="0.3">
      <c r="C440" s="39" t="s">
        <v>2016</v>
      </c>
    </row>
    <row r="442" spans="2:19" x14ac:dyDescent="0.3">
      <c r="D442" t="s">
        <v>759</v>
      </c>
      <c r="J442" t="s">
        <v>89</v>
      </c>
      <c r="L442" t="s">
        <v>228</v>
      </c>
      <c r="M442" t="s">
        <v>1915</v>
      </c>
      <c r="O442" t="s">
        <v>1619</v>
      </c>
      <c r="P442" t="s">
        <v>17</v>
      </c>
      <c r="Q442" t="s">
        <v>1052</v>
      </c>
      <c r="R442" t="s">
        <v>55</v>
      </c>
    </row>
    <row r="443" spans="2:19" x14ac:dyDescent="0.3">
      <c r="D443" t="s">
        <v>1912</v>
      </c>
      <c r="F443" t="s">
        <v>1913</v>
      </c>
      <c r="G443" t="s">
        <v>1914</v>
      </c>
      <c r="I443" t="s">
        <v>287</v>
      </c>
    </row>
    <row r="444" spans="2:19" x14ac:dyDescent="0.3">
      <c r="D444">
        <v>5000</v>
      </c>
      <c r="F444">
        <v>16000</v>
      </c>
      <c r="G444">
        <v>102467.7605196497</v>
      </c>
      <c r="I444">
        <v>100000</v>
      </c>
      <c r="J444">
        <v>18.733126291998992</v>
      </c>
      <c r="K444" t="s">
        <v>777</v>
      </c>
      <c r="L444">
        <v>31.078805304344673</v>
      </c>
      <c r="M444">
        <f>I444+G444</f>
        <v>202467.76051964972</v>
      </c>
      <c r="O444" s="23">
        <v>37244</v>
      </c>
      <c r="P444" s="23">
        <v>37244</v>
      </c>
      <c r="Q444">
        <f>Q446</f>
        <v>22700</v>
      </c>
      <c r="R444">
        <f t="shared" ref="R444:R448" si="51">SUM(O444:Q444)</f>
        <v>97188</v>
      </c>
      <c r="S444">
        <f>R444+G444</f>
        <v>199655.76051964972</v>
      </c>
    </row>
    <row r="445" spans="2:19" x14ac:dyDescent="0.3">
      <c r="D445">
        <v>5000</v>
      </c>
      <c r="F445">
        <v>18000</v>
      </c>
      <c r="G445">
        <v>114889.11809321922</v>
      </c>
      <c r="I445">
        <v>100000</v>
      </c>
      <c r="J445">
        <v>18.733126291998992</v>
      </c>
      <c r="K445" t="s">
        <v>777</v>
      </c>
      <c r="L445">
        <v>32.622015180887878</v>
      </c>
      <c r="M445">
        <f t="shared" ref="M445:M448" si="52">I445+G445</f>
        <v>214889.11809321924</v>
      </c>
      <c r="O445" s="23">
        <v>40852</v>
      </c>
      <c r="P445" s="23">
        <v>40852</v>
      </c>
      <c r="Q445">
        <f>Q446</f>
        <v>22700</v>
      </c>
      <c r="R445">
        <f t="shared" si="51"/>
        <v>104404</v>
      </c>
      <c r="S445">
        <f t="shared" ref="S445:S448" si="53">R445+G445</f>
        <v>219293.11809321924</v>
      </c>
    </row>
    <row r="446" spans="2:19" x14ac:dyDescent="0.3">
      <c r="D446">
        <v>5000</v>
      </c>
      <c r="F446">
        <v>20000</v>
      </c>
      <c r="G446">
        <v>128004.29515908501</v>
      </c>
      <c r="I446">
        <v>100000</v>
      </c>
      <c r="J446">
        <v>18.733126291998992</v>
      </c>
      <c r="K446" t="s">
        <v>777</v>
      </c>
      <c r="L446">
        <v>34.165225057431087</v>
      </c>
      <c r="M446">
        <f t="shared" si="52"/>
        <v>228004.29515908501</v>
      </c>
      <c r="O446">
        <v>44600</v>
      </c>
      <c r="P446">
        <v>32800</v>
      </c>
      <c r="Q446">
        <v>22700</v>
      </c>
      <c r="R446">
        <f>SUM(O446:Q446)</f>
        <v>100100</v>
      </c>
      <c r="S446">
        <f t="shared" si="53"/>
        <v>228104.29515908501</v>
      </c>
    </row>
    <row r="447" spans="2:19" x14ac:dyDescent="0.3">
      <c r="D447">
        <v>5000</v>
      </c>
      <c r="F447">
        <v>22000</v>
      </c>
      <c r="G447">
        <v>141813.29171724708</v>
      </c>
      <c r="I447">
        <v>100000</v>
      </c>
      <c r="J447">
        <v>18.733126291998992</v>
      </c>
      <c r="K447" t="s">
        <v>777</v>
      </c>
      <c r="L447">
        <v>35.708434933974296</v>
      </c>
      <c r="M447">
        <f t="shared" si="52"/>
        <v>241813.29171724708</v>
      </c>
      <c r="O447">
        <v>34240</v>
      </c>
      <c r="P447">
        <v>48068</v>
      </c>
      <c r="Q447">
        <f>Q446</f>
        <v>22700</v>
      </c>
      <c r="R447">
        <f t="shared" si="51"/>
        <v>105008</v>
      </c>
      <c r="S447">
        <f t="shared" si="53"/>
        <v>246821.29171724708</v>
      </c>
    </row>
    <row r="448" spans="2:19" x14ac:dyDescent="0.3">
      <c r="D448">
        <v>5000</v>
      </c>
      <c r="F448">
        <v>24000</v>
      </c>
      <c r="G448">
        <v>156316.10776770546</v>
      </c>
      <c r="I448">
        <v>100000</v>
      </c>
      <c r="J448">
        <v>18.733126291998992</v>
      </c>
      <c r="K448" t="s">
        <v>777</v>
      </c>
      <c r="L448">
        <v>37.251644810517519</v>
      </c>
      <c r="M448">
        <f t="shared" si="52"/>
        <v>256316.10776770546</v>
      </c>
      <c r="O448">
        <v>35680</v>
      </c>
      <c r="P448">
        <v>51676</v>
      </c>
      <c r="Q448">
        <f>Q446</f>
        <v>22700</v>
      </c>
      <c r="R448">
        <f t="shared" si="51"/>
        <v>110056</v>
      </c>
      <c r="S448">
        <f t="shared" si="53"/>
        <v>266372.10776770546</v>
      </c>
    </row>
    <row r="452" spans="2:20" s="70" customFormat="1" x14ac:dyDescent="0.3">
      <c r="B452" s="47" t="s">
        <v>1930</v>
      </c>
      <c r="C452" s="47"/>
      <c r="D452" s="47"/>
    </row>
    <row r="454" spans="2:20" x14ac:dyDescent="0.3">
      <c r="C454" t="s">
        <v>1172</v>
      </c>
    </row>
    <row r="455" spans="2:20" x14ac:dyDescent="0.3">
      <c r="E455" s="308"/>
      <c r="F455" t="s">
        <v>1926</v>
      </c>
      <c r="G455" t="s">
        <v>1925</v>
      </c>
      <c r="H455" t="s">
        <v>38</v>
      </c>
      <c r="K455">
        <f>23843*20</f>
        <v>476860</v>
      </c>
    </row>
    <row r="456" spans="2:20" x14ac:dyDescent="0.3">
      <c r="D456" t="s">
        <v>1924</v>
      </c>
      <c r="E456" s="308"/>
      <c r="H456">
        <f>K455*(1-'Draft Calculations'!O467)</f>
        <v>457785.59999999998</v>
      </c>
    </row>
    <row r="457" spans="2:20" x14ac:dyDescent="0.3">
      <c r="E457" s="308" t="s">
        <v>32</v>
      </c>
      <c r="F457">
        <f>4/3*F460</f>
        <v>402490.25238287519</v>
      </c>
      <c r="G457">
        <f>G460</f>
        <v>3305060.9363110173</v>
      </c>
      <c r="I457">
        <f t="shared" ref="I457:I467" si="54">G457+F457</f>
        <v>3707551.1886938922</v>
      </c>
      <c r="J457">
        <f>I457/H456</f>
        <v>8.0988811983030757</v>
      </c>
    </row>
    <row r="458" spans="2:20" x14ac:dyDescent="0.3">
      <c r="E458" t="s">
        <v>1923</v>
      </c>
      <c r="F458">
        <f>4/3*F461</f>
        <v>5801264.8085560668</v>
      </c>
      <c r="G458">
        <f>G461</f>
        <v>54607310.027529225</v>
      </c>
      <c r="I458">
        <f t="shared" si="54"/>
        <v>60408574.83608529</v>
      </c>
      <c r="J458">
        <f>I458/H456</f>
        <v>131.95822419072442</v>
      </c>
    </row>
    <row r="459" spans="2:20" x14ac:dyDescent="0.3">
      <c r="D459" t="s">
        <v>1922</v>
      </c>
      <c r="H459">
        <f>K455*(1-'Draft Calculations'!O468)</f>
        <v>462554.2</v>
      </c>
      <c r="I459">
        <f t="shared" si="54"/>
        <v>0</v>
      </c>
    </row>
    <row r="460" spans="2:20" x14ac:dyDescent="0.3">
      <c r="E460" t="s">
        <v>1921</v>
      </c>
      <c r="F460">
        <f>AWE!$BB$531</f>
        <v>301867.68928715639</v>
      </c>
      <c r="G460">
        <f>'For Graphics1'!$C$14-F460</f>
        <v>3305060.9363110173</v>
      </c>
      <c r="I460">
        <f t="shared" si="54"/>
        <v>3606928.6255981736</v>
      </c>
      <c r="J460">
        <f>I460/H459</f>
        <v>7.7978507720785446</v>
      </c>
      <c r="S460" t="s">
        <v>1928</v>
      </c>
    </row>
    <row r="461" spans="2:20" x14ac:dyDescent="0.3">
      <c r="E461" t="s">
        <v>1920</v>
      </c>
      <c r="F461">
        <f>AWE!$BC$531</f>
        <v>4350948.6064170506</v>
      </c>
      <c r="G461">
        <f>'For Graphics1'!$E$14-F461</f>
        <v>54607310.027529225</v>
      </c>
      <c r="I461">
        <f t="shared" si="54"/>
        <v>58958258.633946277</v>
      </c>
      <c r="J461">
        <f>I461/H459</f>
        <v>127.46237875247111</v>
      </c>
    </row>
    <row r="462" spans="2:20" x14ac:dyDescent="0.3">
      <c r="D462" t="s">
        <v>1919</v>
      </c>
      <c r="H462">
        <f>K455*(1-'Draft Calculations'!O469)</f>
        <v>467322.8</v>
      </c>
      <c r="I462">
        <f t="shared" si="54"/>
        <v>0</v>
      </c>
      <c r="S462" t="s">
        <v>1719</v>
      </c>
    </row>
    <row r="463" spans="2:20" x14ac:dyDescent="0.3">
      <c r="E463" t="s">
        <v>32</v>
      </c>
      <c r="F463">
        <f>(2/3)*F460</f>
        <v>201245.12619143759</v>
      </c>
      <c r="G463">
        <f>G460</f>
        <v>3305060.9363110173</v>
      </c>
      <c r="I463">
        <f t="shared" si="54"/>
        <v>3506306.062502455</v>
      </c>
      <c r="J463">
        <f>I463/H462</f>
        <v>7.5029638239402292</v>
      </c>
      <c r="R463" t="s">
        <v>1924</v>
      </c>
      <c r="S463">
        <f>H474/2</f>
        <v>203570.136</v>
      </c>
      <c r="T463">
        <f>H456/2</f>
        <v>228892.79999999999</v>
      </c>
    </row>
    <row r="464" spans="2:20" x14ac:dyDescent="0.3">
      <c r="E464" t="s">
        <v>162</v>
      </c>
      <c r="F464">
        <f>(2/3)*F461</f>
        <v>2900632.4042780334</v>
      </c>
      <c r="G464">
        <f>G461</f>
        <v>54607310.027529225</v>
      </c>
      <c r="I464">
        <f t="shared" si="54"/>
        <v>57507942.431807257</v>
      </c>
      <c r="J464">
        <f>I464/H462</f>
        <v>123.05828526193727</v>
      </c>
      <c r="R464" t="s">
        <v>2089</v>
      </c>
      <c r="S464">
        <f>H477/2</f>
        <v>205690.65825000001</v>
      </c>
      <c r="T464">
        <f>H459/2</f>
        <v>231277.1</v>
      </c>
    </row>
    <row r="465" spans="3:28" x14ac:dyDescent="0.3">
      <c r="D465" t="s">
        <v>1918</v>
      </c>
      <c r="H465">
        <f>K455</f>
        <v>476860</v>
      </c>
      <c r="I465">
        <f t="shared" si="54"/>
        <v>0</v>
      </c>
      <c r="R465" t="s">
        <v>1919</v>
      </c>
      <c r="S465">
        <f>H480/2</f>
        <v>207811.18049999999</v>
      </c>
      <c r="T465">
        <f>H462/2</f>
        <v>233661.4</v>
      </c>
    </row>
    <row r="466" spans="3:28" x14ac:dyDescent="0.3">
      <c r="E466" t="s">
        <v>32</v>
      </c>
      <c r="F466">
        <v>0</v>
      </c>
      <c r="G466">
        <f>G460</f>
        <v>3305060.9363110173</v>
      </c>
      <c r="I466">
        <f t="shared" si="54"/>
        <v>3305060.9363110173</v>
      </c>
      <c r="J466">
        <f>I466/H465</f>
        <v>6.9308831445518964</v>
      </c>
      <c r="O466" s="14" t="s">
        <v>1917</v>
      </c>
      <c r="R466">
        <v>0</v>
      </c>
      <c r="S466">
        <f>H483/2</f>
        <v>212052.22500000001</v>
      </c>
      <c r="T466">
        <f>H465/2</f>
        <v>238430</v>
      </c>
    </row>
    <row r="467" spans="3:28" x14ac:dyDescent="0.3">
      <c r="E467" t="s">
        <v>162</v>
      </c>
      <c r="F467">
        <v>0</v>
      </c>
      <c r="G467">
        <f>G461</f>
        <v>54607310.027529225</v>
      </c>
      <c r="I467">
        <f t="shared" si="54"/>
        <v>54607310.027529225</v>
      </c>
      <c r="J467">
        <f>I467/H465</f>
        <v>114.5143438903016</v>
      </c>
      <c r="O467" s="14">
        <v>0.04</v>
      </c>
    </row>
    <row r="468" spans="3:28" x14ac:dyDescent="0.3">
      <c r="O468" s="14">
        <v>0.03</v>
      </c>
    </row>
    <row r="469" spans="3:28" x14ac:dyDescent="0.3">
      <c r="O469" s="14">
        <v>0.02</v>
      </c>
    </row>
    <row r="470" spans="3:28" x14ac:dyDescent="0.3">
      <c r="O470" s="14">
        <v>0</v>
      </c>
    </row>
    <row r="472" spans="3:28" x14ac:dyDescent="0.3">
      <c r="C472" t="s">
        <v>1142</v>
      </c>
    </row>
    <row r="473" spans="3:28" x14ac:dyDescent="0.3">
      <c r="E473" s="308"/>
      <c r="F473" t="s">
        <v>1926</v>
      </c>
      <c r="G473" t="s">
        <v>1925</v>
      </c>
      <c r="H473" t="s">
        <v>38</v>
      </c>
      <c r="K473">
        <f>HAWT!$F$64*20</f>
        <v>424104.45</v>
      </c>
      <c r="M473" s="44"/>
      <c r="N473" s="44"/>
      <c r="O473" s="44"/>
      <c r="P473" s="44"/>
      <c r="Q473" s="44"/>
      <c r="R473" s="44"/>
      <c r="S473" s="44"/>
      <c r="T473" s="44"/>
      <c r="U473" s="44"/>
      <c r="V473" s="44"/>
      <c r="W473" s="44"/>
      <c r="X473" s="44"/>
      <c r="Y473" s="44"/>
      <c r="Z473" s="44"/>
      <c r="AA473" s="44"/>
      <c r="AB473" s="44"/>
    </row>
    <row r="474" spans="3:28" x14ac:dyDescent="0.3">
      <c r="D474" t="s">
        <v>1924</v>
      </c>
      <c r="E474" s="308"/>
      <c r="H474">
        <f>K473*(1-'Draft Calculations'!O467)</f>
        <v>407140.272</v>
      </c>
      <c r="M474" s="44"/>
      <c r="AB474" s="44"/>
    </row>
    <row r="475" spans="3:28" x14ac:dyDescent="0.3">
      <c r="E475" s="308" t="s">
        <v>32</v>
      </c>
      <c r="F475">
        <f>4/3*F478</f>
        <v>402490.25238287519</v>
      </c>
      <c r="G475">
        <f>G478</f>
        <v>5030654.1606125962</v>
      </c>
      <c r="I475">
        <f t="shared" ref="I475:I485" si="55">G475+F475</f>
        <v>5433144.4129954716</v>
      </c>
      <c r="J475">
        <f>I475/H474</f>
        <v>13.344649956404881</v>
      </c>
      <c r="M475" s="44"/>
      <c r="N475" s="359" t="s">
        <v>1927</v>
      </c>
      <c r="O475" s="359"/>
      <c r="P475" s="359" t="s">
        <v>1765</v>
      </c>
      <c r="Q475" s="359"/>
      <c r="R475" s="359" t="s">
        <v>1765</v>
      </c>
      <c r="S475" s="359"/>
      <c r="T475" s="359" t="s">
        <v>1765</v>
      </c>
      <c r="U475" s="359"/>
      <c r="V475" s="359" t="s">
        <v>1765</v>
      </c>
      <c r="W475" s="359"/>
      <c r="X475" s="359" t="s">
        <v>1765</v>
      </c>
      <c r="Y475" s="359"/>
      <c r="Z475" s="363" t="s">
        <v>1764</v>
      </c>
      <c r="AA475" s="359" t="s">
        <v>1775</v>
      </c>
      <c r="AB475" s="44"/>
    </row>
    <row r="476" spans="3:28" x14ac:dyDescent="0.3">
      <c r="E476" t="s">
        <v>1923</v>
      </c>
      <c r="F476">
        <f>4/3*F479</f>
        <v>5801264.8085560668</v>
      </c>
      <c r="G476">
        <f>G479</f>
        <v>75777682.843147203</v>
      </c>
      <c r="I476">
        <f t="shared" si="55"/>
        <v>81578947.651703268</v>
      </c>
      <c r="J476">
        <f>I476/H474</f>
        <v>200.37061735740863</v>
      </c>
      <c r="M476" s="44"/>
      <c r="N476" s="359" t="s">
        <v>1881</v>
      </c>
      <c r="O476" s="359" t="s">
        <v>1928</v>
      </c>
      <c r="P476" s="359" t="s">
        <v>1765</v>
      </c>
      <c r="Q476" s="359" t="s">
        <v>1933</v>
      </c>
      <c r="R476" s="359" t="s">
        <v>1765</v>
      </c>
      <c r="S476" s="359">
        <f>S463</f>
        <v>203570.136</v>
      </c>
      <c r="T476" s="359" t="s">
        <v>1765</v>
      </c>
      <c r="U476" s="359">
        <f>S464</f>
        <v>205690.65825000001</v>
      </c>
      <c r="V476" s="359" t="s">
        <v>1765</v>
      </c>
      <c r="W476" s="359">
        <f>S465</f>
        <v>207811.18049999999</v>
      </c>
      <c r="X476" s="359" t="s">
        <v>1765</v>
      </c>
      <c r="Y476" s="359">
        <f>S466</f>
        <v>212052.22500000001</v>
      </c>
      <c r="Z476" s="363" t="s">
        <v>1764</v>
      </c>
      <c r="AA476" s="359"/>
      <c r="AB476" s="44"/>
    </row>
    <row r="477" spans="3:28" x14ac:dyDescent="0.3">
      <c r="D477" t="s">
        <v>1922</v>
      </c>
      <c r="H477">
        <f>K473*(1-'Draft Calculations'!O468)</f>
        <v>411381.31650000002</v>
      </c>
      <c r="I477">
        <f t="shared" si="55"/>
        <v>0</v>
      </c>
      <c r="M477" s="44"/>
      <c r="N477" s="359" t="s">
        <v>1881</v>
      </c>
      <c r="O477" s="359" t="s">
        <v>32</v>
      </c>
      <c r="P477" s="359" t="s">
        <v>1765</v>
      </c>
      <c r="Q477" s="359" t="s">
        <v>2090</v>
      </c>
      <c r="R477" s="359" t="s">
        <v>1765</v>
      </c>
      <c r="S477" s="359">
        <f>J475</f>
        <v>13.344649956404881</v>
      </c>
      <c r="T477" s="359" t="s">
        <v>1765</v>
      </c>
      <c r="U477" s="359">
        <f>J478</f>
        <v>12.962479422421103</v>
      </c>
      <c r="V477" s="359" t="s">
        <v>1765</v>
      </c>
      <c r="W477" s="359">
        <f>J481</f>
        <v>12.588108287090053</v>
      </c>
      <c r="X477" s="359" t="s">
        <v>1765</v>
      </c>
      <c r="Y477" s="359">
        <f>J484</f>
        <v>11.861828284547819</v>
      </c>
      <c r="Z477" s="363" t="s">
        <v>1764</v>
      </c>
      <c r="AA477" s="359"/>
      <c r="AB477" s="44"/>
    </row>
    <row r="478" spans="3:28" x14ac:dyDescent="0.3">
      <c r="E478" t="s">
        <v>1921</v>
      </c>
      <c r="F478">
        <f>HAWT!$BB$341</f>
        <v>301867.68928715639</v>
      </c>
      <c r="G478">
        <f>'For Graphics1'!$C$23-F478</f>
        <v>5030654.1606125962</v>
      </c>
      <c r="I478">
        <f t="shared" si="55"/>
        <v>5332521.849899753</v>
      </c>
      <c r="J478">
        <f>I478/H477</f>
        <v>12.962479422421103</v>
      </c>
      <c r="M478" s="44"/>
      <c r="N478" s="359" t="s">
        <v>1881</v>
      </c>
      <c r="O478" s="359" t="s">
        <v>162</v>
      </c>
      <c r="P478" s="359" t="s">
        <v>1765</v>
      </c>
      <c r="Q478" s="359" t="s">
        <v>270</v>
      </c>
      <c r="R478" s="359" t="s">
        <v>1765</v>
      </c>
      <c r="S478" s="359">
        <f>J476</f>
        <v>200.37061735740863</v>
      </c>
      <c r="T478" s="359" t="s">
        <v>1765</v>
      </c>
      <c r="U478" s="359">
        <f>J479</f>
        <v>194.77946186592129</v>
      </c>
      <c r="V478" s="359" t="s">
        <v>1765</v>
      </c>
      <c r="W478" s="359">
        <f>J482</f>
        <v>189.30241158854599</v>
      </c>
      <c r="X478" s="359" t="s">
        <v>1765</v>
      </c>
      <c r="Y478" s="359">
        <f>J485</f>
        <v>178.67693405043781</v>
      </c>
      <c r="Z478" s="363" t="s">
        <v>1764</v>
      </c>
      <c r="AA478" s="359" t="s">
        <v>1775</v>
      </c>
      <c r="AB478" s="44"/>
    </row>
    <row r="479" spans="3:28" x14ac:dyDescent="0.3">
      <c r="E479" t="s">
        <v>1920</v>
      </c>
      <c r="F479">
        <f>HAWT!$BC$341</f>
        <v>4350948.6064170506</v>
      </c>
      <c r="G479">
        <f>'For Graphics1'!$E$23-F479</f>
        <v>75777682.843147203</v>
      </c>
      <c r="I479">
        <f t="shared" si="55"/>
        <v>80128631.449564248</v>
      </c>
      <c r="J479">
        <f>I479/H477</f>
        <v>194.77946186592129</v>
      </c>
      <c r="M479" s="44"/>
      <c r="N479" s="359" t="s">
        <v>1929</v>
      </c>
      <c r="O479" s="359"/>
      <c r="P479" s="359" t="s">
        <v>1765</v>
      </c>
      <c r="Q479" s="359"/>
      <c r="R479" s="359" t="s">
        <v>1765</v>
      </c>
      <c r="S479" s="359"/>
      <c r="T479" s="359" t="s">
        <v>1765</v>
      </c>
      <c r="U479" s="359"/>
      <c r="V479" s="359" t="s">
        <v>1765</v>
      </c>
      <c r="W479" s="359"/>
      <c r="X479" s="359" t="s">
        <v>1765</v>
      </c>
      <c r="Y479" s="359"/>
      <c r="Z479" s="363" t="s">
        <v>1764</v>
      </c>
      <c r="AA479" s="359" t="s">
        <v>1775</v>
      </c>
      <c r="AB479" s="44"/>
    </row>
    <row r="480" spans="3:28" x14ac:dyDescent="0.3">
      <c r="D480" t="s">
        <v>1919</v>
      </c>
      <c r="H480">
        <f>K473*(1-'Draft Calculations'!O469)</f>
        <v>415622.36099999998</v>
      </c>
      <c r="I480">
        <f t="shared" si="55"/>
        <v>0</v>
      </c>
      <c r="M480" s="44"/>
      <c r="N480" s="359" t="s">
        <v>1881</v>
      </c>
      <c r="O480" s="359" t="s">
        <v>1928</v>
      </c>
      <c r="P480" s="359" t="s">
        <v>1765</v>
      </c>
      <c r="Q480" s="359" t="s">
        <v>1933</v>
      </c>
      <c r="R480" s="359" t="s">
        <v>1765</v>
      </c>
      <c r="S480" s="359">
        <f>T463</f>
        <v>228892.79999999999</v>
      </c>
      <c r="T480" s="359" t="s">
        <v>1765</v>
      </c>
      <c r="U480" s="359">
        <f>T464</f>
        <v>231277.1</v>
      </c>
      <c r="V480" s="359" t="s">
        <v>1765</v>
      </c>
      <c r="W480" s="359">
        <f>T465</f>
        <v>233661.4</v>
      </c>
      <c r="X480" s="359" t="s">
        <v>1765</v>
      </c>
      <c r="Y480" s="359">
        <f>T466</f>
        <v>238430</v>
      </c>
      <c r="Z480" s="363" t="s">
        <v>1764</v>
      </c>
      <c r="AA480" s="359"/>
      <c r="AB480" s="44"/>
    </row>
    <row r="481" spans="2:28" x14ac:dyDescent="0.3">
      <c r="E481" t="s">
        <v>32</v>
      </c>
      <c r="F481">
        <f>(2/3)*F478</f>
        <v>201245.12619143759</v>
      </c>
      <c r="G481">
        <f>G478</f>
        <v>5030654.1606125962</v>
      </c>
      <c r="I481">
        <f t="shared" si="55"/>
        <v>5231899.2868040334</v>
      </c>
      <c r="J481">
        <f>I481/H480</f>
        <v>12.588108287090053</v>
      </c>
      <c r="M481" s="44"/>
      <c r="N481" s="359" t="s">
        <v>1881</v>
      </c>
      <c r="O481" s="359" t="s">
        <v>32</v>
      </c>
      <c r="P481" s="359" t="s">
        <v>1765</v>
      </c>
      <c r="Q481" s="359" t="s">
        <v>2090</v>
      </c>
      <c r="R481" s="359" t="s">
        <v>1765</v>
      </c>
      <c r="S481" s="359">
        <f>J457</f>
        <v>8.0988811983030757</v>
      </c>
      <c r="T481" s="359" t="s">
        <v>1765</v>
      </c>
      <c r="U481" s="359">
        <f>J460</f>
        <v>7.7978507720785446</v>
      </c>
      <c r="V481" s="359" t="s">
        <v>1765</v>
      </c>
      <c r="W481" s="359">
        <f>J463</f>
        <v>7.5029638239402292</v>
      </c>
      <c r="X481" s="359" t="s">
        <v>1765</v>
      </c>
      <c r="Y481" s="359">
        <f>J466</f>
        <v>6.9308831445518964</v>
      </c>
      <c r="Z481" s="363" t="s">
        <v>1764</v>
      </c>
      <c r="AA481" s="359"/>
      <c r="AB481" s="44"/>
    </row>
    <row r="482" spans="2:28" x14ac:dyDescent="0.3">
      <c r="E482" t="s">
        <v>162</v>
      </c>
      <c r="F482">
        <f>(2/3)*F479</f>
        <v>2900632.4042780334</v>
      </c>
      <c r="G482">
        <f>G479</f>
        <v>75777682.843147203</v>
      </c>
      <c r="I482">
        <f t="shared" si="55"/>
        <v>78678315.247425243</v>
      </c>
      <c r="J482">
        <f>I482/H480</f>
        <v>189.30241158854599</v>
      </c>
      <c r="M482" s="44"/>
      <c r="N482" s="359" t="s">
        <v>1881</v>
      </c>
      <c r="O482" s="359" t="s">
        <v>162</v>
      </c>
      <c r="P482" s="359" t="s">
        <v>1765</v>
      </c>
      <c r="Q482" s="359" t="s">
        <v>270</v>
      </c>
      <c r="R482" s="359" t="s">
        <v>1765</v>
      </c>
      <c r="S482" s="359">
        <f>J458</f>
        <v>131.95822419072442</v>
      </c>
      <c r="T482" s="359" t="s">
        <v>1765</v>
      </c>
      <c r="U482" s="359">
        <f>J461</f>
        <v>127.46237875247111</v>
      </c>
      <c r="V482" s="359" t="s">
        <v>1765</v>
      </c>
      <c r="W482" s="359">
        <f>J464</f>
        <v>123.05828526193727</v>
      </c>
      <c r="X482" s="359" t="s">
        <v>1765</v>
      </c>
      <c r="Y482" s="359">
        <f>J467</f>
        <v>114.5143438903016</v>
      </c>
      <c r="Z482" s="363" t="s">
        <v>1764</v>
      </c>
      <c r="AA482" s="359"/>
      <c r="AB482" s="44"/>
    </row>
    <row r="483" spans="2:28" x14ac:dyDescent="0.3">
      <c r="D483" t="s">
        <v>1918</v>
      </c>
      <c r="H483">
        <f>K473</f>
        <v>424104.45</v>
      </c>
      <c r="I483">
        <f t="shared" si="55"/>
        <v>0</v>
      </c>
      <c r="M483" s="44"/>
      <c r="N483" s="44"/>
      <c r="O483" s="44"/>
      <c r="P483" s="44"/>
      <c r="Q483" s="44"/>
      <c r="R483" s="44"/>
      <c r="S483" s="44"/>
      <c r="T483" s="44"/>
      <c r="U483" s="44"/>
      <c r="V483" s="44"/>
      <c r="W483" s="44"/>
      <c r="X483" s="44"/>
      <c r="Y483" s="44"/>
      <c r="Z483" s="44"/>
      <c r="AA483" s="44"/>
      <c r="AB483" s="44"/>
    </row>
    <row r="484" spans="2:28" x14ac:dyDescent="0.3">
      <c r="E484" t="s">
        <v>32</v>
      </c>
      <c r="F484">
        <v>0</v>
      </c>
      <c r="G484">
        <f>G478</f>
        <v>5030654.1606125962</v>
      </c>
      <c r="I484">
        <f t="shared" si="55"/>
        <v>5030654.1606125962</v>
      </c>
      <c r="J484">
        <f>I484/H483</f>
        <v>11.861828284547819</v>
      </c>
    </row>
    <row r="485" spans="2:28" x14ac:dyDescent="0.3">
      <c r="E485" t="s">
        <v>162</v>
      </c>
      <c r="F485">
        <v>0</v>
      </c>
      <c r="G485">
        <f>G479</f>
        <v>75777682.843147203</v>
      </c>
      <c r="I485">
        <f t="shared" si="55"/>
        <v>75777682.843147203</v>
      </c>
      <c r="J485">
        <f>I485/H483</f>
        <v>178.67693405043781</v>
      </c>
    </row>
    <row r="488" spans="2:28" x14ac:dyDescent="0.3">
      <c r="C488" s="147"/>
    </row>
    <row r="489" spans="2:28" s="70" customFormat="1" x14ac:dyDescent="0.3">
      <c r="B489" s="47"/>
      <c r="C489" s="47" t="s">
        <v>1949</v>
      </c>
      <c r="D489" s="47"/>
    </row>
    <row r="490" spans="2:28" x14ac:dyDescent="0.3">
      <c r="D490" t="s">
        <v>1951</v>
      </c>
      <c r="F490" t="s">
        <v>950</v>
      </c>
      <c r="G490" t="s">
        <v>950</v>
      </c>
      <c r="H490" t="s">
        <v>1491</v>
      </c>
      <c r="I490" t="s">
        <v>950</v>
      </c>
      <c r="J490" t="s">
        <v>1985</v>
      </c>
      <c r="K490" t="s">
        <v>191</v>
      </c>
      <c r="L490" t="s">
        <v>1960</v>
      </c>
      <c r="O490" t="s">
        <v>1966</v>
      </c>
      <c r="Q490" t="s">
        <v>1967</v>
      </c>
      <c r="R490" t="s">
        <v>1968</v>
      </c>
    </row>
    <row r="491" spans="2:28" x14ac:dyDescent="0.3">
      <c r="B491" t="s">
        <v>1957</v>
      </c>
      <c r="D491" t="s">
        <v>1952</v>
      </c>
      <c r="E491" t="s">
        <v>1953</v>
      </c>
      <c r="F491" t="s">
        <v>1955</v>
      </c>
      <c r="G491" t="s">
        <v>1956</v>
      </c>
    </row>
    <row r="492" spans="2:28" x14ac:dyDescent="0.3">
      <c r="C492">
        <v>15</v>
      </c>
      <c r="D492">
        <v>2</v>
      </c>
      <c r="E492">
        <v>14</v>
      </c>
      <c r="F492">
        <v>2</v>
      </c>
      <c r="G492">
        <v>1</v>
      </c>
      <c r="H492">
        <v>3</v>
      </c>
    </row>
    <row r="493" spans="2:28" x14ac:dyDescent="0.3">
      <c r="C493" t="s">
        <v>1954</v>
      </c>
      <c r="D493">
        <v>2</v>
      </c>
      <c r="E493">
        <v>19</v>
      </c>
      <c r="F493">
        <v>3</v>
      </c>
      <c r="G493">
        <v>1</v>
      </c>
      <c r="H493">
        <v>4</v>
      </c>
      <c r="Q493">
        <f>'For Graphics1'!C14</f>
        <v>3606928.6255981736</v>
      </c>
    </row>
    <row r="494" spans="2:28" x14ac:dyDescent="0.3">
      <c r="C494">
        <v>25</v>
      </c>
      <c r="D494">
        <v>3</v>
      </c>
      <c r="E494">
        <v>24</v>
      </c>
      <c r="F494">
        <v>4</v>
      </c>
      <c r="G494">
        <v>2</v>
      </c>
      <c r="H494">
        <v>5</v>
      </c>
      <c r="Q494">
        <f>'For Graphics1'!E14</f>
        <v>58958258.633946277</v>
      </c>
    </row>
    <row r="495" spans="2:28" x14ac:dyDescent="0.3">
      <c r="C495">
        <v>30</v>
      </c>
      <c r="D495">
        <v>3</v>
      </c>
      <c r="E495">
        <v>29</v>
      </c>
      <c r="F495">
        <v>5</v>
      </c>
      <c r="G495">
        <v>2</v>
      </c>
      <c r="H495">
        <v>7</v>
      </c>
    </row>
    <row r="496" spans="2:28" x14ac:dyDescent="0.3">
      <c r="B496" t="s">
        <v>1958</v>
      </c>
      <c r="D496">
        <v>7</v>
      </c>
      <c r="E496">
        <v>1</v>
      </c>
      <c r="F496">
        <v>5</v>
      </c>
      <c r="G496">
        <v>10</v>
      </c>
      <c r="H496">
        <v>4</v>
      </c>
    </row>
    <row r="497" spans="2:37" x14ac:dyDescent="0.3">
      <c r="B497" t="s">
        <v>65</v>
      </c>
      <c r="F497">
        <f>3*371.4</f>
        <v>1114.1999999999998</v>
      </c>
      <c r="G497">
        <v>2182.6</v>
      </c>
      <c r="I497">
        <v>3297</v>
      </c>
    </row>
    <row r="498" spans="2:37" x14ac:dyDescent="0.3">
      <c r="B498" t="s">
        <v>1959</v>
      </c>
    </row>
    <row r="499" spans="2:37" x14ac:dyDescent="0.3">
      <c r="C499" t="s">
        <v>32</v>
      </c>
      <c r="D499">
        <f>AWE!BB566</f>
        <v>42972.371810467681</v>
      </c>
      <c r="E499">
        <f>AWE!BB565</f>
        <v>259892.08482071254</v>
      </c>
      <c r="F499">
        <f>(F$497/$I$497)*$I499</f>
        <v>9259.7610868721931</v>
      </c>
      <c r="G499">
        <f>(G$497/$I$497)*$I499</f>
        <v>18138.892970927347</v>
      </c>
      <c r="H499">
        <f>AWE!BB568</f>
        <v>70400.335204785064</v>
      </c>
      <c r="I499">
        <f>AWE!BB567</f>
        <v>27400.316194056384</v>
      </c>
      <c r="J499">
        <f>AWE!J577+AWE!I575+AWE!I574</f>
        <v>48220.499856640003</v>
      </c>
      <c r="K499">
        <f>SUM(D499:H499)+J499</f>
        <v>448883.94575040485</v>
      </c>
      <c r="L499">
        <f>K499/$O$499</f>
        <v>0.9413327721981396</v>
      </c>
      <c r="N499" t="s">
        <v>1961</v>
      </c>
      <c r="O499">
        <f>K455</f>
        <v>476860</v>
      </c>
      <c r="Q499">
        <f>Q493-K499</f>
        <v>3158044.6798477685</v>
      </c>
      <c r="R499">
        <f>Q499+K499</f>
        <v>3606928.6255981736</v>
      </c>
      <c r="S499">
        <f>R499/$O$499</f>
        <v>7.5639152489161887</v>
      </c>
    </row>
    <row r="500" spans="2:37" x14ac:dyDescent="0.3">
      <c r="C500" t="s">
        <v>162</v>
      </c>
      <c r="D500">
        <f>AWE!BC566</f>
        <v>1189854.5450023129</v>
      </c>
      <c r="E500">
        <f>AWE!BC565</f>
        <v>7196106.8311040932</v>
      </c>
      <c r="F500">
        <f>(F$497/$I$497)*$I500</f>
        <v>141408.71228206169</v>
      </c>
      <c r="G500">
        <f>(G$497/$I$497)*$I500</f>
        <v>277004.71677152027</v>
      </c>
      <c r="H500">
        <f>AWE!BC568</f>
        <v>947875.73636556463</v>
      </c>
      <c r="I500">
        <f>AWE!BC567</f>
        <v>418438.81205704313</v>
      </c>
      <c r="J500">
        <f>AWE!M577+AWE!L575+AWE!L574</f>
        <v>253447.2</v>
      </c>
      <c r="K500">
        <f t="shared" ref="K500:K509" si="56">SUM(D500:H500)+J500</f>
        <v>10005697.741525551</v>
      </c>
      <c r="L500">
        <f>K500/$O$499</f>
        <v>20.982463912942062</v>
      </c>
      <c r="Q500">
        <f>Q494-K500</f>
        <v>48952560.892420724</v>
      </c>
      <c r="R500">
        <f t="shared" ref="R500:R509" si="57">Q500+K500</f>
        <v>58958258.633946277</v>
      </c>
      <c r="S500">
        <f>R500/$O$499</f>
        <v>123.63850738989699</v>
      </c>
    </row>
    <row r="501" spans="2:37" x14ac:dyDescent="0.3">
      <c r="R501">
        <f t="shared" si="57"/>
        <v>0</v>
      </c>
    </row>
    <row r="502" spans="2:37" x14ac:dyDescent="0.3">
      <c r="B502" t="s">
        <v>1962</v>
      </c>
      <c r="D502">
        <f>(D492/D$493)*D$499</f>
        <v>42972.371810467681</v>
      </c>
      <c r="E502">
        <f t="shared" ref="E502:H502" si="58">(E492/E$493)*E$499</f>
        <v>191499.43092052502</v>
      </c>
      <c r="F502">
        <f t="shared" si="58"/>
        <v>6173.1740579147954</v>
      </c>
      <c r="G502">
        <f t="shared" si="58"/>
        <v>18138.892970927347</v>
      </c>
      <c r="H502">
        <f t="shared" si="58"/>
        <v>52800.251403588802</v>
      </c>
      <c r="J502">
        <f>(15/20)*J499</f>
        <v>36165.374892480002</v>
      </c>
      <c r="K502">
        <f t="shared" si="56"/>
        <v>347749.49605590361</v>
      </c>
      <c r="L502">
        <f>K502/$O$502</f>
        <v>0.97233149088035231</v>
      </c>
      <c r="N502" t="s">
        <v>1963</v>
      </c>
      <c r="O502">
        <f>15/20*O499</f>
        <v>357645</v>
      </c>
      <c r="Q502">
        <f>$Q$499</f>
        <v>3158044.6798477685</v>
      </c>
      <c r="R502">
        <f t="shared" si="57"/>
        <v>3505794.1759036724</v>
      </c>
      <c r="S502">
        <f>R502/$O$502</f>
        <v>9.8024414598377501</v>
      </c>
      <c r="U502">
        <f>100*(S502-$S$499)/$S$499</f>
        <v>29.594808207856548</v>
      </c>
    </row>
    <row r="503" spans="2:37" x14ac:dyDescent="0.3">
      <c r="D503">
        <f>(D492/D$493)*D$500</f>
        <v>1189854.5450023129</v>
      </c>
      <c r="E503">
        <f t="shared" ref="E503:H503" si="59">(E492/E$493)*E$500</f>
        <v>5302394.5071293311</v>
      </c>
      <c r="F503">
        <f t="shared" si="59"/>
        <v>94272.474854707791</v>
      </c>
      <c r="G503">
        <f t="shared" si="59"/>
        <v>277004.71677152027</v>
      </c>
      <c r="H503">
        <f t="shared" si="59"/>
        <v>710906.80227417347</v>
      </c>
      <c r="J503">
        <f>(15/20)*J500</f>
        <v>190085.40000000002</v>
      </c>
      <c r="K503">
        <f t="shared" si="56"/>
        <v>7764518.4460320454</v>
      </c>
      <c r="L503">
        <f>K503/$O$502</f>
        <v>21.710127210032422</v>
      </c>
      <c r="Q503">
        <f>$Q$500</f>
        <v>48952560.892420724</v>
      </c>
      <c r="R503">
        <f t="shared" si="57"/>
        <v>56717079.338452771</v>
      </c>
      <c r="S503">
        <f>R503/$O$502</f>
        <v>158.58485184597231</v>
      </c>
      <c r="U503">
        <f>100*(S503-$S$500)/$S$500</f>
        <v>28.264935572112002</v>
      </c>
    </row>
    <row r="504" spans="2:37" x14ac:dyDescent="0.3">
      <c r="K504">
        <f t="shared" si="56"/>
        <v>0</v>
      </c>
      <c r="R504">
        <f t="shared" si="57"/>
        <v>0</v>
      </c>
    </row>
    <row r="505" spans="2:37" x14ac:dyDescent="0.3">
      <c r="B505" t="s">
        <v>1964</v>
      </c>
      <c r="D505">
        <f>(D494/D$493)*D$499</f>
        <v>64458.557715701521</v>
      </c>
      <c r="E505">
        <f t="shared" ref="E505:H505" si="60">(E494/E$493)*E$499</f>
        <v>328284.73872090003</v>
      </c>
      <c r="F505">
        <f t="shared" si="60"/>
        <v>12346.348115829591</v>
      </c>
      <c r="G505">
        <f t="shared" si="60"/>
        <v>36277.785941854694</v>
      </c>
      <c r="H505">
        <f t="shared" si="60"/>
        <v>88000.419005981326</v>
      </c>
      <c r="J505">
        <f>(25/20)*J499</f>
        <v>60275.624820800003</v>
      </c>
      <c r="K505">
        <f t="shared" si="56"/>
        <v>589643.47432106722</v>
      </c>
      <c r="L505">
        <f>K505/$O$505</f>
        <v>0.98921020730791798</v>
      </c>
      <c r="N505" t="s">
        <v>1963</v>
      </c>
      <c r="O505">
        <f>25/20*O499</f>
        <v>596075</v>
      </c>
      <c r="Q505">
        <f>$Q$499</f>
        <v>3158044.6798477685</v>
      </c>
      <c r="R505">
        <f t="shared" si="57"/>
        <v>3747688.1541688358</v>
      </c>
      <c r="S505">
        <f>R505/$O$505</f>
        <v>6.2872761886823572</v>
      </c>
      <c r="U505">
        <f>100*(S505-$S$499)/$S$499</f>
        <v>-16.878019097540225</v>
      </c>
    </row>
    <row r="506" spans="2:37" x14ac:dyDescent="0.3">
      <c r="D506">
        <f>(D494/D$493)*D$500</f>
        <v>1784781.8175034693</v>
      </c>
      <c r="E506">
        <f t="shared" ref="E506:H506" si="61">(E494/E$493)*E$500</f>
        <v>9089819.1550788544</v>
      </c>
      <c r="F506">
        <f t="shared" si="61"/>
        <v>188544.94970941558</v>
      </c>
      <c r="G506">
        <f t="shared" si="61"/>
        <v>554009.43354304053</v>
      </c>
      <c r="H506">
        <f t="shared" si="61"/>
        <v>1184844.6704569557</v>
      </c>
      <c r="J506">
        <f>(25/20)*J500</f>
        <v>316809</v>
      </c>
      <c r="K506">
        <f t="shared" si="56"/>
        <v>13118809.026291735</v>
      </c>
      <c r="L506">
        <f>K506/$O$505</f>
        <v>22.008654995246797</v>
      </c>
      <c r="Q506">
        <f>$Q$500</f>
        <v>48952560.892420724</v>
      </c>
      <c r="R506">
        <f t="shared" si="57"/>
        <v>62071369.91871246</v>
      </c>
      <c r="S506">
        <f>R506/$O$505</f>
        <v>104.13348977681073</v>
      </c>
      <c r="U506">
        <f>100*(S506-$S$500)/$S$500</f>
        <v>-15.775843646815238</v>
      </c>
    </row>
    <row r="507" spans="2:37" x14ac:dyDescent="0.3">
      <c r="R507">
        <f t="shared" si="57"/>
        <v>0</v>
      </c>
    </row>
    <row r="508" spans="2:37" x14ac:dyDescent="0.3">
      <c r="B508" t="s">
        <v>1965</v>
      </c>
      <c r="D508">
        <f>(D495/D$493)*D$499</f>
        <v>64458.557715701521</v>
      </c>
      <c r="E508">
        <f t="shared" ref="E508:H508" si="62">(E495/E$493)*E$499</f>
        <v>396677.39262108755</v>
      </c>
      <c r="F508">
        <f t="shared" si="62"/>
        <v>15432.935144786989</v>
      </c>
      <c r="G508">
        <f t="shared" si="62"/>
        <v>36277.785941854694</v>
      </c>
      <c r="H508">
        <f t="shared" si="62"/>
        <v>123200.58660837387</v>
      </c>
      <c r="J508">
        <f>(30/20)*J499</f>
        <v>72330.749784960004</v>
      </c>
      <c r="K508">
        <f t="shared" si="56"/>
        <v>708378.00781676476</v>
      </c>
      <c r="L508">
        <f>K508/$O$508</f>
        <v>0.99033679740631742</v>
      </c>
      <c r="N508" t="s">
        <v>1963</v>
      </c>
      <c r="O508">
        <f>30/20*O499</f>
        <v>715290</v>
      </c>
      <c r="Q508">
        <f>$Q$499</f>
        <v>3158044.6798477685</v>
      </c>
      <c r="R508">
        <f t="shared" si="57"/>
        <v>3866422.687664533</v>
      </c>
      <c r="S508">
        <f>R508/$O$508</f>
        <v>5.4053917818850161</v>
      </c>
      <c r="U508">
        <f>100*(S508-$S$499)/$S$499</f>
        <v>-28.537118621741051</v>
      </c>
      <c r="AI508">
        <f>20/6</f>
        <v>3.3333333333333335</v>
      </c>
    </row>
    <row r="509" spans="2:37" x14ac:dyDescent="0.3">
      <c r="D509">
        <f>(D495/D$493)*D$500</f>
        <v>1784781.8175034693</v>
      </c>
      <c r="E509">
        <f t="shared" ref="E509:H509" si="63">(E495/E$493)*E$500</f>
        <v>10983531.479053617</v>
      </c>
      <c r="F509">
        <f t="shared" si="63"/>
        <v>235681.1871367695</v>
      </c>
      <c r="G509">
        <f t="shared" si="63"/>
        <v>554009.43354304053</v>
      </c>
      <c r="H509">
        <f t="shared" si="63"/>
        <v>1658782.5386397382</v>
      </c>
      <c r="J509">
        <f>(30/20)*J500</f>
        <v>380170.80000000005</v>
      </c>
      <c r="K509">
        <f t="shared" si="56"/>
        <v>15596957.255876634</v>
      </c>
      <c r="L509">
        <f>K509/$O$508</f>
        <v>21.805082212636322</v>
      </c>
      <c r="Q509">
        <f>$Q$500</f>
        <v>48952560.892420724</v>
      </c>
      <c r="R509">
        <f t="shared" si="57"/>
        <v>64549518.148297355</v>
      </c>
      <c r="S509">
        <f>R509/$O$508</f>
        <v>90.242444530606264</v>
      </c>
      <c r="U509">
        <f>100*(S509-$S$500)/$S$500</f>
        <v>-27.011053080716547</v>
      </c>
    </row>
    <row r="512" spans="2:37" x14ac:dyDescent="0.3">
      <c r="X512" s="70"/>
      <c r="Y512" s="47" t="s">
        <v>1992</v>
      </c>
      <c r="Z512" s="47"/>
      <c r="AA512" s="47"/>
      <c r="AB512" s="47"/>
      <c r="AC512" s="70"/>
      <c r="AD512" s="70"/>
      <c r="AE512" s="70"/>
      <c r="AF512" s="70"/>
      <c r="AG512" s="70"/>
      <c r="AH512" s="70"/>
      <c r="AI512" s="70"/>
      <c r="AJ512" s="70"/>
      <c r="AK512" s="70"/>
    </row>
    <row r="513" spans="2:35" x14ac:dyDescent="0.3">
      <c r="X513" s="70"/>
      <c r="AC513" t="s">
        <v>1988</v>
      </c>
    </row>
    <row r="514" spans="2:35" x14ac:dyDescent="0.3">
      <c r="X514" s="70"/>
      <c r="AC514" t="s">
        <v>1987</v>
      </c>
      <c r="AD514">
        <f>Q493-AB536</f>
        <v>3304064.1689669932</v>
      </c>
    </row>
    <row r="515" spans="2:35" x14ac:dyDescent="0.3">
      <c r="B515" t="s">
        <v>22</v>
      </c>
      <c r="X515" s="70"/>
      <c r="AC515" t="s">
        <v>162</v>
      </c>
      <c r="AD515">
        <f>Q494-AB537</f>
        <v>50572297.257839873</v>
      </c>
    </row>
    <row r="516" spans="2:35" x14ac:dyDescent="0.3">
      <c r="X516" s="70"/>
    </row>
    <row r="517" spans="2:35" x14ac:dyDescent="0.3">
      <c r="B517">
        <v>1</v>
      </c>
      <c r="X517" s="70"/>
    </row>
    <row r="518" spans="2:35" x14ac:dyDescent="0.3">
      <c r="B518">
        <v>1</v>
      </c>
      <c r="X518" s="70"/>
      <c r="AB518" t="s">
        <v>1983</v>
      </c>
    </row>
    <row r="519" spans="2:35" x14ac:dyDescent="0.3">
      <c r="B519">
        <v>1</v>
      </c>
      <c r="X519" s="70"/>
      <c r="AA519" t="s">
        <v>32</v>
      </c>
      <c r="AB519">
        <f>D499</f>
        <v>42972.371810467681</v>
      </c>
      <c r="AC519">
        <f>E499</f>
        <v>259892.08482071254</v>
      </c>
      <c r="AI519">
        <v>19</v>
      </c>
    </row>
    <row r="520" spans="2:35" x14ac:dyDescent="0.3">
      <c r="B520">
        <v>2</v>
      </c>
      <c r="D520">
        <f>HAWT!J387+HAWT!I385+HAWT!I384</f>
        <v>48466.098929600004</v>
      </c>
      <c r="E520">
        <f>HAWT!M387+HAWT!L385+HAWT!L384</f>
        <v>266968</v>
      </c>
      <c r="X520" s="70"/>
      <c r="AA520" t="s">
        <v>162</v>
      </c>
      <c r="AB520">
        <f>D500</f>
        <v>1189854.5450023129</v>
      </c>
      <c r="AC520">
        <f>E500</f>
        <v>7196106.8311040932</v>
      </c>
      <c r="AI520">
        <v>2</v>
      </c>
    </row>
    <row r="521" spans="2:35" x14ac:dyDescent="0.3">
      <c r="B521">
        <v>10</v>
      </c>
      <c r="X521" s="70"/>
    </row>
    <row r="522" spans="2:35" x14ac:dyDescent="0.3">
      <c r="J522">
        <f>'For Graphics1'!C23</f>
        <v>5332521.849899753</v>
      </c>
      <c r="K522">
        <f>'For Graphics1'!E23</f>
        <v>80128631.449564248</v>
      </c>
      <c r="X522" s="70"/>
      <c r="AB522" t="s">
        <v>1984</v>
      </c>
      <c r="AF522">
        <v>20</v>
      </c>
      <c r="AG522">
        <v>0.5</v>
      </c>
      <c r="AH522">
        <f>AF522/AG522</f>
        <v>40</v>
      </c>
      <c r="AI522">
        <v>39</v>
      </c>
    </row>
    <row r="523" spans="2:35" x14ac:dyDescent="0.3">
      <c r="B523" t="s">
        <v>1142</v>
      </c>
      <c r="D523" t="s">
        <v>1969</v>
      </c>
      <c r="J523" t="s">
        <v>1970</v>
      </c>
      <c r="M523" t="s">
        <v>1971</v>
      </c>
      <c r="P523" t="s">
        <v>101</v>
      </c>
      <c r="S523" t="s">
        <v>1972</v>
      </c>
      <c r="X523" s="70"/>
      <c r="AA523" t="s">
        <v>32</v>
      </c>
      <c r="AB523">
        <f>AB519*($AI$523/$AI$520)</f>
        <v>107430.9295261692</v>
      </c>
      <c r="AC523">
        <f>AC519*($AI$522/$AI$519)</f>
        <v>533462.70042146265</v>
      </c>
      <c r="AI523">
        <v>5</v>
      </c>
    </row>
    <row r="524" spans="2:35" x14ac:dyDescent="0.3">
      <c r="C524">
        <v>1</v>
      </c>
      <c r="D524">
        <f>HAWT!BB378</f>
        <v>255716.05279248001</v>
      </c>
      <c r="E524">
        <f>HAWT!BC378</f>
        <v>3862101.3401679425</v>
      </c>
      <c r="G524">
        <f>D520</f>
        <v>48466.098929600004</v>
      </c>
      <c r="H524">
        <f>E520</f>
        <v>266968</v>
      </c>
      <c r="J524">
        <f>J522-D524-G524</f>
        <v>5028339.6981776729</v>
      </c>
      <c r="K524">
        <f>K522-E524-H524</f>
        <v>75999562.109396309</v>
      </c>
      <c r="M524">
        <f>J524+D524+G524</f>
        <v>5332521.849899753</v>
      </c>
      <c r="N524">
        <f>K524+E524+H524</f>
        <v>80128631.449564248</v>
      </c>
      <c r="P524">
        <f>K473</f>
        <v>424104.45</v>
      </c>
      <c r="S524">
        <f t="shared" ref="S524:T527" si="64">M524/$P524</f>
        <v>12.57360503974847</v>
      </c>
      <c r="T524">
        <f t="shared" si="64"/>
        <v>188.93607800994366</v>
      </c>
      <c r="V524">
        <f>(S524-$S$524)/$S$524</f>
        <v>0</v>
      </c>
      <c r="X524" s="70"/>
      <c r="AA524" t="s">
        <v>162</v>
      </c>
      <c r="AB524">
        <f>AB520*($AI$523/$AI$520)</f>
        <v>2974636.3625057824</v>
      </c>
      <c r="AC524">
        <f>AC520*($AI$522/$AI$519)</f>
        <v>14770956.127003141</v>
      </c>
    </row>
    <row r="525" spans="2:35" x14ac:dyDescent="0.3">
      <c r="C525">
        <v>1</v>
      </c>
      <c r="D525">
        <f>C525*$D$524</f>
        <v>255716.05279248001</v>
      </c>
      <c r="E525">
        <f>C525*$E$524</f>
        <v>3862101.3401679425</v>
      </c>
      <c r="G525">
        <f>(15/20)*G524</f>
        <v>36349.574197200003</v>
      </c>
      <c r="H525">
        <f>(15/20)*H524</f>
        <v>200226</v>
      </c>
      <c r="J525">
        <f>J524</f>
        <v>5028339.6981776729</v>
      </c>
      <c r="K525">
        <f>K524</f>
        <v>75999562.109396309</v>
      </c>
      <c r="M525">
        <f t="shared" ref="M525:M527" si="65">J525+D525+G525</f>
        <v>5320405.3251673533</v>
      </c>
      <c r="N525">
        <f t="shared" ref="N525:N527" si="66">K525+E525+H525</f>
        <v>80061889.449564248</v>
      </c>
      <c r="P525">
        <f>15/20*P524</f>
        <v>318078.33750000002</v>
      </c>
      <c r="S525">
        <f t="shared" si="64"/>
        <v>16.726713824600999</v>
      </c>
      <c r="T525">
        <f t="shared" si="64"/>
        <v>251.70494186692056</v>
      </c>
      <c r="V525">
        <f>100*(S525-$S$524)/$S$524</f>
        <v>33.030374118826394</v>
      </c>
      <c r="W525">
        <f>100*(T525-$T$524)/$T$524</f>
        <v>33.222275236216873</v>
      </c>
      <c r="X525" s="70"/>
    </row>
    <row r="526" spans="2:35" x14ac:dyDescent="0.3">
      <c r="C526">
        <v>1</v>
      </c>
      <c r="D526">
        <f t="shared" ref="D526:D527" si="67">C526*$D$524</f>
        <v>255716.05279248001</v>
      </c>
      <c r="E526">
        <f t="shared" ref="E526:E527" si="68">C526*$E$524</f>
        <v>3862101.3401679425</v>
      </c>
      <c r="G526">
        <f>(25/20)*G524</f>
        <v>60582.623662000005</v>
      </c>
      <c r="H526">
        <f>(25/20)*H524</f>
        <v>333710</v>
      </c>
      <c r="J526">
        <f t="shared" ref="J526:J527" si="69">J525</f>
        <v>5028339.6981776729</v>
      </c>
      <c r="K526">
        <f t="shared" ref="K526:K527" si="70">K525</f>
        <v>75999562.109396309</v>
      </c>
      <c r="M526">
        <f t="shared" si="65"/>
        <v>5344638.3746321527</v>
      </c>
      <c r="N526">
        <f t="shared" si="66"/>
        <v>80195373.449564248</v>
      </c>
      <c r="P526">
        <f>25/20*P524</f>
        <v>530130.5625</v>
      </c>
      <c r="S526">
        <f t="shared" si="64"/>
        <v>10.08173976883695</v>
      </c>
      <c r="T526">
        <f t="shared" si="64"/>
        <v>151.2747596957575</v>
      </c>
      <c r="V526">
        <f>100*(S526-$S$524)/$S$524</f>
        <v>-19.818224471295849</v>
      </c>
      <c r="W526">
        <f>100*(T526-$T$524)/$T$524</f>
        <v>-19.933365141730132</v>
      </c>
      <c r="X526" s="70"/>
      <c r="AF526">
        <v>20</v>
      </c>
      <c r="AI526">
        <v>9</v>
      </c>
    </row>
    <row r="527" spans="2:35" x14ac:dyDescent="0.3">
      <c r="C527">
        <v>2</v>
      </c>
      <c r="D527">
        <f t="shared" si="67"/>
        <v>511432.10558496002</v>
      </c>
      <c r="E527">
        <f t="shared" si="68"/>
        <v>7724202.6803358849</v>
      </c>
      <c r="G527">
        <f>30/20*G524</f>
        <v>72699.148394400007</v>
      </c>
      <c r="H527">
        <f>30/20*H524</f>
        <v>400452</v>
      </c>
      <c r="J527">
        <f t="shared" si="69"/>
        <v>5028339.6981776729</v>
      </c>
      <c r="K527">
        <f t="shared" si="70"/>
        <v>75999562.109396309</v>
      </c>
      <c r="M527">
        <f t="shared" si="65"/>
        <v>5612470.9521570336</v>
      </c>
      <c r="N527">
        <f t="shared" si="66"/>
        <v>84124216.789732188</v>
      </c>
      <c r="P527">
        <f>30/20*P524</f>
        <v>636156.67500000005</v>
      </c>
      <c r="S527">
        <f t="shared" si="64"/>
        <v>8.8224664971990325</v>
      </c>
      <c r="T527">
        <f t="shared" si="64"/>
        <v>132.23820498265178</v>
      </c>
      <c r="V527">
        <f>100*(S527-$S$524)/$S$524</f>
        <v>-29.833437034892562</v>
      </c>
      <c r="W527">
        <f>100*(T527-$T$524)/$T$524</f>
        <v>-30.009024017269951</v>
      </c>
      <c r="X527" s="70"/>
      <c r="AI527">
        <v>1</v>
      </c>
    </row>
    <row r="528" spans="2:35" x14ac:dyDescent="0.3">
      <c r="X528" s="70"/>
      <c r="AA528" t="s">
        <v>32</v>
      </c>
      <c r="AB528">
        <f>AI526/AI519*AB519</f>
        <v>20355.334015484688</v>
      </c>
      <c r="AC528">
        <f>AI527/AI520*AC519</f>
        <v>129946.04241035627</v>
      </c>
    </row>
    <row r="529" spans="4:36" x14ac:dyDescent="0.3">
      <c r="X529" s="70"/>
      <c r="AA529" t="s">
        <v>162</v>
      </c>
      <c r="AB529">
        <f>AI526/AI519*AB520</f>
        <v>563615.31079056917</v>
      </c>
      <c r="AC529">
        <f>AI527/AI520*AC520</f>
        <v>3598053.4155520466</v>
      </c>
    </row>
    <row r="530" spans="4:36" x14ac:dyDescent="0.3">
      <c r="X530" s="70"/>
    </row>
    <row r="531" spans="4:36" x14ac:dyDescent="0.3">
      <c r="X531" s="70"/>
    </row>
    <row r="532" spans="4:36" x14ac:dyDescent="0.3">
      <c r="X532" s="70"/>
    </row>
    <row r="533" spans="4:36" x14ac:dyDescent="0.3">
      <c r="D533" t="s">
        <v>1974</v>
      </c>
      <c r="G533">
        <f>'Draft Calculations'!$U$502</f>
        <v>29.594808207856548</v>
      </c>
      <c r="K533">
        <f>'Draft Calculations'!$U$505</f>
        <v>-16.878019097540225</v>
      </c>
      <c r="M533">
        <f>'Draft Calculations'!$U$508</f>
        <v>-28.537118621741051</v>
      </c>
      <c r="X533" s="70"/>
      <c r="AG533">
        <f>K455</f>
        <v>476860</v>
      </c>
    </row>
    <row r="534" spans="4:36" x14ac:dyDescent="0.3">
      <c r="G534">
        <f>'Draft Calculations'!$U$503</f>
        <v>28.264935572112002</v>
      </c>
      <c r="K534">
        <f>'Draft Calculations'!$U$506</f>
        <v>-15.775843646815238</v>
      </c>
      <c r="M534">
        <f>'Draft Calculations'!$U$509</f>
        <v>-27.011053080716547</v>
      </c>
      <c r="X534" s="70"/>
    </row>
    <row r="535" spans="4:36" x14ac:dyDescent="0.3">
      <c r="D535" s="351" t="s">
        <v>1973</v>
      </c>
      <c r="X535" s="70"/>
      <c r="Y535" t="s">
        <v>1950</v>
      </c>
      <c r="AB535" t="s">
        <v>14</v>
      </c>
      <c r="AC535" t="s">
        <v>1986</v>
      </c>
      <c r="AE535" t="s">
        <v>1824</v>
      </c>
    </row>
    <row r="536" spans="4:36" x14ac:dyDescent="0.3">
      <c r="G536">
        <f>'Draft Calculations'!$V$525</f>
        <v>33.030374118826394</v>
      </c>
      <c r="K536">
        <f>'Draft Calculations'!$V$526</f>
        <v>-19.818224471295849</v>
      </c>
      <c r="M536">
        <f>'Draft Calculations'!$V$527</f>
        <v>-29.833437034892562</v>
      </c>
      <c r="X536" s="70"/>
      <c r="AA536" t="s">
        <v>32</v>
      </c>
      <c r="AB536">
        <f>AB519+AC519</f>
        <v>302864.45663118025</v>
      </c>
      <c r="AC536">
        <f>$AD$514</f>
        <v>3304064.1689669932</v>
      </c>
      <c r="AE536">
        <f>AB536+AC536</f>
        <v>3606928.6255981736</v>
      </c>
      <c r="AG536">
        <f>AE536/$AG$533</f>
        <v>7.5639152489161887</v>
      </c>
    </row>
    <row r="537" spans="4:36" x14ac:dyDescent="0.3">
      <c r="G537">
        <f>'Draft Calculations'!$W$525</f>
        <v>33.222275236216873</v>
      </c>
      <c r="K537">
        <f>'Draft Calculations'!$W$526</f>
        <v>-19.933365141730132</v>
      </c>
      <c r="M537">
        <f>'Draft Calculations'!$W$527</f>
        <v>-30.009024017269951</v>
      </c>
      <c r="X537" s="70"/>
      <c r="AA537" t="s">
        <v>162</v>
      </c>
      <c r="AB537">
        <f>AB520+AC520</f>
        <v>8385961.3761064056</v>
      </c>
      <c r="AC537">
        <f>$AD$515</f>
        <v>50572297.257839873</v>
      </c>
      <c r="AE537">
        <f t="shared" ref="AE537:AE543" si="71">AB537+AC537</f>
        <v>58958258.633946277</v>
      </c>
      <c r="AG537">
        <f t="shared" ref="AG537:AG543" si="72">AE537/$AG$533</f>
        <v>123.63850738989699</v>
      </c>
    </row>
    <row r="538" spans="4:36" x14ac:dyDescent="0.3">
      <c r="G538">
        <v>15</v>
      </c>
      <c r="I538" t="s">
        <v>1916</v>
      </c>
      <c r="K538">
        <v>25</v>
      </c>
      <c r="M538">
        <v>30</v>
      </c>
      <c r="X538" s="70"/>
      <c r="AE538">
        <f t="shared" si="71"/>
        <v>0</v>
      </c>
      <c r="AG538">
        <f t="shared" si="72"/>
        <v>0</v>
      </c>
    </row>
    <row r="539" spans="4:36" x14ac:dyDescent="0.3">
      <c r="D539" t="s">
        <v>1929</v>
      </c>
      <c r="F539" t="s">
        <v>1765</v>
      </c>
      <c r="G539" s="353"/>
      <c r="H539" s="14" t="s">
        <v>1765</v>
      </c>
      <c r="I539" s="14"/>
      <c r="J539" s="14" t="s">
        <v>1765</v>
      </c>
      <c r="K539" s="353"/>
      <c r="L539" s="14" t="s">
        <v>1765</v>
      </c>
      <c r="M539" s="353"/>
      <c r="N539" s="334" t="s">
        <v>1764</v>
      </c>
      <c r="O539" t="s">
        <v>1775</v>
      </c>
      <c r="X539" s="70"/>
      <c r="AA539" t="s">
        <v>32</v>
      </c>
      <c r="AB539">
        <f>AB523+AC523</f>
        <v>640893.62994763185</v>
      </c>
      <c r="AC539">
        <f>$AD$514</f>
        <v>3304064.1689669932</v>
      </c>
      <c r="AE539">
        <f t="shared" si="71"/>
        <v>3944957.7989146253</v>
      </c>
      <c r="AG539">
        <f t="shared" si="72"/>
        <v>8.2727798492526645</v>
      </c>
      <c r="AI539">
        <f>(AG539-$AG$536)/$AG$536</f>
        <v>9.371662386593331E-2</v>
      </c>
      <c r="AJ539">
        <f>100*AI539</f>
        <v>9.3716623865933304</v>
      </c>
    </row>
    <row r="540" spans="4:36" x14ac:dyDescent="0.3">
      <c r="D540" t="s">
        <v>1881</v>
      </c>
      <c r="E540" t="s">
        <v>32</v>
      </c>
      <c r="F540" t="s">
        <v>1765</v>
      </c>
      <c r="G540" s="14">
        <f>'Draft Calculations'!S502</f>
        <v>9.8024414598377501</v>
      </c>
      <c r="H540" s="14" t="s">
        <v>1765</v>
      </c>
      <c r="I540" s="14">
        <f>'Draft Calculations'!S499</f>
        <v>7.5639152489161887</v>
      </c>
      <c r="J540" s="14" t="s">
        <v>1765</v>
      </c>
      <c r="K540" s="14">
        <f>'Draft Calculations'!S505</f>
        <v>6.2872761886823572</v>
      </c>
      <c r="L540" s="14" t="s">
        <v>1765</v>
      </c>
      <c r="M540" s="14">
        <f>'Draft Calculations'!S508</f>
        <v>5.4053917818850161</v>
      </c>
      <c r="N540" s="334" t="s">
        <v>1764</v>
      </c>
      <c r="X540" s="70"/>
      <c r="AA540" t="s">
        <v>162</v>
      </c>
      <c r="AB540">
        <f>AB524+AC524</f>
        <v>17745592.489508923</v>
      </c>
      <c r="AC540">
        <f>$AD$515</f>
        <v>50572297.257839873</v>
      </c>
      <c r="AE540">
        <f t="shared" si="71"/>
        <v>68317889.7473488</v>
      </c>
      <c r="AG540">
        <f t="shared" si="72"/>
        <v>143.26613628182025</v>
      </c>
      <c r="AI540">
        <f>(AG540-$AG$537)/$AG$537</f>
        <v>0.15875012814597533</v>
      </c>
      <c r="AJ540">
        <f t="shared" ref="AJ540:AJ543" si="73">100*AI540</f>
        <v>15.875012814597532</v>
      </c>
    </row>
    <row r="541" spans="4:36" x14ac:dyDescent="0.3">
      <c r="D541" t="s">
        <v>1881</v>
      </c>
      <c r="E541" t="s">
        <v>162</v>
      </c>
      <c r="F541" t="s">
        <v>1765</v>
      </c>
      <c r="G541" s="14">
        <f>'Draft Calculations'!S503</f>
        <v>158.58485184597231</v>
      </c>
      <c r="H541" s="14" t="s">
        <v>1765</v>
      </c>
      <c r="I541" s="14">
        <f>'Draft Calculations'!S500</f>
        <v>123.63850738989699</v>
      </c>
      <c r="J541" s="14" t="s">
        <v>1765</v>
      </c>
      <c r="K541" s="14">
        <f>'Draft Calculations'!S506</f>
        <v>104.13348977681073</v>
      </c>
      <c r="L541" s="14" t="s">
        <v>1765</v>
      </c>
      <c r="M541" s="14">
        <f>'Draft Calculations'!S509</f>
        <v>90.242444530606264</v>
      </c>
      <c r="N541" s="334" t="s">
        <v>1764</v>
      </c>
      <c r="O541" t="s">
        <v>1775</v>
      </c>
      <c r="X541" s="70"/>
      <c r="AE541">
        <f t="shared" si="71"/>
        <v>0</v>
      </c>
      <c r="AG541">
        <f t="shared" si="72"/>
        <v>0</v>
      </c>
      <c r="AJ541">
        <f t="shared" si="73"/>
        <v>0</v>
      </c>
    </row>
    <row r="542" spans="4:36" x14ac:dyDescent="0.3">
      <c r="D542" t="s">
        <v>1927</v>
      </c>
      <c r="F542" t="s">
        <v>1765</v>
      </c>
      <c r="G542" s="353"/>
      <c r="H542" s="14" t="s">
        <v>1765</v>
      </c>
      <c r="I542" s="14"/>
      <c r="J542" s="14" t="s">
        <v>1765</v>
      </c>
      <c r="K542" s="353"/>
      <c r="L542" s="14" t="s">
        <v>1765</v>
      </c>
      <c r="M542" s="353"/>
      <c r="N542" s="334" t="s">
        <v>1764</v>
      </c>
      <c r="O542" t="s">
        <v>1775</v>
      </c>
      <c r="X542" s="70"/>
      <c r="AA542" t="s">
        <v>32</v>
      </c>
      <c r="AB542">
        <f>AB528+AC528</f>
        <v>150301.37642584095</v>
      </c>
      <c r="AC542">
        <f>$AD$514</f>
        <v>3304064.1689669932</v>
      </c>
      <c r="AE542">
        <f t="shared" si="71"/>
        <v>3454365.5453928341</v>
      </c>
      <c r="AG542">
        <f t="shared" si="72"/>
        <v>7.2439826057812233</v>
      </c>
      <c r="AI542">
        <f t="shared" ref="AI542" si="74">(AG542-$AG$536)/$AG$536</f>
        <v>-4.2297227375836556E-2</v>
      </c>
      <c r="AJ542">
        <f t="shared" si="73"/>
        <v>-4.2297227375836552</v>
      </c>
    </row>
    <row r="543" spans="4:36" x14ac:dyDescent="0.3">
      <c r="D543" t="s">
        <v>1881</v>
      </c>
      <c r="E543" t="s">
        <v>32</v>
      </c>
      <c r="F543" t="s">
        <v>1765</v>
      </c>
      <c r="G543" s="14">
        <f>'Draft Calculations'!S525</f>
        <v>16.726713824600999</v>
      </c>
      <c r="H543" s="14" t="s">
        <v>1765</v>
      </c>
      <c r="I543" s="14">
        <f>'Draft Calculations'!S524</f>
        <v>12.57360503974847</v>
      </c>
      <c r="J543" s="14" t="s">
        <v>1765</v>
      </c>
      <c r="K543" s="14">
        <f>'Draft Calculations'!S526</f>
        <v>10.08173976883695</v>
      </c>
      <c r="L543" s="14" t="s">
        <v>1765</v>
      </c>
      <c r="M543" s="14">
        <f>'Draft Calculations'!S527</f>
        <v>8.8224664971990325</v>
      </c>
      <c r="N543" s="334" t="s">
        <v>1764</v>
      </c>
      <c r="X543" s="70"/>
      <c r="AA543" t="s">
        <v>162</v>
      </c>
      <c r="AB543">
        <f>AB529+AC529</f>
        <v>4161668.7263426157</v>
      </c>
      <c r="AC543">
        <f>$AD$515</f>
        <v>50572297.257839873</v>
      </c>
      <c r="AE543">
        <f t="shared" si="71"/>
        <v>54733965.984182492</v>
      </c>
      <c r="AG543">
        <f t="shared" si="72"/>
        <v>114.77994795995154</v>
      </c>
      <c r="AI543">
        <f>(AG543-$AG$537)/$AG$537</f>
        <v>-7.1648870703443265E-2</v>
      </c>
      <c r="AJ543">
        <f t="shared" si="73"/>
        <v>-7.1648870703443261</v>
      </c>
    </row>
    <row r="544" spans="4:36" x14ac:dyDescent="0.3">
      <c r="D544" t="s">
        <v>1881</v>
      </c>
      <c r="E544" t="s">
        <v>162</v>
      </c>
      <c r="F544" t="s">
        <v>1765</v>
      </c>
      <c r="G544" s="14">
        <f>'Draft Calculations'!T525</f>
        <v>251.70494186692056</v>
      </c>
      <c r="H544" s="14" t="s">
        <v>1765</v>
      </c>
      <c r="I544" s="14">
        <f>'Draft Calculations'!T524</f>
        <v>188.93607800994366</v>
      </c>
      <c r="J544" s="14" t="s">
        <v>1765</v>
      </c>
      <c r="K544" s="14">
        <f>'Draft Calculations'!T526</f>
        <v>151.2747596957575</v>
      </c>
      <c r="L544" s="14" t="s">
        <v>1765</v>
      </c>
      <c r="M544" s="14">
        <f>'Draft Calculations'!T527</f>
        <v>132.23820498265178</v>
      </c>
      <c r="N544" s="334" t="s">
        <v>1764</v>
      </c>
      <c r="X544" s="70"/>
    </row>
    <row r="545" spans="3:34" x14ac:dyDescent="0.3">
      <c r="C545" s="44"/>
      <c r="D545" s="44"/>
      <c r="E545" s="44"/>
      <c r="F545" s="44"/>
      <c r="G545" s="44"/>
      <c r="H545" s="44"/>
      <c r="I545" s="44"/>
      <c r="J545" s="44"/>
      <c r="K545" s="44"/>
      <c r="L545" s="44"/>
      <c r="M545" s="44"/>
      <c r="N545" s="44"/>
      <c r="O545" s="44"/>
      <c r="P545" s="44"/>
      <c r="X545" s="70"/>
    </row>
    <row r="546" spans="3:34" x14ac:dyDescent="0.3">
      <c r="C546" s="44"/>
      <c r="D546" s="359" t="s">
        <v>1929</v>
      </c>
      <c r="E546" s="359"/>
      <c r="F546" s="359" t="s">
        <v>1765</v>
      </c>
      <c r="G546" s="366"/>
      <c r="H546" s="359" t="s">
        <v>1765</v>
      </c>
      <c r="I546" s="359"/>
      <c r="J546" s="359" t="s">
        <v>1765</v>
      </c>
      <c r="K546" s="366"/>
      <c r="L546" s="359" t="s">
        <v>1765</v>
      </c>
      <c r="M546" s="366"/>
      <c r="N546" s="363" t="s">
        <v>1764</v>
      </c>
      <c r="O546" t="s">
        <v>1775</v>
      </c>
      <c r="P546" s="44"/>
      <c r="X546" s="70"/>
    </row>
    <row r="547" spans="3:34" x14ac:dyDescent="0.3">
      <c r="C547" s="44"/>
      <c r="D547" s="359" t="s">
        <v>1881</v>
      </c>
      <c r="E547" s="359" t="s">
        <v>32</v>
      </c>
      <c r="F547" s="359" t="s">
        <v>1765</v>
      </c>
      <c r="G547" s="359" t="str">
        <f>TEXT(G540,$D$535)&amp;"  (+"&amp;TEXT(G533,$D$535)&amp;"\%)"</f>
        <v>9,8  (+29,6\%)</v>
      </c>
      <c r="H547" s="359" t="s">
        <v>1765</v>
      </c>
      <c r="I547" s="359">
        <f>I540</f>
        <v>7.5639152489161887</v>
      </c>
      <c r="J547" s="359" t="s">
        <v>1765</v>
      </c>
      <c r="K547" s="359" t="str">
        <f>TEXT(K540,$D$535)&amp;"  ("&amp;TEXT(K533,$D$535)&amp;"\%)"</f>
        <v>6,3  (-16,9\%)</v>
      </c>
      <c r="L547" s="359" t="s">
        <v>1765</v>
      </c>
      <c r="M547" s="359" t="str">
        <f>TEXT(M540,$D$535)&amp;"  ("&amp;TEXT(M533,$D$535)&amp;"\%)"</f>
        <v>5,4  (-28,5\%)</v>
      </c>
      <c r="N547" s="363" t="s">
        <v>1764</v>
      </c>
      <c r="P547" s="44"/>
      <c r="X547" s="70"/>
      <c r="AA547" s="351" t="s">
        <v>1973</v>
      </c>
    </row>
    <row r="548" spans="3:34" x14ac:dyDescent="0.3">
      <c r="C548" s="44"/>
      <c r="D548" s="359" t="s">
        <v>1881</v>
      </c>
      <c r="E548" s="359" t="s">
        <v>162</v>
      </c>
      <c r="F548" s="359" t="s">
        <v>1765</v>
      </c>
      <c r="G548" s="359" t="str">
        <f>TEXT(G541,$D$535)&amp;"  (+"&amp;TEXT(G534,$D$535)&amp;"\%)"</f>
        <v>158,6  (+28,3\%)</v>
      </c>
      <c r="H548" s="359" t="s">
        <v>1765</v>
      </c>
      <c r="I548" s="359">
        <f>I541</f>
        <v>123.63850738989699</v>
      </c>
      <c r="J548" s="359" t="s">
        <v>1765</v>
      </c>
      <c r="K548" s="359" t="str">
        <f>TEXT(K541,$D$535)&amp;"  ("&amp;TEXT(K534,$D$535)&amp;"\%)"</f>
        <v>104,1  (-15,8\%)</v>
      </c>
      <c r="L548" s="359" t="s">
        <v>1765</v>
      </c>
      <c r="M548" s="359" t="str">
        <f>TEXT(M541,$D$535)&amp;"  ("&amp;TEXT(M534,$D$535)&amp;"\%)"</f>
        <v>90,2  (-27,0\%)</v>
      </c>
      <c r="N548" s="363" t="s">
        <v>1764</v>
      </c>
      <c r="O548" t="s">
        <v>1775</v>
      </c>
      <c r="P548" s="44"/>
      <c r="X548" s="70"/>
    </row>
    <row r="549" spans="3:34" x14ac:dyDescent="0.3">
      <c r="C549" s="44"/>
      <c r="D549" s="359" t="s">
        <v>1927</v>
      </c>
      <c r="E549" s="359"/>
      <c r="F549" s="359" t="s">
        <v>1765</v>
      </c>
      <c r="G549" s="359"/>
      <c r="H549" s="359" t="s">
        <v>1765</v>
      </c>
      <c r="I549" s="359"/>
      <c r="J549" s="359" t="s">
        <v>1765</v>
      </c>
      <c r="K549" s="359"/>
      <c r="L549" s="359" t="s">
        <v>1765</v>
      </c>
      <c r="M549" s="359"/>
      <c r="N549" s="363" t="s">
        <v>1764</v>
      </c>
      <c r="O549" t="s">
        <v>1775</v>
      </c>
      <c r="P549" s="44"/>
      <c r="X549" s="70"/>
      <c r="AC549" t="s">
        <v>1989</v>
      </c>
      <c r="AE549" t="s">
        <v>1990</v>
      </c>
      <c r="AG549" t="s">
        <v>1991</v>
      </c>
    </row>
    <row r="550" spans="3:34" x14ac:dyDescent="0.3">
      <c r="C550" s="44"/>
      <c r="D550" s="359" t="s">
        <v>1881</v>
      </c>
      <c r="E550" s="359" t="s">
        <v>32</v>
      </c>
      <c r="F550" s="359" t="s">
        <v>1765</v>
      </c>
      <c r="G550" s="359" t="str">
        <f>TEXT(G543,$D$535)&amp;"  (+"&amp;TEXT(G536,$D$535)&amp;"\%)"</f>
        <v>16,7  (+33,0\%)</v>
      </c>
      <c r="H550" s="359" t="s">
        <v>1765</v>
      </c>
      <c r="I550" s="359">
        <f>I543</f>
        <v>12.57360503974847</v>
      </c>
      <c r="J550" s="359" t="s">
        <v>1765</v>
      </c>
      <c r="K550" s="359" t="str">
        <f>TEXT(K543,$D$535)&amp;"  ("&amp;TEXT(K536,$D$535)&amp;"\%)"</f>
        <v>10,1  (-19,8\%)</v>
      </c>
      <c r="L550" s="359" t="s">
        <v>1765</v>
      </c>
      <c r="M550" s="359" t="str">
        <f>TEXT(M543,$D$535)&amp;"  ("&amp;TEXT(M536,$D$535)&amp;"\%)"</f>
        <v>8,8  (-29,8\%)</v>
      </c>
      <c r="N550" s="363" t="s">
        <v>1764</v>
      </c>
      <c r="P550" s="44"/>
      <c r="X550" s="70"/>
      <c r="AA550" t="s">
        <v>32</v>
      </c>
      <c r="AB550" t="s">
        <v>1765</v>
      </c>
      <c r="AC550" t="str">
        <f>TEXT(AG539,$AA$547)&amp;"  (+"&amp;TEXT(AJ539,$AA$547)&amp;"\%)"</f>
        <v>8,3  (+9,4\%)</v>
      </c>
      <c r="AD550" t="s">
        <v>1765</v>
      </c>
      <c r="AE550" t="str">
        <f>TEXT(AG536,$AA$547)</f>
        <v>7,6</v>
      </c>
      <c r="AF550" t="s">
        <v>1765</v>
      </c>
      <c r="AG550" t="str">
        <f>TEXT(AG542,$AA$547)&amp;"  ("&amp;TEXT(AJ542,$AA$547)&amp;"\%)"</f>
        <v>7,2  (-4,2\%)</v>
      </c>
      <c r="AH550" s="334" t="s">
        <v>1764</v>
      </c>
    </row>
    <row r="551" spans="3:34" x14ac:dyDescent="0.3">
      <c r="C551" s="44"/>
      <c r="D551" s="359" t="s">
        <v>1881</v>
      </c>
      <c r="E551" s="359" t="s">
        <v>162</v>
      </c>
      <c r="F551" s="359" t="s">
        <v>1765</v>
      </c>
      <c r="G551" s="359" t="str">
        <f>TEXT(G544,$D$535)&amp;"  (+"&amp;TEXT(G537,$D$535)&amp;"\%)"</f>
        <v>251,7  (+33,2\%)</v>
      </c>
      <c r="H551" s="359" t="s">
        <v>1765</v>
      </c>
      <c r="I551" s="359">
        <f>I544</f>
        <v>188.93607800994366</v>
      </c>
      <c r="J551" s="359" t="s">
        <v>1765</v>
      </c>
      <c r="K551" s="359" t="str">
        <f>TEXT(K544,$D$535)&amp;"  ("&amp;TEXT(K537,$D$535)&amp;"\%)"</f>
        <v>151,3  (-19,9\%)</v>
      </c>
      <c r="L551" s="359" t="s">
        <v>1765</v>
      </c>
      <c r="M551" s="359" t="str">
        <f>TEXT(M544,$D$535)&amp;"  ("&amp;TEXT(M537,$D$535)&amp;"\%)"</f>
        <v>132,2  (-30,0\%)</v>
      </c>
      <c r="N551" s="363" t="s">
        <v>1764</v>
      </c>
      <c r="P551" s="44"/>
      <c r="X551" s="70"/>
      <c r="AA551" t="s">
        <v>162</v>
      </c>
      <c r="AB551" t="s">
        <v>1765</v>
      </c>
      <c r="AC551" t="str">
        <f>TEXT(AG540,$AA$547)&amp;"  (+"&amp;TEXT(AJ540,$AA$547)&amp;"\%)"</f>
        <v>143,3  (+15,9\%)</v>
      </c>
      <c r="AD551" t="s">
        <v>1765</v>
      </c>
      <c r="AE551" t="str">
        <f>TEXT(AG537,$AA$547)</f>
        <v>123,6</v>
      </c>
      <c r="AF551" t="s">
        <v>1765</v>
      </c>
      <c r="AG551" t="str">
        <f>TEXT(AG543,$AA$547)&amp;"  ("&amp;TEXT(AJ543,$AA$547)&amp;"\%)"</f>
        <v>114,8  (-7,2\%)</v>
      </c>
      <c r="AH551" s="334" t="s">
        <v>1764</v>
      </c>
    </row>
    <row r="552" spans="3:34" x14ac:dyDescent="0.3">
      <c r="C552" s="44"/>
      <c r="D552" s="44"/>
      <c r="E552" s="44"/>
      <c r="F552" s="44"/>
      <c r="G552" s="44"/>
      <c r="H552" s="44"/>
      <c r="I552" s="44"/>
      <c r="J552" s="44"/>
      <c r="K552" s="44"/>
      <c r="L552" s="44"/>
      <c r="M552" s="44"/>
      <c r="N552" s="44"/>
      <c r="O552" s="44"/>
      <c r="P552" s="44"/>
      <c r="X552" s="70"/>
    </row>
    <row r="553" spans="3:34" x14ac:dyDescent="0.3">
      <c r="P553" s="44"/>
    </row>
    <row r="557" spans="3:34" x14ac:dyDescent="0.3">
      <c r="U557" t="s">
        <v>32</v>
      </c>
      <c r="V557" t="s">
        <v>162</v>
      </c>
      <c r="W557" t="s">
        <v>1760</v>
      </c>
    </row>
    <row r="558" spans="3:34" x14ac:dyDescent="0.3">
      <c r="S558" t="s">
        <v>1186</v>
      </c>
    </row>
    <row r="559" spans="3:34" x14ac:dyDescent="0.3">
      <c r="S559" t="s">
        <v>1185</v>
      </c>
    </row>
    <row r="564" spans="4:19" x14ac:dyDescent="0.3">
      <c r="I564" s="352" t="s">
        <v>1975</v>
      </c>
      <c r="K564" s="352" t="s">
        <v>1976</v>
      </c>
      <c r="M564" t="s">
        <v>1916</v>
      </c>
      <c r="O564" s="352" t="s">
        <v>1977</v>
      </c>
      <c r="Q564" s="352" t="s">
        <v>1978</v>
      </c>
    </row>
    <row r="565" spans="4:19" x14ac:dyDescent="0.3">
      <c r="D565" t="s">
        <v>1929</v>
      </c>
      <c r="F565" t="s">
        <v>1765</v>
      </c>
      <c r="H565" t="s">
        <v>1765</v>
      </c>
      <c r="J565" t="s">
        <v>1765</v>
      </c>
      <c r="L565" t="s">
        <v>1765</v>
      </c>
      <c r="N565" t="s">
        <v>1765</v>
      </c>
      <c r="P565" t="s">
        <v>1765</v>
      </c>
      <c r="R565" t="s">
        <v>1764</v>
      </c>
      <c r="S565" t="s">
        <v>1775</v>
      </c>
    </row>
    <row r="566" spans="4:19" x14ac:dyDescent="0.3">
      <c r="D566" t="s">
        <v>1881</v>
      </c>
      <c r="E566" t="s">
        <v>1928</v>
      </c>
      <c r="F566" t="s">
        <v>1765</v>
      </c>
      <c r="G566" t="s">
        <v>1933</v>
      </c>
      <c r="H566" t="s">
        <v>1765</v>
      </c>
      <c r="I566">
        <f>0.9*M566</f>
        <v>0</v>
      </c>
      <c r="J566" t="s">
        <v>1765</v>
      </c>
      <c r="K566">
        <f>0.95*M566</f>
        <v>0</v>
      </c>
      <c r="L566" t="s">
        <v>1765</v>
      </c>
      <c r="N566" t="s">
        <v>1765</v>
      </c>
      <c r="O566">
        <f>1.05*M566</f>
        <v>0</v>
      </c>
      <c r="P566" t="s">
        <v>1765</v>
      </c>
      <c r="Q566">
        <f>1.1*M566</f>
        <v>0</v>
      </c>
      <c r="R566" t="s">
        <v>1764</v>
      </c>
    </row>
    <row r="567" spans="4:19" x14ac:dyDescent="0.3">
      <c r="D567" t="s">
        <v>1881</v>
      </c>
      <c r="E567" t="s">
        <v>32</v>
      </c>
      <c r="F567" t="s">
        <v>1765</v>
      </c>
      <c r="G567" t="s">
        <v>1931</v>
      </c>
      <c r="H567" t="s">
        <v>1765</v>
      </c>
      <c r="J567" t="s">
        <v>1765</v>
      </c>
      <c r="L567" t="s">
        <v>1765</v>
      </c>
      <c r="N567" t="s">
        <v>1765</v>
      </c>
      <c r="P567" t="s">
        <v>1765</v>
      </c>
      <c r="R567" t="s">
        <v>1764</v>
      </c>
    </row>
    <row r="568" spans="4:19" x14ac:dyDescent="0.3">
      <c r="D568" t="s">
        <v>1881</v>
      </c>
      <c r="E568" t="s">
        <v>162</v>
      </c>
      <c r="F568" t="s">
        <v>1765</v>
      </c>
      <c r="G568" t="s">
        <v>1932</v>
      </c>
      <c r="H568" t="s">
        <v>1765</v>
      </c>
      <c r="J568" t="s">
        <v>1765</v>
      </c>
      <c r="L568" t="s">
        <v>1765</v>
      </c>
      <c r="N568" t="s">
        <v>1765</v>
      </c>
      <c r="P568" t="s">
        <v>1765</v>
      </c>
      <c r="R568" t="s">
        <v>1764</v>
      </c>
      <c r="S568" t="s">
        <v>1775</v>
      </c>
    </row>
    <row r="569" spans="4:19" x14ac:dyDescent="0.3">
      <c r="D569" t="s">
        <v>1927</v>
      </c>
      <c r="F569" t="s">
        <v>1765</v>
      </c>
      <c r="H569" t="s">
        <v>1765</v>
      </c>
      <c r="I569">
        <f>0.9*M569</f>
        <v>0</v>
      </c>
      <c r="J569" t="s">
        <v>1765</v>
      </c>
      <c r="K569">
        <f>0.95*M569</f>
        <v>0</v>
      </c>
      <c r="L569" t="s">
        <v>1765</v>
      </c>
      <c r="N569" t="s">
        <v>1765</v>
      </c>
      <c r="O569">
        <f>1.05*M569</f>
        <v>0</v>
      </c>
      <c r="P569" t="s">
        <v>1765</v>
      </c>
      <c r="Q569">
        <f>1.1*M569</f>
        <v>0</v>
      </c>
      <c r="R569" t="s">
        <v>1764</v>
      </c>
      <c r="S569" t="s">
        <v>1775</v>
      </c>
    </row>
    <row r="570" spans="4:19" x14ac:dyDescent="0.3">
      <c r="D570" t="s">
        <v>1881</v>
      </c>
      <c r="E570" t="s">
        <v>1928</v>
      </c>
      <c r="F570" t="s">
        <v>1765</v>
      </c>
      <c r="G570" t="s">
        <v>1933</v>
      </c>
      <c r="H570" t="s">
        <v>1765</v>
      </c>
      <c r="J570" t="s">
        <v>1765</v>
      </c>
      <c r="L570" t="s">
        <v>1765</v>
      </c>
      <c r="N570" t="s">
        <v>1765</v>
      </c>
      <c r="P570" t="s">
        <v>1765</v>
      </c>
      <c r="R570" t="s">
        <v>1764</v>
      </c>
    </row>
    <row r="571" spans="4:19" x14ac:dyDescent="0.3">
      <c r="D571" t="s">
        <v>1881</v>
      </c>
      <c r="E571" t="s">
        <v>32</v>
      </c>
      <c r="F571" t="s">
        <v>1765</v>
      </c>
      <c r="G571" t="s">
        <v>1931</v>
      </c>
      <c r="H571" t="s">
        <v>1765</v>
      </c>
      <c r="J571" t="s">
        <v>1765</v>
      </c>
      <c r="L571" t="s">
        <v>1765</v>
      </c>
      <c r="N571" t="s">
        <v>1765</v>
      </c>
      <c r="P571" t="s">
        <v>1765</v>
      </c>
      <c r="R571" t="s">
        <v>1764</v>
      </c>
    </row>
    <row r="572" spans="4:19" x14ac:dyDescent="0.3">
      <c r="D572" t="s">
        <v>1881</v>
      </c>
      <c r="E572" t="s">
        <v>162</v>
      </c>
      <c r="F572" t="s">
        <v>1765</v>
      </c>
      <c r="G572" t="s">
        <v>1932</v>
      </c>
      <c r="H572" t="s">
        <v>1765</v>
      </c>
      <c r="J572" t="s">
        <v>1765</v>
      </c>
      <c r="L572" t="s">
        <v>1765</v>
      </c>
      <c r="N572" t="s">
        <v>1765</v>
      </c>
      <c r="P572" t="s">
        <v>1765</v>
      </c>
      <c r="R572" t="s">
        <v>1764</v>
      </c>
    </row>
  </sheetData>
  <mergeCells count="9">
    <mergeCell ref="A238:B238"/>
    <mergeCell ref="A2:G2"/>
    <mergeCell ref="I57:I65"/>
    <mergeCell ref="Y172:Z172"/>
    <mergeCell ref="W172:X172"/>
    <mergeCell ref="I173:J173"/>
    <mergeCell ref="L173:M173"/>
    <mergeCell ref="C226:F226"/>
    <mergeCell ref="J226:M226"/>
  </mergeCells>
  <hyperlinks>
    <hyperlink ref="B94" r:id="rId1" xr:uid="{D25BEE2E-6E84-4C7A-8A93-5ADCF0E8C4E7}"/>
    <hyperlink ref="Z475" r:id="rId2" xr:uid="{03A21DAE-8C92-4F5F-ACDE-96EEE7B950F2}"/>
    <hyperlink ref="Z476:Z482" r:id="rId3" display="\\" xr:uid="{769C31EE-D255-4A26-981D-3D26A4CD0AC0}"/>
    <hyperlink ref="N539" r:id="rId4" xr:uid="{CBE04160-E046-491F-9042-ABEEFDBD8DE6}"/>
    <hyperlink ref="N540:N544" r:id="rId5" display="\\" xr:uid="{DDB7CF48-B017-4943-8C54-5562FFDC3E80}"/>
    <hyperlink ref="N546" r:id="rId6" xr:uid="{12D0841F-092B-402A-85F1-27F0B8A3E3BA}"/>
    <hyperlink ref="N547:N551" r:id="rId7" display="\\" xr:uid="{1158CB14-9A87-407C-AD62-904F0D854BC8}"/>
    <hyperlink ref="AH550" r:id="rId8" xr:uid="{5E947D23-6C58-4B14-B603-96D4C6E02BFF}"/>
    <hyperlink ref="AH551" r:id="rId9" xr:uid="{6D0C3349-9564-45D2-BB5D-F95E6E7CF953}"/>
  </hyperlinks>
  <pageMargins left="0.7" right="0.7" top="0.75" bottom="0.75" header="0.3" footer="0.3"/>
  <pageSetup paperSize="9" orientation="portrait" r:id="rId10"/>
  <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9985-115A-4FED-9053-E02A6C0B09C4}">
  <dimension ref="C1:AL123"/>
  <sheetViews>
    <sheetView topLeftCell="A13" zoomScale="60" zoomScaleNormal="60" workbookViewId="0">
      <selection activeCell="R18" sqref="R18"/>
    </sheetView>
  </sheetViews>
  <sheetFormatPr defaultRowHeight="14.4" x14ac:dyDescent="0.3"/>
  <cols>
    <col min="4" max="4" width="13.21875" customWidth="1"/>
    <col min="12" max="12" width="12.21875" bestFit="1" customWidth="1"/>
    <col min="13" max="13" width="8.88671875" style="60"/>
    <col min="18" max="18" width="12.21875" bestFit="1" customWidth="1"/>
    <col min="20" max="20" width="8.88671875" style="60"/>
  </cols>
  <sheetData>
    <row r="1" spans="3:33" x14ac:dyDescent="0.3">
      <c r="M1" s="420"/>
      <c r="N1" s="420"/>
      <c r="O1" s="420"/>
      <c r="P1" s="420"/>
      <c r="Q1" s="420"/>
      <c r="R1" s="420"/>
      <c r="S1" s="420"/>
      <c r="T1" s="420"/>
      <c r="U1" s="420"/>
    </row>
    <row r="2" spans="3:33" x14ac:dyDescent="0.3">
      <c r="M2" s="420"/>
      <c r="N2" s="420"/>
      <c r="O2" s="420"/>
      <c r="P2" s="420"/>
      <c r="Q2" s="420"/>
      <c r="R2" s="420"/>
      <c r="S2" s="420"/>
      <c r="T2" s="420"/>
      <c r="U2" s="420"/>
    </row>
    <row r="3" spans="3:33" x14ac:dyDescent="0.3">
      <c r="M3" s="420"/>
      <c r="N3" s="420"/>
      <c r="O3" s="420"/>
      <c r="P3" s="420"/>
      <c r="Q3" s="420"/>
      <c r="R3" s="420"/>
      <c r="S3" s="420"/>
      <c r="T3" s="420"/>
      <c r="U3" s="420"/>
    </row>
    <row r="4" spans="3:33" x14ac:dyDescent="0.3">
      <c r="M4" s="420"/>
      <c r="N4" s="420"/>
      <c r="O4" s="420"/>
      <c r="P4" s="420"/>
      <c r="Q4" s="420"/>
      <c r="R4" s="420"/>
      <c r="S4" s="420"/>
      <c r="T4" s="420"/>
      <c r="U4" s="420"/>
    </row>
    <row r="5" spans="3:33" x14ac:dyDescent="0.3">
      <c r="M5" s="420"/>
      <c r="N5" s="420"/>
      <c r="O5" s="420"/>
      <c r="P5" s="420"/>
      <c r="Q5" s="420"/>
      <c r="R5" s="420"/>
      <c r="S5" s="420"/>
      <c r="T5" s="420"/>
      <c r="U5" s="420"/>
    </row>
    <row r="6" spans="3:33" x14ac:dyDescent="0.3">
      <c r="M6" s="420"/>
      <c r="N6" s="420"/>
      <c r="O6" s="420"/>
      <c r="P6" s="420"/>
      <c r="Q6" s="420"/>
      <c r="R6" s="420"/>
      <c r="S6" s="420"/>
      <c r="T6" s="420"/>
      <c r="U6" s="420"/>
    </row>
    <row r="7" spans="3:33" x14ac:dyDescent="0.3">
      <c r="N7" t="s">
        <v>1618</v>
      </c>
      <c r="U7" t="s">
        <v>1050</v>
      </c>
    </row>
    <row r="8" spans="3:33" x14ac:dyDescent="0.3">
      <c r="C8" s="31"/>
      <c r="D8" s="31"/>
      <c r="E8" s="33" t="s">
        <v>1618</v>
      </c>
      <c r="F8" s="33" t="s">
        <v>1053</v>
      </c>
      <c r="G8" s="33" t="s">
        <v>1040</v>
      </c>
      <c r="H8" s="33" t="s">
        <v>50</v>
      </c>
      <c r="I8" s="33" t="s">
        <v>139</v>
      </c>
      <c r="J8" s="33"/>
      <c r="K8" s="33" t="s">
        <v>55</v>
      </c>
      <c r="M8" s="60" t="s">
        <v>55</v>
      </c>
      <c r="N8" t="s">
        <v>1044</v>
      </c>
      <c r="O8" t="s">
        <v>1161</v>
      </c>
      <c r="P8" t="s">
        <v>1162</v>
      </c>
      <c r="Q8" t="s">
        <v>1160</v>
      </c>
      <c r="U8" t="s">
        <v>21</v>
      </c>
      <c r="V8" t="s">
        <v>22</v>
      </c>
      <c r="W8" t="s">
        <v>26</v>
      </c>
      <c r="X8" t="s">
        <v>1051</v>
      </c>
      <c r="Y8" t="s">
        <v>1052</v>
      </c>
      <c r="Z8" t="s">
        <v>1057</v>
      </c>
      <c r="AA8" t="s">
        <v>1670</v>
      </c>
      <c r="AB8" t="s">
        <v>1059</v>
      </c>
      <c r="AC8" t="s">
        <v>1669</v>
      </c>
      <c r="AD8" t="s">
        <v>328</v>
      </c>
      <c r="AE8" t="s">
        <v>1485</v>
      </c>
      <c r="AF8" t="s">
        <v>212</v>
      </c>
    </row>
    <row r="9" spans="3:33" x14ac:dyDescent="0.3">
      <c r="C9" s="346" t="s">
        <v>1668</v>
      </c>
      <c r="D9" s="345"/>
      <c r="E9" s="230">
        <f t="shared" ref="E9:E41" si="0">M9</f>
        <v>0</v>
      </c>
      <c r="F9" s="230">
        <f t="shared" ref="F9:F41" si="1">AG9</f>
        <v>0</v>
      </c>
      <c r="G9" s="230"/>
      <c r="H9" s="230"/>
      <c r="I9" s="230"/>
      <c r="J9" s="230"/>
      <c r="K9" s="344">
        <f t="shared" ref="K9:K42" si="2">SUM(E9:I9)</f>
        <v>0</v>
      </c>
      <c r="L9" s="230"/>
      <c r="M9" s="60">
        <f t="shared" ref="M9:M41" si="3">SUM(N9:R9)</f>
        <v>0</v>
      </c>
      <c r="N9" s="230"/>
      <c r="O9" s="230"/>
      <c r="P9" s="230"/>
      <c r="Q9" s="230"/>
      <c r="R9" s="230"/>
      <c r="S9" s="33" t="str">
        <f>C9</f>
        <v>steel and irons</v>
      </c>
      <c r="T9" s="271"/>
      <c r="U9" s="230"/>
      <c r="V9" s="230"/>
      <c r="W9" s="230"/>
      <c r="X9" s="230"/>
      <c r="AG9">
        <f t="shared" ref="AG9:AG41" si="4">SUM(U9:AF9)</f>
        <v>0</v>
      </c>
    </row>
    <row r="10" spans="3:33" x14ac:dyDescent="0.3">
      <c r="C10" s="271"/>
      <c r="D10" s="343" t="s">
        <v>108</v>
      </c>
      <c r="E10">
        <f t="shared" si="0"/>
        <v>90</v>
      </c>
      <c r="F10">
        <f t="shared" si="1"/>
        <v>7984.2087781731916</v>
      </c>
      <c r="G10">
        <f>HAWT!$G$205</f>
        <v>60000</v>
      </c>
      <c r="K10" s="33">
        <f t="shared" si="2"/>
        <v>68074.208778173197</v>
      </c>
      <c r="M10" s="60">
        <f t="shared" si="3"/>
        <v>90</v>
      </c>
      <c r="N10">
        <f>HAWT!$G$213</f>
        <v>0</v>
      </c>
      <c r="P10">
        <f>HAWT!$G$231</f>
        <v>90</v>
      </c>
      <c r="S10" s="33"/>
      <c r="T10" s="271" t="str">
        <f t="shared" ref="T10:T19" si="5">D10</f>
        <v>low alloy</v>
      </c>
      <c r="X10">
        <f>HAWT!$G$278</f>
        <v>159</v>
      </c>
      <c r="AB10">
        <f>HAWT!$G$301</f>
        <v>5257</v>
      </c>
      <c r="AF10">
        <f>HAWT!$G$318</f>
        <v>2568.2087781731911</v>
      </c>
      <c r="AG10">
        <f t="shared" si="4"/>
        <v>7984.2087781731916</v>
      </c>
    </row>
    <row r="11" spans="3:33" x14ac:dyDescent="0.3">
      <c r="C11" s="271"/>
      <c r="D11" s="343" t="s">
        <v>23</v>
      </c>
      <c r="E11">
        <f t="shared" si="0"/>
        <v>34242.5</v>
      </c>
      <c r="F11">
        <f t="shared" si="1"/>
        <v>85835.57878170209</v>
      </c>
      <c r="K11" s="33">
        <f t="shared" si="2"/>
        <v>120078.07878170209</v>
      </c>
      <c r="M11" s="60">
        <f t="shared" si="3"/>
        <v>34242.5</v>
      </c>
      <c r="O11">
        <f>HAWT!$G$225</f>
        <v>34100</v>
      </c>
      <c r="Q11" s="14">
        <f>HAWT!$G$236</f>
        <v>142.5</v>
      </c>
      <c r="S11" s="33"/>
      <c r="T11" s="271" t="str">
        <f t="shared" si="5"/>
        <v>cast iron</v>
      </c>
      <c r="U11">
        <f>HAWT!$G$251</f>
        <v>310.79823603188089</v>
      </c>
      <c r="V11">
        <f>HAWT!$G$265*2</f>
        <v>48600</v>
      </c>
      <c r="Y11" s="14">
        <f>HAWT!$G$284</f>
        <v>380</v>
      </c>
      <c r="AA11">
        <f>HAWT!$G$295</f>
        <v>35750</v>
      </c>
      <c r="AF11">
        <f>HAWT!$G$319</f>
        <v>794.78054567022537</v>
      </c>
      <c r="AG11">
        <f t="shared" si="4"/>
        <v>85835.57878170209</v>
      </c>
    </row>
    <row r="12" spans="3:33" x14ac:dyDescent="0.3">
      <c r="C12" s="271"/>
      <c r="D12" s="343" t="s">
        <v>24</v>
      </c>
      <c r="E12">
        <f t="shared" si="0"/>
        <v>14272.5</v>
      </c>
      <c r="F12">
        <f t="shared" si="1"/>
        <v>63155.236396002751</v>
      </c>
      <c r="K12" s="33">
        <f t="shared" si="2"/>
        <v>77427.736396002758</v>
      </c>
      <c r="M12" s="60">
        <f t="shared" si="3"/>
        <v>14272.5</v>
      </c>
      <c r="Q12" s="14">
        <f>HAWT!$G$237+HAWT!$G$241</f>
        <v>14272.5</v>
      </c>
      <c r="S12" s="33"/>
      <c r="T12" s="271" t="str">
        <f t="shared" si="5"/>
        <v>chromium</v>
      </c>
      <c r="U12">
        <f>HAWT!$G$247</f>
        <v>9521.2363960027506</v>
      </c>
      <c r="V12">
        <f>HAWT!$G$266*2</f>
        <v>48600</v>
      </c>
      <c r="Y12" s="14">
        <f>HAWT!$G$285+HAWT!$G$289</f>
        <v>5034</v>
      </c>
      <c r="AG12">
        <f t="shared" si="4"/>
        <v>63155.236396002751</v>
      </c>
    </row>
    <row r="13" spans="3:33" x14ac:dyDescent="0.3">
      <c r="C13" s="271"/>
      <c r="D13" s="343" t="s">
        <v>113</v>
      </c>
      <c r="E13">
        <f t="shared" si="0"/>
        <v>0</v>
      </c>
      <c r="F13">
        <f t="shared" si="1"/>
        <v>2776.9922641742246</v>
      </c>
      <c r="I13">
        <f>HAWT!$G$338+HAWT!$G$345</f>
        <v>1879.647426</v>
      </c>
      <c r="K13" s="33">
        <f t="shared" si="2"/>
        <v>4656.6396901742246</v>
      </c>
      <c r="M13" s="60">
        <f t="shared" si="3"/>
        <v>0</v>
      </c>
      <c r="S13" s="33"/>
      <c r="T13" s="271" t="str">
        <f t="shared" si="5"/>
        <v>copper</v>
      </c>
      <c r="U13">
        <f>HAWT!$G$249</f>
        <v>1869.5189545656835</v>
      </c>
      <c r="AF13">
        <f>HAWT!$G$320</f>
        <v>907.47330960854094</v>
      </c>
      <c r="AG13">
        <f t="shared" si="4"/>
        <v>2776.9922641742246</v>
      </c>
    </row>
    <row r="14" spans="3:33" x14ac:dyDescent="0.3">
      <c r="C14" s="271"/>
      <c r="D14" s="343" t="s">
        <v>1667</v>
      </c>
      <c r="E14">
        <f t="shared" si="0"/>
        <v>0</v>
      </c>
      <c r="F14">
        <f t="shared" si="1"/>
        <v>456.70225385527874</v>
      </c>
      <c r="I14">
        <f>HAWT!$G$335+HAWT!$G$342</f>
        <v>16123.147199999998</v>
      </c>
      <c r="K14" s="33">
        <f t="shared" si="2"/>
        <v>16579.849453855277</v>
      </c>
      <c r="M14" s="60">
        <f t="shared" si="3"/>
        <v>0</v>
      </c>
      <c r="S14" s="33"/>
      <c r="T14" s="271" t="str">
        <f t="shared" si="5"/>
        <v>alluminium</v>
      </c>
      <c r="AF14">
        <f>HAWT!$G$321</f>
        <v>456.70225385527874</v>
      </c>
      <c r="AG14">
        <f t="shared" si="4"/>
        <v>456.70225385527874</v>
      </c>
    </row>
    <row r="15" spans="3:33" x14ac:dyDescent="0.3">
      <c r="C15" s="271"/>
      <c r="D15" s="343" t="s">
        <v>351</v>
      </c>
      <c r="E15">
        <f t="shared" si="0"/>
        <v>0</v>
      </c>
      <c r="F15">
        <f t="shared" si="1"/>
        <v>0</v>
      </c>
      <c r="K15" s="33">
        <f t="shared" si="2"/>
        <v>0</v>
      </c>
      <c r="M15" s="60">
        <f t="shared" si="3"/>
        <v>0</v>
      </c>
      <c r="S15" s="33"/>
      <c r="T15" s="271" t="str">
        <f t="shared" si="5"/>
        <v>titanium</v>
      </c>
      <c r="AG15">
        <f t="shared" si="4"/>
        <v>0</v>
      </c>
    </row>
    <row r="16" spans="3:33" x14ac:dyDescent="0.3">
      <c r="C16" s="271"/>
      <c r="D16" s="343" t="s">
        <v>1666</v>
      </c>
      <c r="E16">
        <f t="shared" si="0"/>
        <v>0</v>
      </c>
      <c r="F16">
        <f t="shared" si="1"/>
        <v>27300</v>
      </c>
      <c r="K16" s="33">
        <f t="shared" si="2"/>
        <v>27300</v>
      </c>
      <c r="M16" s="60">
        <f t="shared" si="3"/>
        <v>0</v>
      </c>
      <c r="S16" s="33"/>
      <c r="T16" s="271" t="str">
        <f t="shared" si="5"/>
        <v>high steel</v>
      </c>
      <c r="Z16">
        <f>HAWT!$G$292</f>
        <v>16900</v>
      </c>
      <c r="AE16">
        <f>HAWT!$G$312</f>
        <v>10400</v>
      </c>
      <c r="AG16">
        <f t="shared" si="4"/>
        <v>27300</v>
      </c>
    </row>
    <row r="17" spans="3:33" x14ac:dyDescent="0.3">
      <c r="C17" s="271"/>
      <c r="D17" s="343" t="s">
        <v>1665</v>
      </c>
      <c r="E17">
        <f t="shared" si="0"/>
        <v>0</v>
      </c>
      <c r="F17">
        <f t="shared" si="1"/>
        <v>1786.4142088441154</v>
      </c>
      <c r="G17">
        <f>HAWT!$G$201</f>
        <v>540000</v>
      </c>
      <c r="K17" s="33">
        <f t="shared" si="2"/>
        <v>541786.41420884407</v>
      </c>
      <c r="M17" s="60">
        <f t="shared" si="3"/>
        <v>0</v>
      </c>
      <c r="S17" s="33"/>
      <c r="T17" s="271" t="str">
        <f t="shared" si="5"/>
        <v>reinforcing</v>
      </c>
      <c r="U17">
        <f>HAWT!$G$248</f>
        <v>1786.4142088441154</v>
      </c>
      <c r="AG17">
        <f t="shared" si="4"/>
        <v>1786.4142088441154</v>
      </c>
    </row>
    <row r="18" spans="3:33" x14ac:dyDescent="0.3">
      <c r="C18" s="271"/>
      <c r="D18" s="343" t="s">
        <v>1481</v>
      </c>
      <c r="E18">
        <f t="shared" si="0"/>
        <v>0</v>
      </c>
      <c r="F18">
        <f t="shared" si="1"/>
        <v>37629.653679653682</v>
      </c>
      <c r="K18" s="33">
        <f t="shared" si="2"/>
        <v>37629.653679653682</v>
      </c>
      <c r="M18" s="60">
        <f t="shared" si="3"/>
        <v>0</v>
      </c>
      <c r="S18" s="33"/>
      <c r="T18" s="271" t="str">
        <f t="shared" si="5"/>
        <v>section steel</v>
      </c>
      <c r="U18">
        <f>HAWT!$G$250</f>
        <v>1879.6536796536798</v>
      </c>
      <c r="AA18">
        <f>HAWT!$G$296</f>
        <v>35750</v>
      </c>
      <c r="AG18">
        <f t="shared" si="4"/>
        <v>37629.653679653682</v>
      </c>
    </row>
    <row r="19" spans="3:33" x14ac:dyDescent="0.3">
      <c r="C19" s="271"/>
      <c r="D19" s="343" t="s">
        <v>363</v>
      </c>
      <c r="E19">
        <f t="shared" si="0"/>
        <v>0</v>
      </c>
      <c r="F19">
        <f t="shared" si="1"/>
        <v>0</v>
      </c>
      <c r="H19">
        <f>HAWT!$O$17</f>
        <v>108440.14000000001</v>
      </c>
      <c r="K19" s="33">
        <f t="shared" si="2"/>
        <v>108440.14000000001</v>
      </c>
      <c r="M19" s="60">
        <f t="shared" si="3"/>
        <v>0</v>
      </c>
      <c r="S19" s="33"/>
      <c r="T19" s="271" t="str">
        <f t="shared" si="5"/>
        <v>Rebar</v>
      </c>
      <c r="AG19">
        <f t="shared" si="4"/>
        <v>0</v>
      </c>
    </row>
    <row r="20" spans="3:33" x14ac:dyDescent="0.3">
      <c r="C20" s="346" t="s">
        <v>1664</v>
      </c>
      <c r="D20" s="345"/>
      <c r="E20" s="230">
        <f t="shared" si="0"/>
        <v>0</v>
      </c>
      <c r="F20" s="230">
        <f t="shared" si="1"/>
        <v>0</v>
      </c>
      <c r="G20" s="230"/>
      <c r="H20" s="230"/>
      <c r="I20" s="230"/>
      <c r="J20" s="230"/>
      <c r="K20" s="344">
        <f t="shared" si="2"/>
        <v>0</v>
      </c>
      <c r="L20" s="230"/>
      <c r="M20" s="60">
        <f t="shared" si="3"/>
        <v>0</v>
      </c>
      <c r="N20" s="230"/>
      <c r="O20" s="230"/>
      <c r="P20" s="230"/>
      <c r="Q20" s="230"/>
      <c r="R20" s="230"/>
      <c r="S20" s="33" t="str">
        <f>C20</f>
        <v>Polymers</v>
      </c>
      <c r="T20" s="271"/>
      <c r="U20" s="230"/>
      <c r="V20" s="230"/>
      <c r="W20" s="230"/>
      <c r="AG20">
        <f t="shared" si="4"/>
        <v>0</v>
      </c>
    </row>
    <row r="21" spans="3:33" x14ac:dyDescent="0.3">
      <c r="C21" s="271"/>
      <c r="D21" s="343" t="s">
        <v>6</v>
      </c>
      <c r="E21">
        <f t="shared" si="0"/>
        <v>24150</v>
      </c>
      <c r="F21">
        <f t="shared" si="1"/>
        <v>0</v>
      </c>
      <c r="K21" s="33">
        <f t="shared" si="2"/>
        <v>24150</v>
      </c>
      <c r="M21" s="60">
        <f t="shared" si="3"/>
        <v>24150</v>
      </c>
      <c r="N21">
        <f>HAWT!$G$216</f>
        <v>24150</v>
      </c>
      <c r="S21" s="33"/>
      <c r="T21" s="271" t="str">
        <f>D21</f>
        <v>CFRP</v>
      </c>
      <c r="AG21">
        <f t="shared" si="4"/>
        <v>0</v>
      </c>
    </row>
    <row r="22" spans="3:33" x14ac:dyDescent="0.3">
      <c r="C22" s="271"/>
      <c r="D22" s="343" t="s">
        <v>123</v>
      </c>
      <c r="E22">
        <f t="shared" si="0"/>
        <v>25860</v>
      </c>
      <c r="F22">
        <f t="shared" si="1"/>
        <v>3285.1785006270989</v>
      </c>
      <c r="K22" s="33">
        <f t="shared" si="2"/>
        <v>29145.178500627098</v>
      </c>
      <c r="M22" s="60">
        <f t="shared" si="3"/>
        <v>25860</v>
      </c>
      <c r="N22">
        <f>HAWT!$G$210</f>
        <v>24150</v>
      </c>
      <c r="P22">
        <f>HAWT!$G$228</f>
        <v>1710</v>
      </c>
      <c r="S22" s="33"/>
      <c r="T22" s="271" t="str">
        <f>D22</f>
        <v>GFRP</v>
      </c>
      <c r="U22">
        <f>HAWT!$G$252+HAWT!$G$253</f>
        <v>264.17850062709874</v>
      </c>
      <c r="X22" s="14">
        <f>HAWT!$G$275</f>
        <v>3021</v>
      </c>
      <c r="AG22">
        <f t="shared" si="4"/>
        <v>3285.1785006270989</v>
      </c>
    </row>
    <row r="23" spans="3:33" x14ac:dyDescent="0.3">
      <c r="C23" s="271"/>
      <c r="D23" s="343" t="s">
        <v>372</v>
      </c>
      <c r="E23">
        <f t="shared" si="0"/>
        <v>0</v>
      </c>
      <c r="F23">
        <f t="shared" si="1"/>
        <v>0</v>
      </c>
      <c r="I23">
        <f>HAWT!$G$336+HAWT!$G$343</f>
        <v>10221.810490997879</v>
      </c>
      <c r="K23" s="33">
        <f t="shared" si="2"/>
        <v>10221.810490997879</v>
      </c>
      <c r="M23" s="60">
        <f t="shared" si="3"/>
        <v>0</v>
      </c>
      <c r="S23" s="33"/>
      <c r="T23" s="271" t="str">
        <f>D23</f>
        <v>PE</v>
      </c>
      <c r="AG23">
        <f t="shared" si="4"/>
        <v>0</v>
      </c>
    </row>
    <row r="24" spans="3:33" x14ac:dyDescent="0.3">
      <c r="C24" s="271"/>
      <c r="D24" s="343" t="s">
        <v>129</v>
      </c>
      <c r="E24">
        <f t="shared" si="0"/>
        <v>0</v>
      </c>
      <c r="F24">
        <f t="shared" si="1"/>
        <v>94.899169632265725</v>
      </c>
      <c r="I24">
        <f>HAWT!$G$337+HAWT!$G$344</f>
        <v>15460.660183002128</v>
      </c>
      <c r="K24" s="33">
        <f t="shared" si="2"/>
        <v>15555.559352634395</v>
      </c>
      <c r="M24" s="60">
        <f t="shared" si="3"/>
        <v>0</v>
      </c>
      <c r="S24" s="33"/>
      <c r="T24" s="271" t="str">
        <f>D24</f>
        <v>PVC</v>
      </c>
      <c r="AF24" s="27">
        <f>HAWT!$G$322</f>
        <v>94.899169632265725</v>
      </c>
      <c r="AG24">
        <f t="shared" si="4"/>
        <v>94.899169632265725</v>
      </c>
    </row>
    <row r="25" spans="3:33" x14ac:dyDescent="0.3">
      <c r="C25" s="271"/>
      <c r="D25" s="343" t="s">
        <v>1080</v>
      </c>
      <c r="E25">
        <f t="shared" si="0"/>
        <v>0</v>
      </c>
      <c r="F25">
        <f t="shared" si="1"/>
        <v>0</v>
      </c>
      <c r="K25" s="33">
        <f t="shared" si="2"/>
        <v>0</v>
      </c>
      <c r="M25" s="60">
        <f t="shared" si="3"/>
        <v>0</v>
      </c>
      <c r="S25" s="33"/>
      <c r="T25" s="271" t="str">
        <f>D25</f>
        <v>TFE</v>
      </c>
      <c r="AG25">
        <f t="shared" si="4"/>
        <v>0</v>
      </c>
    </row>
    <row r="26" spans="3:33" x14ac:dyDescent="0.3">
      <c r="C26" s="346" t="s">
        <v>1173</v>
      </c>
      <c r="D26" s="345"/>
      <c r="E26" s="230">
        <f t="shared" si="0"/>
        <v>0</v>
      </c>
      <c r="F26" s="230">
        <f t="shared" si="1"/>
        <v>0</v>
      </c>
      <c r="G26" s="230"/>
      <c r="H26" s="230"/>
      <c r="I26" s="230"/>
      <c r="J26" s="230"/>
      <c r="K26" s="344">
        <f t="shared" si="2"/>
        <v>0</v>
      </c>
      <c r="L26" s="230"/>
      <c r="M26" s="60">
        <f t="shared" si="3"/>
        <v>0</v>
      </c>
      <c r="N26" s="230"/>
      <c r="O26" s="230"/>
      <c r="P26" s="230"/>
      <c r="Q26" s="230"/>
      <c r="R26" s="230"/>
      <c r="S26" s="33" t="str">
        <f>C26</f>
        <v>Other</v>
      </c>
      <c r="T26" s="271"/>
      <c r="U26" s="230"/>
      <c r="V26" s="230"/>
      <c r="W26" s="230"/>
      <c r="AG26">
        <f t="shared" si="4"/>
        <v>0</v>
      </c>
    </row>
    <row r="27" spans="3:33" x14ac:dyDescent="0.3">
      <c r="C27" s="271"/>
      <c r="D27" s="343" t="s">
        <v>138</v>
      </c>
      <c r="E27">
        <f t="shared" si="0"/>
        <v>0</v>
      </c>
      <c r="F27">
        <f t="shared" si="1"/>
        <v>182.21296678399483</v>
      </c>
      <c r="K27" s="33">
        <f t="shared" si="2"/>
        <v>182.21296678399483</v>
      </c>
      <c r="M27" s="60">
        <f t="shared" si="3"/>
        <v>0</v>
      </c>
      <c r="Q27" s="12"/>
      <c r="S27" s="33"/>
      <c r="T27" s="271" t="str">
        <f>D27</f>
        <v>paint</v>
      </c>
      <c r="U27">
        <f>HAWT!$G$254</f>
        <v>13.51296678399482</v>
      </c>
      <c r="V27">
        <f>HAWT!$G$269*2</f>
        <v>97.2</v>
      </c>
      <c r="W27" s="12"/>
      <c r="X27" s="12"/>
      <c r="Y27" s="12"/>
      <c r="Z27" s="12"/>
      <c r="AA27">
        <f>HAWT!$G$299</f>
        <v>71.5</v>
      </c>
      <c r="AF27" s="12"/>
      <c r="AG27">
        <f t="shared" si="4"/>
        <v>182.21296678399483</v>
      </c>
    </row>
    <row r="28" spans="3:33" x14ac:dyDescent="0.3">
      <c r="C28" s="271"/>
      <c r="D28" s="343"/>
      <c r="E28">
        <f t="shared" si="0"/>
        <v>0</v>
      </c>
      <c r="F28">
        <f t="shared" si="1"/>
        <v>0</v>
      </c>
      <c r="K28" s="33">
        <f t="shared" si="2"/>
        <v>0</v>
      </c>
      <c r="M28" s="60">
        <f t="shared" si="3"/>
        <v>0</v>
      </c>
      <c r="S28" s="33"/>
      <c r="T28" s="271"/>
      <c r="AG28">
        <f t="shared" si="4"/>
        <v>0</v>
      </c>
    </row>
    <row r="29" spans="3:33" x14ac:dyDescent="0.3">
      <c r="C29" s="271"/>
      <c r="D29" s="343" t="s">
        <v>133</v>
      </c>
      <c r="E29">
        <f t="shared" si="0"/>
        <v>0</v>
      </c>
      <c r="F29">
        <f t="shared" si="1"/>
        <v>500</v>
      </c>
      <c r="K29" s="33">
        <f t="shared" si="2"/>
        <v>500</v>
      </c>
      <c r="M29" s="60">
        <f t="shared" si="3"/>
        <v>0</v>
      </c>
      <c r="S29" s="33"/>
      <c r="T29" s="271" t="str">
        <f t="shared" ref="T29:T39" si="6">D29</f>
        <v>Electronics</v>
      </c>
      <c r="AD29">
        <f>HAWT!$G$309</f>
        <v>500</v>
      </c>
      <c r="AG29">
        <f t="shared" si="4"/>
        <v>500</v>
      </c>
    </row>
    <row r="30" spans="3:33" x14ac:dyDescent="0.3">
      <c r="C30" s="271"/>
      <c r="D30" s="343" t="s">
        <v>115</v>
      </c>
      <c r="E30">
        <f t="shared" si="0"/>
        <v>0</v>
      </c>
      <c r="F30">
        <f t="shared" si="1"/>
        <v>0</v>
      </c>
      <c r="K30" s="33">
        <f t="shared" si="2"/>
        <v>0</v>
      </c>
      <c r="M30" s="60">
        <f t="shared" si="3"/>
        <v>0</v>
      </c>
      <c r="S30" s="33"/>
      <c r="T30" s="271" t="str">
        <f t="shared" si="6"/>
        <v>PCA</v>
      </c>
      <c r="AG30">
        <f t="shared" si="4"/>
        <v>0</v>
      </c>
    </row>
    <row r="31" spans="3:33" x14ac:dyDescent="0.3">
      <c r="C31" s="271"/>
      <c r="D31" s="343" t="s">
        <v>73</v>
      </c>
      <c r="E31">
        <f t="shared" si="0"/>
        <v>0</v>
      </c>
      <c r="F31">
        <f t="shared" si="1"/>
        <v>0</v>
      </c>
      <c r="H31">
        <f>HAWT!$O$16</f>
        <v>1607384.8599999999</v>
      </c>
      <c r="K31" s="33">
        <f t="shared" si="2"/>
        <v>1607384.8599999999</v>
      </c>
      <c r="M31" s="60">
        <f t="shared" si="3"/>
        <v>0</v>
      </c>
      <c r="S31" s="33"/>
      <c r="T31" s="271" t="str">
        <f t="shared" si="6"/>
        <v>Concrete</v>
      </c>
      <c r="AG31">
        <f t="shared" si="4"/>
        <v>0</v>
      </c>
    </row>
    <row r="32" spans="3:33" x14ac:dyDescent="0.3">
      <c r="C32" s="271"/>
      <c r="D32" s="343" t="s">
        <v>132</v>
      </c>
      <c r="E32">
        <f t="shared" si="0"/>
        <v>285</v>
      </c>
      <c r="F32">
        <f t="shared" si="1"/>
        <v>760</v>
      </c>
      <c r="K32" s="33">
        <f t="shared" si="2"/>
        <v>1045</v>
      </c>
      <c r="M32" s="60">
        <f t="shared" si="3"/>
        <v>285</v>
      </c>
      <c r="P32" s="14"/>
      <c r="Q32" s="14">
        <f>HAWT!$G$235</f>
        <v>285</v>
      </c>
      <c r="S32" s="33"/>
      <c r="T32" s="271" t="str">
        <f t="shared" si="6"/>
        <v>Motor</v>
      </c>
      <c r="Y32">
        <f>HAWT!$G$283</f>
        <v>760</v>
      </c>
      <c r="AG32">
        <f t="shared" si="4"/>
        <v>760</v>
      </c>
    </row>
    <row r="33" spans="3:33" x14ac:dyDescent="0.3">
      <c r="C33" s="271"/>
      <c r="D33" s="343" t="s">
        <v>950</v>
      </c>
      <c r="E33">
        <f t="shared" si="0"/>
        <v>0</v>
      </c>
      <c r="F33">
        <f t="shared" si="1"/>
        <v>0</v>
      </c>
      <c r="K33" s="33">
        <f t="shared" si="2"/>
        <v>0</v>
      </c>
      <c r="M33" s="60">
        <f t="shared" si="3"/>
        <v>0</v>
      </c>
      <c r="S33" s="33"/>
      <c r="T33" s="271" t="str">
        <f t="shared" si="6"/>
        <v>battery</v>
      </c>
      <c r="AG33">
        <f t="shared" si="4"/>
        <v>0</v>
      </c>
    </row>
    <row r="34" spans="3:33" x14ac:dyDescent="0.3">
      <c r="C34" s="271"/>
      <c r="D34" s="343" t="s">
        <v>68</v>
      </c>
      <c r="E34">
        <f t="shared" si="0"/>
        <v>0</v>
      </c>
      <c r="F34">
        <f t="shared" si="1"/>
        <v>0</v>
      </c>
      <c r="K34" s="33">
        <f t="shared" si="2"/>
        <v>0</v>
      </c>
      <c r="M34" s="60">
        <f t="shared" si="3"/>
        <v>0</v>
      </c>
      <c r="S34" s="33"/>
      <c r="T34" s="271" t="str">
        <f t="shared" si="6"/>
        <v>cable</v>
      </c>
      <c r="AG34">
        <f t="shared" si="4"/>
        <v>0</v>
      </c>
    </row>
    <row r="35" spans="3:33" x14ac:dyDescent="0.3">
      <c r="C35" s="271"/>
      <c r="D35" s="343" t="s">
        <v>130</v>
      </c>
      <c r="E35">
        <f t="shared" si="0"/>
        <v>0</v>
      </c>
      <c r="F35">
        <f t="shared" si="1"/>
        <v>0</v>
      </c>
      <c r="K35" s="33">
        <f t="shared" si="2"/>
        <v>0</v>
      </c>
      <c r="M35" s="60">
        <f t="shared" si="3"/>
        <v>0</v>
      </c>
      <c r="S35" s="33"/>
      <c r="T35" s="271" t="str">
        <f t="shared" si="6"/>
        <v>Tire</v>
      </c>
      <c r="AG35">
        <f t="shared" si="4"/>
        <v>0</v>
      </c>
    </row>
    <row r="36" spans="3:33" x14ac:dyDescent="0.3">
      <c r="C36" s="271"/>
      <c r="D36" s="343" t="s">
        <v>26</v>
      </c>
      <c r="E36">
        <f t="shared" si="0"/>
        <v>0</v>
      </c>
      <c r="F36">
        <f t="shared" si="1"/>
        <v>16877.125</v>
      </c>
      <c r="K36" s="33">
        <f t="shared" si="2"/>
        <v>16877.125</v>
      </c>
      <c r="M36" s="60">
        <f t="shared" si="3"/>
        <v>0</v>
      </c>
      <c r="S36" s="33"/>
      <c r="T36" s="271" t="str">
        <f t="shared" si="6"/>
        <v>transformer</v>
      </c>
      <c r="W36">
        <f>HAWT!$G$271</f>
        <v>16877.125</v>
      </c>
      <c r="AG36">
        <f t="shared" si="4"/>
        <v>16877.125</v>
      </c>
    </row>
    <row r="37" spans="3:33" x14ac:dyDescent="0.3">
      <c r="C37" s="271"/>
      <c r="D37" s="343" t="s">
        <v>45</v>
      </c>
      <c r="E37">
        <f t="shared" si="0"/>
        <v>0</v>
      </c>
      <c r="F37">
        <f t="shared" si="1"/>
        <v>0</v>
      </c>
      <c r="K37" s="33">
        <f t="shared" si="2"/>
        <v>0</v>
      </c>
      <c r="M37" s="60">
        <f t="shared" si="3"/>
        <v>0</v>
      </c>
      <c r="S37" s="33"/>
      <c r="T37" s="271" t="str">
        <f t="shared" si="6"/>
        <v>lubricant</v>
      </c>
      <c r="AG37">
        <f t="shared" si="4"/>
        <v>0</v>
      </c>
    </row>
    <row r="38" spans="3:33" x14ac:dyDescent="0.3">
      <c r="C38" s="271"/>
      <c r="D38" s="343" t="s">
        <v>1663</v>
      </c>
      <c r="E38">
        <f t="shared" si="0"/>
        <v>0</v>
      </c>
      <c r="F38">
        <f t="shared" si="1"/>
        <v>0</v>
      </c>
      <c r="K38" s="33">
        <f t="shared" si="2"/>
        <v>0</v>
      </c>
      <c r="M38" s="60">
        <f t="shared" si="3"/>
        <v>0</v>
      </c>
      <c r="S38" s="33"/>
      <c r="T38" s="271" t="str">
        <f t="shared" si="6"/>
        <v>n2</v>
      </c>
      <c r="AG38">
        <f t="shared" si="4"/>
        <v>0</v>
      </c>
    </row>
    <row r="39" spans="3:33" x14ac:dyDescent="0.3">
      <c r="C39" s="271"/>
      <c r="D39" s="343" t="s">
        <v>1258</v>
      </c>
      <c r="E39">
        <f t="shared" si="0"/>
        <v>0</v>
      </c>
      <c r="F39">
        <f t="shared" si="1"/>
        <v>0</v>
      </c>
      <c r="K39" s="33">
        <f t="shared" si="2"/>
        <v>0</v>
      </c>
      <c r="M39" s="60">
        <f t="shared" si="3"/>
        <v>0</v>
      </c>
      <c r="S39" s="33"/>
      <c r="T39" s="271" t="str">
        <f t="shared" si="6"/>
        <v>rubber</v>
      </c>
      <c r="AG39">
        <f t="shared" si="4"/>
        <v>0</v>
      </c>
    </row>
    <row r="40" spans="3:33" x14ac:dyDescent="0.3">
      <c r="C40" s="271" t="s">
        <v>1662</v>
      </c>
      <c r="D40" s="343"/>
      <c r="E40">
        <f t="shared" si="0"/>
        <v>0</v>
      </c>
      <c r="F40">
        <f t="shared" si="1"/>
        <v>0</v>
      </c>
      <c r="K40" s="33">
        <f t="shared" si="2"/>
        <v>0</v>
      </c>
      <c r="M40" s="60">
        <f t="shared" si="3"/>
        <v>0</v>
      </c>
      <c r="S40" s="33" t="str">
        <f>C40</f>
        <v>Undefined</v>
      </c>
      <c r="T40" s="271"/>
      <c r="AG40">
        <f t="shared" si="4"/>
        <v>0</v>
      </c>
    </row>
    <row r="41" spans="3:33" x14ac:dyDescent="0.3">
      <c r="C41" s="271"/>
      <c r="D41" s="343"/>
      <c r="E41">
        <f t="shared" si="0"/>
        <v>0</v>
      </c>
      <c r="F41">
        <f t="shared" si="1"/>
        <v>0</v>
      </c>
      <c r="K41" s="33">
        <f t="shared" si="2"/>
        <v>0</v>
      </c>
      <c r="M41" s="60">
        <f t="shared" si="3"/>
        <v>0</v>
      </c>
      <c r="S41" s="33">
        <f>C41</f>
        <v>0</v>
      </c>
      <c r="T41" s="271">
        <f>D41</f>
        <v>0</v>
      </c>
      <c r="AG41">
        <f t="shared" si="4"/>
        <v>0</v>
      </c>
    </row>
    <row r="42" spans="3:33" x14ac:dyDescent="0.3">
      <c r="C42" s="33" t="s">
        <v>191</v>
      </c>
      <c r="D42" s="33"/>
      <c r="E42" s="33">
        <f t="shared" ref="E42:J42" si="7">SUM(E9:E41)</f>
        <v>98900</v>
      </c>
      <c r="F42" s="33">
        <f t="shared" si="7"/>
        <v>248624.20199944871</v>
      </c>
      <c r="G42" s="33">
        <f t="shared" si="7"/>
        <v>600000</v>
      </c>
      <c r="H42" s="33">
        <f t="shared" si="7"/>
        <v>1715825</v>
      </c>
      <c r="I42" s="33">
        <f t="shared" si="7"/>
        <v>43685.265300000006</v>
      </c>
      <c r="J42" s="33">
        <f t="shared" si="7"/>
        <v>0</v>
      </c>
      <c r="K42" s="33">
        <f t="shared" si="2"/>
        <v>2707034.4672994488</v>
      </c>
      <c r="M42" s="60">
        <f>SUM(M9:M41)</f>
        <v>98900</v>
      </c>
      <c r="N42" s="273">
        <f t="shared" ref="N42:AG42" si="8">SUM(N9:N41)</f>
        <v>48300</v>
      </c>
      <c r="O42" s="273">
        <f t="shared" si="8"/>
        <v>34100</v>
      </c>
      <c r="P42" s="273">
        <f t="shared" si="8"/>
        <v>1800</v>
      </c>
      <c r="Q42" s="273">
        <f t="shared" si="8"/>
        <v>14700</v>
      </c>
      <c r="R42" s="273">
        <f t="shared" si="8"/>
        <v>0</v>
      </c>
      <c r="S42" s="273">
        <f t="shared" si="8"/>
        <v>0</v>
      </c>
      <c r="T42" s="273">
        <f t="shared" si="8"/>
        <v>0</v>
      </c>
      <c r="U42" s="273">
        <f t="shared" si="8"/>
        <v>15645.312942509203</v>
      </c>
      <c r="V42" s="273">
        <f t="shared" si="8"/>
        <v>97297.2</v>
      </c>
      <c r="W42" s="273">
        <f t="shared" si="8"/>
        <v>16877.125</v>
      </c>
      <c r="X42" s="273">
        <f t="shared" si="8"/>
        <v>3180</v>
      </c>
      <c r="Y42" s="273">
        <f t="shared" si="8"/>
        <v>6174</v>
      </c>
      <c r="Z42" s="273">
        <f t="shared" si="8"/>
        <v>16900</v>
      </c>
      <c r="AA42" s="273">
        <f t="shared" si="8"/>
        <v>71571.5</v>
      </c>
      <c r="AB42" s="273">
        <f t="shared" si="8"/>
        <v>5257</v>
      </c>
      <c r="AC42" s="273">
        <f t="shared" si="8"/>
        <v>0</v>
      </c>
      <c r="AD42" s="273">
        <f t="shared" si="8"/>
        <v>500</v>
      </c>
      <c r="AE42" s="273">
        <f t="shared" si="8"/>
        <v>10400</v>
      </c>
      <c r="AF42" s="273">
        <f t="shared" si="8"/>
        <v>4822.0640569395009</v>
      </c>
      <c r="AG42" s="273">
        <f t="shared" si="8"/>
        <v>248624.20199944871</v>
      </c>
    </row>
    <row r="43" spans="3:33" x14ac:dyDescent="0.3">
      <c r="C43" s="42"/>
      <c r="M43"/>
      <c r="T43"/>
      <c r="AG43">
        <f>SUM(U43:AF43)</f>
        <v>0</v>
      </c>
    </row>
    <row r="44" spans="3:33" x14ac:dyDescent="0.3">
      <c r="C44" s="42"/>
      <c r="M44"/>
      <c r="T44"/>
      <c r="AG44">
        <f>SUM(U44:AF44)</f>
        <v>0</v>
      </c>
    </row>
    <row r="45" spans="3:33" x14ac:dyDescent="0.3">
      <c r="M45"/>
      <c r="T45"/>
      <c r="AG45">
        <f>SUM(U45:AF45)</f>
        <v>0</v>
      </c>
    </row>
    <row r="46" spans="3:33" x14ac:dyDescent="0.3">
      <c r="M46"/>
      <c r="T46"/>
    </row>
    <row r="47" spans="3:33" x14ac:dyDescent="0.3">
      <c r="M47"/>
      <c r="T47"/>
    </row>
    <row r="48" spans="3:33" x14ac:dyDescent="0.3">
      <c r="I48" t="s">
        <v>50</v>
      </c>
      <c r="M48">
        <f>H19</f>
        <v>108440.14000000001</v>
      </c>
      <c r="T48"/>
    </row>
    <row r="49" spans="4:38" x14ac:dyDescent="0.3">
      <c r="J49" t="s">
        <v>363</v>
      </c>
      <c r="L49">
        <f>M48</f>
        <v>108440.14000000001</v>
      </c>
      <c r="M49">
        <f>H31</f>
        <v>1607384.8599999999</v>
      </c>
      <c r="O49">
        <f>M49+M48</f>
        <v>1715825</v>
      </c>
      <c r="T49"/>
    </row>
    <row r="50" spans="4:38" x14ac:dyDescent="0.3">
      <c r="J50" t="s">
        <v>73</v>
      </c>
      <c r="L50">
        <v>0</v>
      </c>
      <c r="M50"/>
      <c r="T50"/>
    </row>
    <row r="51" spans="4:38" x14ac:dyDescent="0.3">
      <c r="I51" t="s">
        <v>139</v>
      </c>
      <c r="M51"/>
      <c r="T51"/>
    </row>
    <row r="52" spans="4:38" x14ac:dyDescent="0.3">
      <c r="J52" t="s">
        <v>1624</v>
      </c>
      <c r="L52">
        <f>E54</f>
        <v>5253.7653</v>
      </c>
      <c r="M52"/>
      <c r="T52"/>
    </row>
    <row r="53" spans="4:38" x14ac:dyDescent="0.3">
      <c r="J53" t="s">
        <v>2037</v>
      </c>
      <c r="L53">
        <f>E55</f>
        <v>38431.5</v>
      </c>
      <c r="M53"/>
      <c r="T53"/>
    </row>
    <row r="54" spans="4:38" x14ac:dyDescent="0.3">
      <c r="D54" t="s">
        <v>140</v>
      </c>
      <c r="E54">
        <f>HAWT!R58</f>
        <v>5253.7653</v>
      </c>
      <c r="I54" t="s">
        <v>1040</v>
      </c>
      <c r="L54">
        <f>M54</f>
        <v>600000</v>
      </c>
      <c r="M54">
        <f>G42</f>
        <v>600000</v>
      </c>
      <c r="T54"/>
    </row>
    <row r="55" spans="4:38" x14ac:dyDescent="0.3">
      <c r="D55" t="s">
        <v>745</v>
      </c>
      <c r="E55">
        <f>HAWT!S58</f>
        <v>38431.5</v>
      </c>
      <c r="I55" t="s">
        <v>1618</v>
      </c>
      <c r="M55"/>
      <c r="T55"/>
    </row>
    <row r="56" spans="4:38" x14ac:dyDescent="0.3">
      <c r="E56">
        <f>E55+E54</f>
        <v>43685.265299999999</v>
      </c>
      <c r="J56" t="s">
        <v>1044</v>
      </c>
      <c r="L56">
        <f>N42</f>
        <v>48300</v>
      </c>
      <c r="M56"/>
      <c r="T56"/>
    </row>
    <row r="57" spans="4:38" x14ac:dyDescent="0.3">
      <c r="J57" t="s">
        <v>1161</v>
      </c>
      <c r="L57">
        <f>O42</f>
        <v>34100</v>
      </c>
      <c r="M57"/>
      <c r="S57" s="374" t="s">
        <v>2123</v>
      </c>
      <c r="T57" s="374"/>
      <c r="U57" s="374"/>
      <c r="V57" s="374"/>
    </row>
    <row r="58" spans="4:38" x14ac:dyDescent="0.3">
      <c r="J58" t="s">
        <v>1162</v>
      </c>
      <c r="L58">
        <f>P42</f>
        <v>1800</v>
      </c>
      <c r="M58"/>
      <c r="T58"/>
    </row>
    <row r="59" spans="4:38" x14ac:dyDescent="0.3">
      <c r="J59" t="s">
        <v>1160</v>
      </c>
      <c r="L59">
        <f>Q42</f>
        <v>14700</v>
      </c>
      <c r="M59"/>
      <c r="R59" t="str">
        <f>J49</f>
        <v>Rebar</v>
      </c>
      <c r="S59" s="368" t="str">
        <f>J50</f>
        <v>Concrete</v>
      </c>
      <c r="T59" t="str">
        <f>J52</f>
        <v>Inter array</v>
      </c>
      <c r="U59" t="str">
        <f>J53</f>
        <v>Transmission</v>
      </c>
      <c r="V59" s="368" t="str">
        <f>I54</f>
        <v>Tower</v>
      </c>
      <c r="W59" t="str">
        <f>J56</f>
        <v>Blades</v>
      </c>
      <c r="X59" t="str">
        <f>J57</f>
        <v>Hub</v>
      </c>
      <c r="Y59" t="str">
        <f>J58</f>
        <v>Spinner</v>
      </c>
      <c r="Z59" t="str">
        <f>J59</f>
        <v>Pitch</v>
      </c>
      <c r="AA59" t="str">
        <f>J61</f>
        <v>Geanerator</v>
      </c>
      <c r="AB59" t="str">
        <f>J62</f>
        <v>Gearbox</v>
      </c>
      <c r="AC59" t="str">
        <f>J63</f>
        <v>Transformer</v>
      </c>
      <c r="AD59" t="str">
        <f>J64</f>
        <v>cover</v>
      </c>
      <c r="AE59" t="str">
        <f>J65</f>
        <v>Yaw</v>
      </c>
      <c r="AF59" t="str">
        <f>J66</f>
        <v>Shaft</v>
      </c>
      <c r="AG59" t="str">
        <f>J67</f>
        <v>Bedplate</v>
      </c>
      <c r="AH59" t="str">
        <f>J68</f>
        <v>Brake</v>
      </c>
      <c r="AI59" t="str">
        <f>J69</f>
        <v>HVAC</v>
      </c>
      <c r="AJ59" t="str">
        <f>J70</f>
        <v>Electronics</v>
      </c>
      <c r="AK59" t="str">
        <f>J71</f>
        <v>bearigs</v>
      </c>
      <c r="AL59" t="str">
        <f>J72</f>
        <v>Converter</v>
      </c>
    </row>
    <row r="60" spans="4:38" x14ac:dyDescent="0.3">
      <c r="I60" t="s">
        <v>1053</v>
      </c>
      <c r="M60"/>
      <c r="Q60" t="s">
        <v>1618</v>
      </c>
      <c r="S60" s="368"/>
      <c r="T60"/>
      <c r="V60" s="368"/>
      <c r="W60">
        <f>L56</f>
        <v>48300</v>
      </c>
      <c r="X60">
        <f>L57</f>
        <v>34100</v>
      </c>
      <c r="Y60">
        <f>L58</f>
        <v>1800</v>
      </c>
      <c r="Z60">
        <f>L59</f>
        <v>14700</v>
      </c>
    </row>
    <row r="61" spans="4:38" x14ac:dyDescent="0.3">
      <c r="J61" t="s">
        <v>1671</v>
      </c>
      <c r="L61" s="23">
        <f>U42</f>
        <v>15645.312942509203</v>
      </c>
      <c r="M61"/>
      <c r="Q61" t="s">
        <v>1053</v>
      </c>
      <c r="S61" s="368"/>
      <c r="T61"/>
      <c r="V61" s="368"/>
      <c r="AA61">
        <f>U42</f>
        <v>15645.312942509203</v>
      </c>
      <c r="AB61">
        <f t="shared" ref="AB61:AL61" si="9">V42</f>
        <v>97297.2</v>
      </c>
      <c r="AC61">
        <f t="shared" si="9"/>
        <v>16877.125</v>
      </c>
      <c r="AD61">
        <f t="shared" si="9"/>
        <v>3180</v>
      </c>
      <c r="AE61">
        <f t="shared" si="9"/>
        <v>6174</v>
      </c>
      <c r="AF61">
        <f t="shared" si="9"/>
        <v>16900</v>
      </c>
      <c r="AG61">
        <f t="shared" si="9"/>
        <v>71571.5</v>
      </c>
      <c r="AH61">
        <f t="shared" si="9"/>
        <v>5257</v>
      </c>
      <c r="AI61">
        <f t="shared" si="9"/>
        <v>0</v>
      </c>
      <c r="AJ61">
        <f t="shared" si="9"/>
        <v>500</v>
      </c>
      <c r="AK61">
        <f t="shared" si="9"/>
        <v>10400</v>
      </c>
      <c r="AL61">
        <f t="shared" si="9"/>
        <v>4822.0640569395009</v>
      </c>
    </row>
    <row r="62" spans="4:38" x14ac:dyDescent="0.3">
      <c r="J62" t="s">
        <v>252</v>
      </c>
      <c r="L62" s="23">
        <f>V42</f>
        <v>97297.2</v>
      </c>
      <c r="M62"/>
      <c r="Q62" t="s">
        <v>1040</v>
      </c>
      <c r="S62" s="368"/>
      <c r="T62"/>
      <c r="V62" s="368">
        <v>300000</v>
      </c>
    </row>
    <row r="63" spans="4:38" x14ac:dyDescent="0.3">
      <c r="J63" t="s">
        <v>330</v>
      </c>
      <c r="L63" s="23">
        <f>W42</f>
        <v>16877.125</v>
      </c>
      <c r="M63"/>
      <c r="Q63" t="s">
        <v>50</v>
      </c>
      <c r="R63">
        <f>L49</f>
        <v>108440.14000000001</v>
      </c>
      <c r="S63" s="368">
        <v>225000</v>
      </c>
      <c r="T63"/>
      <c r="V63" s="368"/>
    </row>
    <row r="64" spans="4:38" x14ac:dyDescent="0.3">
      <c r="J64" t="s">
        <v>1051</v>
      </c>
      <c r="L64" s="23">
        <f>X42</f>
        <v>3180</v>
      </c>
      <c r="M64"/>
      <c r="Q64" t="s">
        <v>139</v>
      </c>
      <c r="S64" s="368"/>
      <c r="T64">
        <f>L52</f>
        <v>5253.7653</v>
      </c>
      <c r="U64">
        <f>L53</f>
        <v>38431.5</v>
      </c>
      <c r="V64" s="368"/>
    </row>
    <row r="65" spans="10:38" x14ac:dyDescent="0.3">
      <c r="J65" t="s">
        <v>253</v>
      </c>
      <c r="L65" s="23">
        <f>Y42</f>
        <v>6174</v>
      </c>
      <c r="M65"/>
      <c r="S65" s="368"/>
      <c r="T65"/>
      <c r="V65" s="368"/>
    </row>
    <row r="66" spans="10:38" x14ac:dyDescent="0.3">
      <c r="J66" t="s">
        <v>1164</v>
      </c>
      <c r="L66" s="23">
        <f>Z42</f>
        <v>16900</v>
      </c>
      <c r="M66"/>
      <c r="S66" s="368"/>
      <c r="T66"/>
      <c r="V66" s="368"/>
    </row>
    <row r="67" spans="10:38" x14ac:dyDescent="0.3">
      <c r="J67" t="s">
        <v>1165</v>
      </c>
      <c r="L67" s="23">
        <f>AA42</f>
        <v>71571.5</v>
      </c>
      <c r="M67"/>
      <c r="S67" s="368"/>
      <c r="T67"/>
      <c r="V67" s="368"/>
    </row>
    <row r="68" spans="10:38" x14ac:dyDescent="0.3">
      <c r="J68" t="s">
        <v>1063</v>
      </c>
      <c r="L68" s="23">
        <f>AB42</f>
        <v>5257</v>
      </c>
      <c r="M68"/>
      <c r="S68" s="368"/>
      <c r="T68"/>
      <c r="V68" s="368"/>
    </row>
    <row r="69" spans="10:38" x14ac:dyDescent="0.3">
      <c r="J69" t="s">
        <v>1060</v>
      </c>
      <c r="L69" s="23">
        <f>AC42</f>
        <v>0</v>
      </c>
      <c r="M69"/>
      <c r="Q69">
        <f>Q59</f>
        <v>0</v>
      </c>
      <c r="R69" t="str">
        <f t="shared" ref="R69:AL69" si="10">R59</f>
        <v>Rebar</v>
      </c>
      <c r="S69" s="368" t="str">
        <f t="shared" si="10"/>
        <v>Concrete</v>
      </c>
      <c r="T69" t="str">
        <f t="shared" si="10"/>
        <v>Inter array</v>
      </c>
      <c r="U69" t="str">
        <f t="shared" si="10"/>
        <v>Transmission</v>
      </c>
      <c r="V69" s="368" t="str">
        <f t="shared" si="10"/>
        <v>Tower</v>
      </c>
      <c r="W69" t="str">
        <f t="shared" si="10"/>
        <v>Blades</v>
      </c>
      <c r="X69" t="str">
        <f t="shared" si="10"/>
        <v>Hub</v>
      </c>
      <c r="Y69" t="str">
        <f t="shared" si="10"/>
        <v>Spinner</v>
      </c>
      <c r="Z69" t="str">
        <f t="shared" si="10"/>
        <v>Pitch</v>
      </c>
      <c r="AA69" t="str">
        <f t="shared" si="10"/>
        <v>Geanerator</v>
      </c>
      <c r="AB69" t="str">
        <f t="shared" si="10"/>
        <v>Gearbox</v>
      </c>
      <c r="AC69" t="str">
        <f t="shared" si="10"/>
        <v>Transformer</v>
      </c>
      <c r="AD69" t="str">
        <f t="shared" si="10"/>
        <v>cover</v>
      </c>
      <c r="AE69" t="str">
        <f t="shared" si="10"/>
        <v>Yaw</v>
      </c>
      <c r="AF69" t="str">
        <f t="shared" si="10"/>
        <v>Shaft</v>
      </c>
      <c r="AG69" t="str">
        <f t="shared" si="10"/>
        <v>Bedplate</v>
      </c>
      <c r="AH69" t="str">
        <f t="shared" si="10"/>
        <v>Brake</v>
      </c>
      <c r="AI69" t="str">
        <f t="shared" si="10"/>
        <v>HVAC</v>
      </c>
      <c r="AJ69" t="str">
        <f t="shared" si="10"/>
        <v>Electronics</v>
      </c>
      <c r="AK69" t="str">
        <f t="shared" si="10"/>
        <v>bearigs</v>
      </c>
      <c r="AL69" t="str">
        <f t="shared" si="10"/>
        <v>Converter</v>
      </c>
    </row>
    <row r="70" spans="10:38" x14ac:dyDescent="0.3">
      <c r="J70" t="s">
        <v>133</v>
      </c>
      <c r="L70" s="23">
        <f>AD42</f>
        <v>500</v>
      </c>
      <c r="M70"/>
      <c r="Q70" t="str">
        <f t="shared" ref="Q70:Z70" si="11">Q60</f>
        <v>Rotor</v>
      </c>
      <c r="S70" s="368"/>
      <c r="T70"/>
      <c r="V70" s="368"/>
      <c r="W70">
        <f t="shared" si="11"/>
        <v>48300</v>
      </c>
      <c r="X70">
        <f t="shared" si="11"/>
        <v>34100</v>
      </c>
      <c r="Y70">
        <f t="shared" si="11"/>
        <v>1800</v>
      </c>
      <c r="Z70">
        <f t="shared" si="11"/>
        <v>14700</v>
      </c>
    </row>
    <row r="71" spans="10:38" x14ac:dyDescent="0.3">
      <c r="J71" t="s">
        <v>1672</v>
      </c>
      <c r="L71" s="23">
        <f>AE42</f>
        <v>10400</v>
      </c>
      <c r="M71"/>
      <c r="Q71" t="str">
        <f t="shared" ref="Q71:AL71" si="12">Q61</f>
        <v>Nacelle</v>
      </c>
      <c r="S71" s="368"/>
      <c r="T71"/>
      <c r="V71" s="368"/>
      <c r="AA71">
        <f t="shared" si="12"/>
        <v>15645.312942509203</v>
      </c>
      <c r="AB71">
        <f t="shared" si="12"/>
        <v>97297.2</v>
      </c>
      <c r="AC71">
        <f t="shared" si="12"/>
        <v>16877.125</v>
      </c>
      <c r="AD71">
        <f t="shared" si="12"/>
        <v>3180</v>
      </c>
      <c r="AE71">
        <f t="shared" si="12"/>
        <v>6174</v>
      </c>
      <c r="AF71">
        <f t="shared" si="12"/>
        <v>16900</v>
      </c>
      <c r="AG71">
        <f t="shared" si="12"/>
        <v>71571.5</v>
      </c>
      <c r="AH71">
        <f t="shared" si="12"/>
        <v>5257</v>
      </c>
      <c r="AI71">
        <f t="shared" si="12"/>
        <v>0</v>
      </c>
      <c r="AJ71">
        <f t="shared" si="12"/>
        <v>500</v>
      </c>
      <c r="AK71">
        <f t="shared" si="12"/>
        <v>10400</v>
      </c>
      <c r="AL71">
        <f t="shared" si="12"/>
        <v>4822.0640569395009</v>
      </c>
    </row>
    <row r="72" spans="10:38" x14ac:dyDescent="0.3">
      <c r="J72" t="s">
        <v>358</v>
      </c>
      <c r="L72" s="23">
        <f>AF42</f>
        <v>4822.0640569395009</v>
      </c>
      <c r="M72"/>
      <c r="Q72" t="str">
        <f t="shared" ref="Q72" si="13">Q62</f>
        <v>Tower</v>
      </c>
      <c r="S72" s="368"/>
      <c r="T72"/>
      <c r="V72" s="368">
        <v>330000</v>
      </c>
    </row>
    <row r="73" spans="10:38" x14ac:dyDescent="0.3">
      <c r="K73" t="s">
        <v>1673</v>
      </c>
      <c r="M73"/>
      <c r="Q73" t="str">
        <f t="shared" ref="Q73" si="14">Q63</f>
        <v>Foundation</v>
      </c>
      <c r="R73">
        <f>R63</f>
        <v>108440.14000000001</v>
      </c>
      <c r="S73" s="368">
        <f>S63</f>
        <v>225000</v>
      </c>
      <c r="T73"/>
      <c r="V73" s="368"/>
    </row>
    <row r="74" spans="10:38" x14ac:dyDescent="0.3">
      <c r="K74" t="s">
        <v>2124</v>
      </c>
      <c r="M74"/>
      <c r="Q74" t="str">
        <f t="shared" ref="Q74:U74" si="15">Q64</f>
        <v>BOS</v>
      </c>
      <c r="S74" s="368"/>
      <c r="T74">
        <f t="shared" si="15"/>
        <v>5253.7653</v>
      </c>
      <c r="U74">
        <f t="shared" si="15"/>
        <v>38431.5</v>
      </c>
      <c r="V74" s="368"/>
    </row>
    <row r="75" spans="10:38" x14ac:dyDescent="0.3">
      <c r="M75"/>
      <c r="R75">
        <v>0</v>
      </c>
      <c r="S75" s="368">
        <v>25000</v>
      </c>
      <c r="T75">
        <v>50000</v>
      </c>
      <c r="U75">
        <v>75000</v>
      </c>
      <c r="V75" s="368">
        <v>100000</v>
      </c>
      <c r="W75">
        <v>125000</v>
      </c>
      <c r="X75">
        <v>150000</v>
      </c>
      <c r="Y75">
        <v>175000</v>
      </c>
      <c r="Z75">
        <v>200000</v>
      </c>
      <c r="AA75">
        <v>225000</v>
      </c>
      <c r="AB75">
        <v>250000</v>
      </c>
      <c r="AC75">
        <v>275000</v>
      </c>
      <c r="AD75">
        <v>300000</v>
      </c>
      <c r="AE75">
        <v>325000</v>
      </c>
      <c r="AF75">
        <v>350000</v>
      </c>
      <c r="AG75">
        <v>375000</v>
      </c>
      <c r="AH75">
        <v>400000</v>
      </c>
      <c r="AI75">
        <v>425000</v>
      </c>
      <c r="AJ75">
        <v>450000</v>
      </c>
      <c r="AK75">
        <v>475000</v>
      </c>
      <c r="AL75">
        <v>500000</v>
      </c>
    </row>
    <row r="76" spans="10:38" x14ac:dyDescent="0.3">
      <c r="M76"/>
      <c r="T76"/>
    </row>
    <row r="77" spans="10:38" x14ac:dyDescent="0.3">
      <c r="M77"/>
      <c r="T77"/>
    </row>
    <row r="78" spans="10:38" x14ac:dyDescent="0.3">
      <c r="M78"/>
      <c r="T78"/>
    </row>
    <row r="79" spans="10:38" x14ac:dyDescent="0.3">
      <c r="M79"/>
      <c r="T79"/>
    </row>
    <row r="80" spans="10:38" x14ac:dyDescent="0.3">
      <c r="M80"/>
      <c r="T80"/>
    </row>
    <row r="81" spans="13:20" x14ac:dyDescent="0.3">
      <c r="M81"/>
      <c r="T81"/>
    </row>
    <row r="82" spans="13:20" x14ac:dyDescent="0.3">
      <c r="M82"/>
      <c r="T82"/>
    </row>
    <row r="83" spans="13:20" x14ac:dyDescent="0.3">
      <c r="M83"/>
      <c r="T83"/>
    </row>
    <row r="84" spans="13:20" x14ac:dyDescent="0.3">
      <c r="M84"/>
      <c r="T84"/>
    </row>
    <row r="85" spans="13:20" x14ac:dyDescent="0.3">
      <c r="M85"/>
      <c r="T85"/>
    </row>
    <row r="86" spans="13:20" x14ac:dyDescent="0.3">
      <c r="M86"/>
      <c r="T86"/>
    </row>
    <row r="87" spans="13:20" x14ac:dyDescent="0.3">
      <c r="M87"/>
      <c r="T87"/>
    </row>
    <row r="88" spans="13:20" x14ac:dyDescent="0.3">
      <c r="M88"/>
      <c r="T88"/>
    </row>
    <row r="89" spans="13:20" x14ac:dyDescent="0.3">
      <c r="M89"/>
      <c r="T89"/>
    </row>
    <row r="90" spans="13:20" x14ac:dyDescent="0.3">
      <c r="M90"/>
      <c r="T90"/>
    </row>
    <row r="91" spans="13:20" x14ac:dyDescent="0.3">
      <c r="M91"/>
      <c r="T91"/>
    </row>
    <row r="92" spans="13:20" x14ac:dyDescent="0.3">
      <c r="M92"/>
      <c r="T92"/>
    </row>
    <row r="93" spans="13:20" x14ac:dyDescent="0.3">
      <c r="M93"/>
      <c r="T93"/>
    </row>
    <row r="94" spans="13:20" x14ac:dyDescent="0.3">
      <c r="M94"/>
      <c r="T94"/>
    </row>
    <row r="95" spans="13:20" x14ac:dyDescent="0.3">
      <c r="M95"/>
      <c r="T95"/>
    </row>
    <row r="96" spans="13:20" x14ac:dyDescent="0.3">
      <c r="M96"/>
      <c r="T96"/>
    </row>
    <row r="97" spans="13:20" x14ac:dyDescent="0.3">
      <c r="M97"/>
      <c r="T97"/>
    </row>
    <row r="98" spans="13:20" x14ac:dyDescent="0.3">
      <c r="M98"/>
      <c r="T98"/>
    </row>
    <row r="99" spans="13:20" x14ac:dyDescent="0.3">
      <c r="M99"/>
      <c r="T99"/>
    </row>
    <row r="100" spans="13:20" x14ac:dyDescent="0.3">
      <c r="M100"/>
      <c r="T100"/>
    </row>
    <row r="101" spans="13:20" x14ac:dyDescent="0.3">
      <c r="M101"/>
      <c r="T101"/>
    </row>
    <row r="102" spans="13:20" x14ac:dyDescent="0.3">
      <c r="M102"/>
      <c r="T102"/>
    </row>
    <row r="103" spans="13:20" x14ac:dyDescent="0.3">
      <c r="M103"/>
      <c r="T103"/>
    </row>
    <row r="104" spans="13:20" x14ac:dyDescent="0.3">
      <c r="M104"/>
      <c r="T104"/>
    </row>
    <row r="105" spans="13:20" x14ac:dyDescent="0.3">
      <c r="M105"/>
      <c r="T105"/>
    </row>
    <row r="106" spans="13:20" x14ac:dyDescent="0.3">
      <c r="M106"/>
      <c r="T106"/>
    </row>
    <row r="107" spans="13:20" x14ac:dyDescent="0.3">
      <c r="M107"/>
      <c r="T107"/>
    </row>
    <row r="108" spans="13:20" x14ac:dyDescent="0.3">
      <c r="M108"/>
      <c r="T108"/>
    </row>
    <row r="109" spans="13:20" x14ac:dyDescent="0.3">
      <c r="M109"/>
      <c r="T109"/>
    </row>
    <row r="110" spans="13:20" x14ac:dyDescent="0.3">
      <c r="M110"/>
      <c r="T110"/>
    </row>
    <row r="111" spans="13:20" x14ac:dyDescent="0.3">
      <c r="M111"/>
      <c r="T111"/>
    </row>
    <row r="112" spans="13:20" x14ac:dyDescent="0.3">
      <c r="M112"/>
      <c r="T112"/>
    </row>
    <row r="113" spans="13:20" x14ac:dyDescent="0.3">
      <c r="M113"/>
      <c r="T113"/>
    </row>
    <row r="114" spans="13:20" x14ac:dyDescent="0.3">
      <c r="M114"/>
      <c r="T114"/>
    </row>
    <row r="115" spans="13:20" x14ac:dyDescent="0.3">
      <c r="M115"/>
      <c r="T115"/>
    </row>
    <row r="116" spans="13:20" x14ac:dyDescent="0.3">
      <c r="M116"/>
      <c r="T116"/>
    </row>
    <row r="117" spans="13:20" x14ac:dyDescent="0.3">
      <c r="M117"/>
      <c r="T117"/>
    </row>
    <row r="118" spans="13:20" x14ac:dyDescent="0.3">
      <c r="M118"/>
      <c r="T118"/>
    </row>
    <row r="119" spans="13:20" x14ac:dyDescent="0.3">
      <c r="M119"/>
      <c r="T119"/>
    </row>
    <row r="120" spans="13:20" x14ac:dyDescent="0.3">
      <c r="M120"/>
      <c r="T120"/>
    </row>
    <row r="121" spans="13:20" x14ac:dyDescent="0.3">
      <c r="M121"/>
      <c r="T121"/>
    </row>
    <row r="122" spans="13:20" x14ac:dyDescent="0.3">
      <c r="M122"/>
      <c r="T122"/>
    </row>
    <row r="123" spans="13:20" x14ac:dyDescent="0.3">
      <c r="M123"/>
      <c r="T123"/>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5C94D-8F72-4EA9-9EA6-4257EDFC21D7}">
  <dimension ref="A2:AY1089"/>
  <sheetViews>
    <sheetView zoomScale="59" zoomScaleNormal="59" workbookViewId="0">
      <selection activeCell="G18" sqref="G18:G901"/>
    </sheetView>
  </sheetViews>
  <sheetFormatPr defaultRowHeight="14.4" x14ac:dyDescent="0.3"/>
  <cols>
    <col min="1" max="1" width="14.109375" customWidth="1"/>
    <col min="3" max="3" width="6" customWidth="1"/>
    <col min="4" max="4" width="18.44140625" customWidth="1"/>
    <col min="5" max="5" width="13.88671875" customWidth="1"/>
    <col min="6" max="6" width="16.44140625" customWidth="1"/>
    <col min="7" max="7" width="16.44140625" style="359" customWidth="1"/>
    <col min="8" max="8" width="23.6640625" customWidth="1"/>
    <col min="9" max="9" width="65.109375" customWidth="1"/>
    <col min="10" max="10" width="39.44140625" customWidth="1"/>
    <col min="11" max="11" width="4.6640625" customWidth="1"/>
    <col min="12" max="12" width="18" customWidth="1"/>
    <col min="13" max="13" width="14.88671875" customWidth="1"/>
    <col min="14" max="14" width="11.6640625" customWidth="1"/>
    <col min="16" max="16" width="11.21875" customWidth="1"/>
    <col min="19" max="19" width="15" customWidth="1"/>
    <col min="20" max="20" width="10.21875" customWidth="1"/>
    <col min="21" max="21" width="10.44140625" bestFit="1" customWidth="1"/>
    <col min="23" max="23" width="10.44140625" bestFit="1" customWidth="1"/>
    <col min="25" max="25" width="18.44140625" customWidth="1"/>
    <col min="27" max="27" width="11.6640625" bestFit="1" customWidth="1"/>
    <col min="31" max="31" width="12.109375" bestFit="1" customWidth="1"/>
    <col min="33" max="33" width="44.109375" customWidth="1"/>
    <col min="39" max="39" width="40.33203125" customWidth="1"/>
    <col min="41" max="41" width="38.88671875" customWidth="1"/>
  </cols>
  <sheetData>
    <row r="2" spans="1:20" x14ac:dyDescent="0.3">
      <c r="B2" s="44"/>
      <c r="C2" s="44" t="s">
        <v>1849</v>
      </c>
      <c r="D2" s="44"/>
      <c r="E2" s="44"/>
      <c r="G2" s="358"/>
      <c r="H2" s="108" t="s">
        <v>2125</v>
      </c>
      <c r="I2" s="39"/>
      <c r="J2" s="39"/>
      <c r="K2" s="39"/>
      <c r="L2" s="39"/>
      <c r="M2" s="39"/>
      <c r="N2" s="39"/>
      <c r="O2" s="39"/>
      <c r="P2" s="39"/>
      <c r="Q2" s="39"/>
      <c r="R2" s="39"/>
      <c r="S2" s="39"/>
      <c r="T2" s="39"/>
    </row>
    <row r="3" spans="1:20" x14ac:dyDescent="0.3">
      <c r="B3" t="s">
        <v>1847</v>
      </c>
      <c r="E3">
        <f>G19</f>
        <v>23126.400000000001</v>
      </c>
    </row>
    <row r="4" spans="1:20" x14ac:dyDescent="0.3">
      <c r="B4" t="s">
        <v>1846</v>
      </c>
      <c r="E4">
        <f>G33</f>
        <v>20544.280499999997</v>
      </c>
    </row>
    <row r="5" spans="1:20" x14ac:dyDescent="0.3">
      <c r="B5" t="s">
        <v>1845</v>
      </c>
      <c r="E5">
        <f>G21</f>
        <v>462528</v>
      </c>
    </row>
    <row r="6" spans="1:20" x14ac:dyDescent="0.3">
      <c r="B6" t="s">
        <v>1844</v>
      </c>
      <c r="E6">
        <f>G35</f>
        <v>410885.60999999993</v>
      </c>
    </row>
    <row r="7" spans="1:20" x14ac:dyDescent="0.3">
      <c r="B7" s="44"/>
      <c r="C7" s="44" t="s">
        <v>1848</v>
      </c>
      <c r="D7" s="44"/>
      <c r="E7" s="44"/>
      <c r="M7" t="s">
        <v>32</v>
      </c>
      <c r="N7" t="s">
        <v>162</v>
      </c>
      <c r="O7" t="s">
        <v>1980</v>
      </c>
    </row>
    <row r="8" spans="1:20" x14ac:dyDescent="0.3">
      <c r="B8" t="s">
        <v>1847</v>
      </c>
      <c r="E8">
        <f>G20</f>
        <v>231264</v>
      </c>
      <c r="L8" t="s">
        <v>1186</v>
      </c>
      <c r="M8">
        <f>'For Graphics1'!C14</f>
        <v>3606928.6255981736</v>
      </c>
      <c r="N8">
        <f>'For Graphics1'!E14</f>
        <v>58958258.633946277</v>
      </c>
      <c r="O8">
        <f>E3</f>
        <v>23126.400000000001</v>
      </c>
    </row>
    <row r="9" spans="1:20" x14ac:dyDescent="0.3">
      <c r="B9" t="s">
        <v>1846</v>
      </c>
      <c r="E9">
        <f>G34</f>
        <v>205442.80499999996</v>
      </c>
      <c r="L9" t="s">
        <v>1185</v>
      </c>
      <c r="M9">
        <f>'For Graphics1'!C23</f>
        <v>5332521.849899753</v>
      </c>
      <c r="N9">
        <f>'For Graphics1'!E23</f>
        <v>80128631.449564248</v>
      </c>
      <c r="O9">
        <f>E4</f>
        <v>20544.280499999997</v>
      </c>
    </row>
    <row r="10" spans="1:20" x14ac:dyDescent="0.3">
      <c r="B10" t="s">
        <v>1845</v>
      </c>
      <c r="E10">
        <f>G22</f>
        <v>4625280</v>
      </c>
    </row>
    <row r="11" spans="1:20" x14ac:dyDescent="0.3">
      <c r="B11" t="s">
        <v>1844</v>
      </c>
      <c r="E11">
        <f>G36</f>
        <v>4108856.0999999992</v>
      </c>
    </row>
    <row r="13" spans="1:20" x14ac:dyDescent="0.3">
      <c r="G13" s="359" t="s">
        <v>1843</v>
      </c>
      <c r="H13" s="351" t="s">
        <v>1973</v>
      </c>
    </row>
    <row r="14" spans="1:20" x14ac:dyDescent="0.3">
      <c r="A14" s="47"/>
      <c r="B14" s="47" t="s">
        <v>1842</v>
      </c>
      <c r="C14" s="47"/>
      <c r="D14" s="47"/>
      <c r="E14" s="47"/>
      <c r="F14" s="47"/>
      <c r="G14" s="360"/>
      <c r="H14" s="47"/>
    </row>
    <row r="16" spans="1:20" x14ac:dyDescent="0.3">
      <c r="D16" t="s">
        <v>1841</v>
      </c>
      <c r="E16" t="s">
        <v>1840</v>
      </c>
      <c r="F16" t="s">
        <v>1839</v>
      </c>
      <c r="G16" s="359" t="s">
        <v>1823</v>
      </c>
      <c r="H16" t="s">
        <v>1838</v>
      </c>
      <c r="J16" t="s">
        <v>1837</v>
      </c>
    </row>
    <row r="17" spans="3:16" s="70" customFormat="1" x14ac:dyDescent="0.3">
      <c r="G17" s="361"/>
    </row>
    <row r="18" spans="3:16" s="42" customFormat="1" x14ac:dyDescent="0.3">
      <c r="D18" s="42" t="s">
        <v>1833</v>
      </c>
      <c r="E18" s="42" t="s">
        <v>1172</v>
      </c>
      <c r="F18" s="42" t="s">
        <v>1832</v>
      </c>
      <c r="G18" s="362" t="s">
        <v>1791</v>
      </c>
      <c r="I18" s="42" t="str">
        <f>"%" &amp;F18 &amp;G18 &amp;D18 &amp;G18  &amp;E18</f>
        <v>%The energy production values.Especs.AWE</v>
      </c>
      <c r="J18" s="42" t="str">
        <f>"\"&amp;D18&amp;E18&amp;F18</f>
        <v>\EspecsAWEThe energy production values</v>
      </c>
    </row>
    <row r="19" spans="3:16" x14ac:dyDescent="0.3">
      <c r="C19" t="s">
        <v>720</v>
      </c>
      <c r="D19" t="str">
        <f t="shared" ref="D19:D28" si="0">D18</f>
        <v>Especs</v>
      </c>
      <c r="E19" t="str">
        <f t="shared" ref="E19:E28" si="1">E18</f>
        <v>AWE</v>
      </c>
      <c r="G19" s="359">
        <f t="shared" ref="G19:G29" si="2">L19</f>
        <v>23126.400000000001</v>
      </c>
      <c r="H19" t="s">
        <v>1831</v>
      </c>
      <c r="I19" t="str">
        <f t="shared" ref="I19:I29" si="3">"\newcommand{"&amp;J19&amp;"}{"&amp;TEXT(G19,$H$13)&amp;"}%"&amp;H19</f>
        <v>\newcommand{\EspecsAWEA}{23126,4}%AEPsystem</v>
      </c>
      <c r="J19" t="str">
        <f t="shared" ref="J19:J29" si="4">"\"&amp;D19&amp;E19&amp;F19&amp;C19</f>
        <v>\EspecsAWEA</v>
      </c>
      <c r="K19" s="14"/>
      <c r="L19" s="19">
        <f>AWE!$F$61</f>
        <v>23126.400000000001</v>
      </c>
    </row>
    <row r="20" spans="3:16" x14ac:dyDescent="0.3">
      <c r="C20" t="s">
        <v>788</v>
      </c>
      <c r="D20" t="str">
        <f t="shared" si="0"/>
        <v>Especs</v>
      </c>
      <c r="E20" t="str">
        <f t="shared" si="1"/>
        <v>AWE</v>
      </c>
      <c r="G20" s="359">
        <f t="shared" si="2"/>
        <v>231264</v>
      </c>
      <c r="H20" t="s">
        <v>1830</v>
      </c>
      <c r="I20" t="str">
        <f t="shared" si="3"/>
        <v>\newcommand{\EspecsAWEB}{231264,0}%AEPfarm</v>
      </c>
      <c r="J20" t="str">
        <f t="shared" si="4"/>
        <v>\EspecsAWEB</v>
      </c>
      <c r="L20">
        <f>'Communication to latex'!M30*'Communication to latex'!L19</f>
        <v>231264</v>
      </c>
    </row>
    <row r="21" spans="3:16" x14ac:dyDescent="0.3">
      <c r="C21" t="s">
        <v>790</v>
      </c>
      <c r="D21" t="str">
        <f t="shared" si="0"/>
        <v>Especs</v>
      </c>
      <c r="E21" t="str">
        <f t="shared" si="1"/>
        <v>AWE</v>
      </c>
      <c r="G21" s="359">
        <f t="shared" si="2"/>
        <v>462528</v>
      </c>
      <c r="H21" t="s">
        <v>1829</v>
      </c>
      <c r="I21" t="str">
        <f t="shared" si="3"/>
        <v>\newcommand{\EspecsAWEC}{462528,0}%E20Ysystem</v>
      </c>
      <c r="J21" t="str">
        <f t="shared" si="4"/>
        <v>\EspecsAWEC</v>
      </c>
      <c r="L21">
        <f>'Communication to latex'!L19*20</f>
        <v>462528</v>
      </c>
    </row>
    <row r="22" spans="3:16" x14ac:dyDescent="0.3">
      <c r="C22" t="s">
        <v>1786</v>
      </c>
      <c r="D22" t="str">
        <f t="shared" si="0"/>
        <v>Especs</v>
      </c>
      <c r="E22" t="str">
        <f t="shared" si="1"/>
        <v>AWE</v>
      </c>
      <c r="G22" s="359">
        <f t="shared" si="2"/>
        <v>4625280</v>
      </c>
      <c r="H22" t="s">
        <v>1828</v>
      </c>
      <c r="I22" t="str">
        <f t="shared" si="3"/>
        <v>\newcommand{\EspecsAWED}{4625280,0}%E20Yfarm</v>
      </c>
      <c r="J22" t="str">
        <f t="shared" si="4"/>
        <v>\EspecsAWED</v>
      </c>
      <c r="L22">
        <f>'Communication to latex'!M30*L21</f>
        <v>4625280</v>
      </c>
    </row>
    <row r="23" spans="3:16" x14ac:dyDescent="0.3">
      <c r="C23" t="s">
        <v>1784</v>
      </c>
      <c r="D23" t="str">
        <f t="shared" si="0"/>
        <v>Especs</v>
      </c>
      <c r="E23" t="str">
        <f t="shared" si="1"/>
        <v>AWE</v>
      </c>
      <c r="G23" s="359">
        <f t="shared" si="2"/>
        <v>52.8</v>
      </c>
      <c r="H23" t="s">
        <v>33</v>
      </c>
      <c r="I23" t="str">
        <f t="shared" si="3"/>
        <v>\newcommand{\EspecsAWEE}{52,8}%Cf</v>
      </c>
      <c r="J23" t="str">
        <f t="shared" si="4"/>
        <v>\EspecsAWEE</v>
      </c>
      <c r="L23">
        <f>100*'Communication to latex'!L19/'Communication to latex'!O30</f>
        <v>52.8</v>
      </c>
    </row>
    <row r="24" spans="3:16" x14ac:dyDescent="0.3">
      <c r="C24" t="s">
        <v>1783</v>
      </c>
      <c r="D24" t="str">
        <f t="shared" si="0"/>
        <v>Especs</v>
      </c>
      <c r="E24" t="str">
        <f t="shared" si="1"/>
        <v>AWE</v>
      </c>
      <c r="G24" s="359">
        <f t="shared" si="2"/>
        <v>58958258.633946285</v>
      </c>
      <c r="H24" t="s">
        <v>1836</v>
      </c>
      <c r="I24" t="str">
        <f t="shared" si="3"/>
        <v>\newcommand{\EspecsAWEF}{58958258,6}%Cumulative CED system [MJ]</v>
      </c>
      <c r="J24" t="str">
        <f t="shared" si="4"/>
        <v>\EspecsAWEF</v>
      </c>
      <c r="L24" s="26">
        <f>AWE!$F$89</f>
        <v>58958258.633946285</v>
      </c>
    </row>
    <row r="25" spans="3:16" x14ac:dyDescent="0.3">
      <c r="C25" t="s">
        <v>1782</v>
      </c>
      <c r="D25" t="str">
        <f t="shared" si="0"/>
        <v>Especs</v>
      </c>
      <c r="E25" t="str">
        <f t="shared" si="1"/>
        <v>AWE</v>
      </c>
      <c r="G25" s="359">
        <f t="shared" si="2"/>
        <v>28.242028149747423</v>
      </c>
      <c r="H25" t="s">
        <v>1762</v>
      </c>
      <c r="I25" t="str">
        <f t="shared" si="3"/>
        <v>\newcommand{\EspecsAWEG}{28,2}%EROI</v>
      </c>
      <c r="J25" t="str">
        <f t="shared" si="4"/>
        <v>\EspecsAWEG</v>
      </c>
      <c r="L25">
        <f>'Communication to latex'!L21/L27</f>
        <v>28.242028149747423</v>
      </c>
    </row>
    <row r="26" spans="3:16" x14ac:dyDescent="0.3">
      <c r="C26" t="s">
        <v>1798</v>
      </c>
      <c r="D26" t="str">
        <f t="shared" si="0"/>
        <v>Especs</v>
      </c>
      <c r="E26" t="str">
        <f t="shared" si="1"/>
        <v>AWE</v>
      </c>
      <c r="G26" s="359">
        <f t="shared" si="2"/>
        <v>8.4979732591246773</v>
      </c>
      <c r="H26" t="s">
        <v>1761</v>
      </c>
      <c r="I26" t="str">
        <f t="shared" si="3"/>
        <v>\newcommand{\EspecsAWEH}{8,5}%EPBT</v>
      </c>
      <c r="J26" t="str">
        <f t="shared" si="4"/>
        <v>\EspecsAWEH</v>
      </c>
      <c r="L26">
        <f>L27/('Communication to latex'!L19/12)</f>
        <v>8.4979732591246773</v>
      </c>
    </row>
    <row r="27" spans="3:16" x14ac:dyDescent="0.3">
      <c r="C27" t="s">
        <v>1796</v>
      </c>
      <c r="D27" t="str">
        <f t="shared" si="0"/>
        <v>Especs</v>
      </c>
      <c r="E27" t="str">
        <f t="shared" si="1"/>
        <v>AWE</v>
      </c>
      <c r="G27" s="359">
        <f t="shared" si="2"/>
        <v>16377.294064985079</v>
      </c>
      <c r="H27" t="s">
        <v>1835</v>
      </c>
      <c r="I27" t="str">
        <f t="shared" si="3"/>
        <v>\newcommand{\EspecsAWEI}{16377,3}%Cumulative CED system [MWh]</v>
      </c>
      <c r="J27" t="str">
        <f t="shared" si="4"/>
        <v>\EspecsAWEI</v>
      </c>
      <c r="L27" s="26">
        <f>AWE!$G$90</f>
        <v>16377.294064985079</v>
      </c>
    </row>
    <row r="28" spans="3:16" x14ac:dyDescent="0.3">
      <c r="C28" t="s">
        <v>1794</v>
      </c>
      <c r="D28" t="str">
        <f t="shared" si="0"/>
        <v>Especs</v>
      </c>
      <c r="E28" t="str">
        <f t="shared" si="1"/>
        <v>AWE</v>
      </c>
      <c r="G28" s="359">
        <f t="shared" si="2"/>
        <v>163772.94064985079</v>
      </c>
      <c r="H28" t="s">
        <v>1834</v>
      </c>
      <c r="I28" t="str">
        <f t="shared" si="3"/>
        <v>\newcommand{\EspecsAWEJ}{163772,9}%Cumulative CED farm [MWh]</v>
      </c>
      <c r="J28" t="str">
        <f t="shared" si="4"/>
        <v>\EspecsAWEJ</v>
      </c>
      <c r="L28">
        <f>L27*M30</f>
        <v>163772.94064985079</v>
      </c>
    </row>
    <row r="29" spans="3:16" x14ac:dyDescent="0.3">
      <c r="C29" t="s">
        <v>1826</v>
      </c>
      <c r="D29" t="str">
        <f>D26</f>
        <v>Especs</v>
      </c>
      <c r="E29" t="str">
        <f>E26</f>
        <v>AWE</v>
      </c>
      <c r="G29" s="359">
        <f t="shared" si="2"/>
        <v>0</v>
      </c>
      <c r="I29" t="str">
        <f t="shared" si="3"/>
        <v>\newcommand{\EspecsAWEK}{0,0}%</v>
      </c>
      <c r="J29" t="str">
        <f t="shared" si="4"/>
        <v>\EspecsAWEK</v>
      </c>
    </row>
    <row r="30" spans="3:16" x14ac:dyDescent="0.3">
      <c r="M30">
        <v>10</v>
      </c>
      <c r="N30" t="s">
        <v>287</v>
      </c>
      <c r="O30">
        <f>5*24*365</f>
        <v>43800</v>
      </c>
      <c r="P30" t="s">
        <v>1825</v>
      </c>
    </row>
    <row r="31" spans="3:16" s="70" customFormat="1" x14ac:dyDescent="0.3">
      <c r="G31" s="361"/>
    </row>
    <row r="32" spans="3:16" s="42" customFormat="1" x14ac:dyDescent="0.3">
      <c r="D32" s="42" t="s">
        <v>1833</v>
      </c>
      <c r="E32" s="42" t="s">
        <v>1142</v>
      </c>
      <c r="F32" s="42" t="s">
        <v>1832</v>
      </c>
      <c r="G32" s="362" t="s">
        <v>1791</v>
      </c>
      <c r="I32" s="42" t="str">
        <f>"%" &amp;F32 &amp;G32 &amp;D32 &amp;G32  &amp;E32</f>
        <v>%The energy production values.Especs.HAWT</v>
      </c>
      <c r="J32" s="42" t="str">
        <f>"\"&amp;D32&amp;E32&amp;F32</f>
        <v>\EspecsHAWTThe energy production values</v>
      </c>
    </row>
    <row r="33" spans="3:16" x14ac:dyDescent="0.3">
      <c r="C33" t="s">
        <v>720</v>
      </c>
      <c r="D33" t="str">
        <f t="shared" ref="D33:D42" si="5">D32</f>
        <v>Especs</v>
      </c>
      <c r="E33" t="str">
        <f t="shared" ref="E33:E42" si="6">E32</f>
        <v>HAWT</v>
      </c>
      <c r="G33" s="359">
        <f t="shared" ref="G33:G43" si="7">L33</f>
        <v>20544.280499999997</v>
      </c>
      <c r="H33" t="s">
        <v>1831</v>
      </c>
      <c r="I33" t="str">
        <f t="shared" ref="I33:I43" si="8">"\newcommand{"&amp;J33&amp;"}{"&amp;TEXT(G33,$H$13)&amp;"}%"&amp;H33</f>
        <v>\newcommand{\EspecsHAWTA}{20544,3}%AEPsystem</v>
      </c>
      <c r="J33" t="str">
        <f t="shared" ref="J33:J43" si="9">"\"&amp;D33&amp;E33&amp;F33&amp;C33</f>
        <v>\EspecsHAWTA</v>
      </c>
      <c r="L33" s="19">
        <f>HAWT!$F$61</f>
        <v>20544.280499999997</v>
      </c>
    </row>
    <row r="34" spans="3:16" x14ac:dyDescent="0.3">
      <c r="C34" t="s">
        <v>788</v>
      </c>
      <c r="D34" t="str">
        <f t="shared" si="5"/>
        <v>Especs</v>
      </c>
      <c r="E34" t="str">
        <f t="shared" si="6"/>
        <v>HAWT</v>
      </c>
      <c r="G34" s="359">
        <f t="shared" si="7"/>
        <v>205442.80499999996</v>
      </c>
      <c r="H34" t="s">
        <v>1830</v>
      </c>
      <c r="I34" t="str">
        <f t="shared" si="8"/>
        <v>\newcommand{\EspecsHAWTB}{205442,8}%AEPfarm</v>
      </c>
      <c r="J34" t="str">
        <f t="shared" si="9"/>
        <v>\EspecsHAWTB</v>
      </c>
      <c r="L34">
        <f>'Communication to latex'!M44*'Communication to latex'!L33</f>
        <v>205442.80499999996</v>
      </c>
    </row>
    <row r="35" spans="3:16" x14ac:dyDescent="0.3">
      <c r="C35" t="s">
        <v>790</v>
      </c>
      <c r="D35" t="str">
        <f t="shared" si="5"/>
        <v>Especs</v>
      </c>
      <c r="E35" t="str">
        <f t="shared" si="6"/>
        <v>HAWT</v>
      </c>
      <c r="G35" s="359">
        <f t="shared" si="7"/>
        <v>410885.60999999993</v>
      </c>
      <c r="H35" t="s">
        <v>1829</v>
      </c>
      <c r="I35" t="str">
        <f t="shared" si="8"/>
        <v>\newcommand{\EspecsHAWTC}{410885,6}%E20Ysystem</v>
      </c>
      <c r="J35" t="str">
        <f t="shared" si="9"/>
        <v>\EspecsHAWTC</v>
      </c>
      <c r="L35">
        <f>'Communication to latex'!L33*20</f>
        <v>410885.60999999993</v>
      </c>
    </row>
    <row r="36" spans="3:16" x14ac:dyDescent="0.3">
      <c r="C36" t="s">
        <v>1786</v>
      </c>
      <c r="D36" t="str">
        <f t="shared" si="5"/>
        <v>Especs</v>
      </c>
      <c r="E36" t="str">
        <f t="shared" si="6"/>
        <v>HAWT</v>
      </c>
      <c r="G36" s="359">
        <f t="shared" si="7"/>
        <v>4108856.0999999992</v>
      </c>
      <c r="H36" t="s">
        <v>1828</v>
      </c>
      <c r="I36" t="str">
        <f t="shared" si="8"/>
        <v>\newcommand{\EspecsHAWTD}{4108856,1}%E20Yfarm</v>
      </c>
      <c r="J36" t="str">
        <f t="shared" si="9"/>
        <v>\EspecsHAWTD</v>
      </c>
      <c r="L36">
        <f>'Communication to latex'!M44*L35</f>
        <v>4108856.0999999992</v>
      </c>
    </row>
    <row r="37" spans="3:16" x14ac:dyDescent="0.3">
      <c r="C37" t="s">
        <v>1784</v>
      </c>
      <c r="D37" t="str">
        <f t="shared" si="5"/>
        <v>Especs</v>
      </c>
      <c r="E37" t="str">
        <f t="shared" si="6"/>
        <v>HAWT</v>
      </c>
      <c r="G37" s="359">
        <f t="shared" si="7"/>
        <v>46.904749999999993</v>
      </c>
      <c r="H37" t="s">
        <v>33</v>
      </c>
      <c r="I37" t="str">
        <f t="shared" si="8"/>
        <v>\newcommand{\EspecsHAWTE}{46,9}%Cf</v>
      </c>
      <c r="J37" t="str">
        <f t="shared" si="9"/>
        <v>\EspecsHAWTE</v>
      </c>
      <c r="L37">
        <f>100*'Communication to latex'!L33/'Communication to latex'!O44</f>
        <v>46.904749999999993</v>
      </c>
    </row>
    <row r="38" spans="3:16" x14ac:dyDescent="0.3">
      <c r="C38" t="s">
        <v>1783</v>
      </c>
      <c r="D38" t="str">
        <f t="shared" si="5"/>
        <v>Especs</v>
      </c>
      <c r="E38" t="str">
        <f t="shared" si="6"/>
        <v>HAWT</v>
      </c>
      <c r="G38" s="359">
        <f t="shared" si="7"/>
        <v>80128631.449564263</v>
      </c>
      <c r="H38" t="s">
        <v>1827</v>
      </c>
      <c r="I38" t="str">
        <f t="shared" si="8"/>
        <v>\newcommand{\EspecsHAWTF}{80128631,4}%Cumulative CED</v>
      </c>
      <c r="J38" t="str">
        <f t="shared" si="9"/>
        <v>\EspecsHAWTF</v>
      </c>
      <c r="L38" s="26">
        <f>HAWT!$F$89</f>
        <v>80128631.449564263</v>
      </c>
    </row>
    <row r="39" spans="3:16" x14ac:dyDescent="0.3">
      <c r="C39" t="s">
        <v>1782</v>
      </c>
      <c r="D39" t="str">
        <f t="shared" si="5"/>
        <v>Especs</v>
      </c>
      <c r="E39" t="str">
        <f t="shared" si="6"/>
        <v>HAWT</v>
      </c>
      <c r="G39" s="359">
        <f t="shared" si="7"/>
        <v>18.460170468917244</v>
      </c>
      <c r="H39" t="s">
        <v>1762</v>
      </c>
      <c r="I39" t="str">
        <f t="shared" si="8"/>
        <v>\newcommand{\EspecsHAWTG}{18,5}%EROI</v>
      </c>
      <c r="J39" t="str">
        <f t="shared" si="9"/>
        <v>\EspecsHAWTG</v>
      </c>
      <c r="L39">
        <f>'Communication to latex'!L35/L41</f>
        <v>18.460170468917244</v>
      </c>
    </row>
    <row r="40" spans="3:16" x14ac:dyDescent="0.3">
      <c r="C40" t="s">
        <v>1798</v>
      </c>
      <c r="D40" t="str">
        <f t="shared" si="5"/>
        <v>Especs</v>
      </c>
      <c r="E40" t="str">
        <f t="shared" si="6"/>
        <v>HAWT</v>
      </c>
      <c r="G40" s="359">
        <f t="shared" si="7"/>
        <v>13.000963366189156</v>
      </c>
      <c r="H40" t="s">
        <v>1761</v>
      </c>
      <c r="I40" t="str">
        <f t="shared" si="8"/>
        <v>\newcommand{\EspecsHAWTH}{13,0}%EPBT</v>
      </c>
      <c r="J40" t="str">
        <f t="shared" si="9"/>
        <v>\EspecsHAWTH</v>
      </c>
      <c r="L40">
        <f>L41/('Communication to latex'!L33/12)</f>
        <v>13.000963366189156</v>
      </c>
    </row>
    <row r="41" spans="3:16" x14ac:dyDescent="0.3">
      <c r="C41" t="s">
        <v>1796</v>
      </c>
      <c r="D41" t="str">
        <f t="shared" si="5"/>
        <v>Especs</v>
      </c>
      <c r="E41" t="str">
        <f t="shared" si="6"/>
        <v>HAWT</v>
      </c>
      <c r="G41" s="359">
        <f t="shared" si="7"/>
        <v>22257.953180434517</v>
      </c>
      <c r="H41" t="s">
        <v>1759</v>
      </c>
      <c r="I41" t="str">
        <f t="shared" si="8"/>
        <v>\newcommand{\EspecsHAWTI}{22258,0}%MWh lifetime CED system</v>
      </c>
      <c r="J41" t="str">
        <f t="shared" si="9"/>
        <v>\EspecsHAWTI</v>
      </c>
      <c r="L41" s="26">
        <f>HAWT!$F$90</f>
        <v>22257.953180434517</v>
      </c>
    </row>
    <row r="42" spans="3:16" x14ac:dyDescent="0.3">
      <c r="C42" t="s">
        <v>1794</v>
      </c>
      <c r="D42" t="str">
        <f t="shared" si="5"/>
        <v>Especs</v>
      </c>
      <c r="E42" t="str">
        <f t="shared" si="6"/>
        <v>HAWT</v>
      </c>
      <c r="G42" s="359">
        <f t="shared" si="7"/>
        <v>222579.53180434517</v>
      </c>
      <c r="H42" t="s">
        <v>1758</v>
      </c>
      <c r="I42" t="str">
        <f t="shared" si="8"/>
        <v>\newcommand{\EspecsHAWTJ}{222579,5}%Mwh lifetime CED farm</v>
      </c>
      <c r="J42" t="str">
        <f t="shared" si="9"/>
        <v>\EspecsHAWTJ</v>
      </c>
      <c r="L42">
        <f>L41*M44</f>
        <v>222579.53180434517</v>
      </c>
    </row>
    <row r="43" spans="3:16" x14ac:dyDescent="0.3">
      <c r="C43" t="s">
        <v>1826</v>
      </c>
      <c r="D43" t="str">
        <f>D40</f>
        <v>Especs</v>
      </c>
      <c r="E43" t="str">
        <f>E40</f>
        <v>HAWT</v>
      </c>
      <c r="G43" s="359">
        <f t="shared" si="7"/>
        <v>0</v>
      </c>
      <c r="I43" t="str">
        <f t="shared" si="8"/>
        <v>\newcommand{\EspecsHAWTK}{0,0}%</v>
      </c>
      <c r="J43" t="str">
        <f t="shared" si="9"/>
        <v>\EspecsHAWTK</v>
      </c>
    </row>
    <row r="44" spans="3:16" x14ac:dyDescent="0.3">
      <c r="M44">
        <v>10</v>
      </c>
      <c r="N44" t="s">
        <v>287</v>
      </c>
      <c r="O44">
        <f>5*24*365</f>
        <v>43800</v>
      </c>
      <c r="P44" t="s">
        <v>1825</v>
      </c>
    </row>
    <row r="45" spans="3:16" s="70" customFormat="1" x14ac:dyDescent="0.3">
      <c r="G45" s="361"/>
    </row>
    <row r="47" spans="3:16" s="42" customFormat="1" x14ac:dyDescent="0.3">
      <c r="D47" s="42" t="s">
        <v>1871</v>
      </c>
      <c r="E47" s="42" t="s">
        <v>1870</v>
      </c>
      <c r="F47" s="42" t="s">
        <v>1869</v>
      </c>
      <c r="G47" s="362"/>
      <c r="H47" s="42" t="s">
        <v>1791</v>
      </c>
      <c r="I47" s="42" t="str">
        <f>"%" &amp;F47 &amp;H47 &amp;D47 &amp;H47  &amp;E47</f>
        <v>%Relative impacts of AWE vs HAWT.Ospecs.AWEvsHAWT</v>
      </c>
      <c r="J47" s="42" t="str">
        <f>"\"&amp;D47&amp;E47&amp;F47</f>
        <v>\OspecsAWEvsHAWTRelative impacts of AWE vs HAWT</v>
      </c>
    </row>
    <row r="48" spans="3:16" x14ac:dyDescent="0.3">
      <c r="C48" t="s">
        <v>720</v>
      </c>
      <c r="D48" t="str">
        <f t="shared" ref="D48:D57" si="10">D47</f>
        <v>Ospecs</v>
      </c>
      <c r="E48" t="str">
        <f t="shared" ref="E48:E57" si="11">E47</f>
        <v>AWEvsHAWT</v>
      </c>
      <c r="G48" s="359">
        <f t="shared" ref="G48:G58" si="12">L48</f>
        <v>1.5298898890072883</v>
      </c>
      <c r="H48" t="s">
        <v>1868</v>
      </c>
      <c r="I48" t="str">
        <f t="shared" ref="I48:I58" si="13">"\newcommand{"&amp;J48&amp;"}{"&amp;TEXT(G48,$H$13)&amp;"}%"&amp;H48</f>
        <v>\newcommand{\OspecsAWEvsHAWTA}{1,5}%CED total HAWT/AWE</v>
      </c>
      <c r="J48" t="str">
        <f t="shared" ref="J48:J58" si="14">"\"&amp;D48&amp;E48&amp;F48&amp;C48</f>
        <v>\OspecsAWEvsHAWTA</v>
      </c>
      <c r="K48" s="14"/>
      <c r="L48">
        <f>L77/L106</f>
        <v>1.5298898890072883</v>
      </c>
    </row>
    <row r="49" spans="3:16" x14ac:dyDescent="0.3">
      <c r="C49" t="s">
        <v>788</v>
      </c>
      <c r="D49" t="str">
        <f t="shared" si="10"/>
        <v>Ospecs</v>
      </c>
      <c r="E49" t="str">
        <f t="shared" si="11"/>
        <v>AWEvsHAWT</v>
      </c>
      <c r="G49" s="359">
        <f t="shared" si="12"/>
        <v>1.664225576385739</v>
      </c>
      <c r="H49" t="s">
        <v>1867</v>
      </c>
      <c r="I49" t="str">
        <f t="shared" si="13"/>
        <v>\newcommand{\OspecsAWEvsHAWTB}{1,7}%GWP total HAWT/AWE</v>
      </c>
      <c r="J49" t="str">
        <f t="shared" si="14"/>
        <v>\OspecsAWEvsHAWTB</v>
      </c>
      <c r="L49">
        <f>L83/L112</f>
        <v>1.664225576385739</v>
      </c>
    </row>
    <row r="50" spans="3:16" x14ac:dyDescent="0.3">
      <c r="C50" t="s">
        <v>790</v>
      </c>
      <c r="D50" t="str">
        <f t="shared" si="10"/>
        <v>Ospecs</v>
      </c>
      <c r="E50" t="str">
        <f t="shared" si="11"/>
        <v>AWEvsHAWT</v>
      </c>
      <c r="G50" s="359">
        <f t="shared" si="12"/>
        <v>333.90753403177797</v>
      </c>
      <c r="H50" t="s">
        <v>1866</v>
      </c>
      <c r="I50" t="str">
        <f t="shared" si="13"/>
        <v>\newcommand{\OspecsAWEvsHAWTC}{333,9}%Mass total  HAWT/AWE</v>
      </c>
      <c r="J50" t="str">
        <f t="shared" si="14"/>
        <v>\OspecsAWEvsHAWTC</v>
      </c>
      <c r="L50">
        <f>100*(G379/G346)</f>
        <v>333.90753403177797</v>
      </c>
      <c r="M50" t="s">
        <v>2036</v>
      </c>
    </row>
    <row r="51" spans="3:16" x14ac:dyDescent="0.3">
      <c r="C51" t="s">
        <v>1786</v>
      </c>
      <c r="D51" t="str">
        <f t="shared" si="10"/>
        <v>Ospecs</v>
      </c>
      <c r="E51" t="str">
        <f t="shared" si="11"/>
        <v>AWEvsHAWT</v>
      </c>
      <c r="G51" s="359">
        <f t="shared" si="12"/>
        <v>65.364181251559089</v>
      </c>
      <c r="H51" t="s">
        <v>1865</v>
      </c>
      <c r="I51" t="str">
        <f t="shared" si="13"/>
        <v>\newcommand{\OspecsAWEvsHAWTD}{65,4}%CED total AWE/HAWT</v>
      </c>
      <c r="J51" t="str">
        <f t="shared" si="14"/>
        <v>\OspecsAWEvsHAWTD</v>
      </c>
      <c r="L51">
        <f>100/L48</f>
        <v>65.364181251559089</v>
      </c>
      <c r="N51">
        <f>100*7.8/12.98</f>
        <v>60.092449922958394</v>
      </c>
    </row>
    <row r="52" spans="3:16" x14ac:dyDescent="0.3">
      <c r="C52" t="s">
        <v>1784</v>
      </c>
      <c r="D52" t="str">
        <f t="shared" si="10"/>
        <v>Ospecs</v>
      </c>
      <c r="E52" t="str">
        <f t="shared" si="11"/>
        <v>AWEvsHAWT</v>
      </c>
      <c r="G52" s="359">
        <f t="shared" si="12"/>
        <v>60.088008151619533</v>
      </c>
      <c r="H52" t="s">
        <v>1864</v>
      </c>
      <c r="I52" t="str">
        <f t="shared" si="13"/>
        <v>\newcommand{\OspecsAWEvsHAWTE}{60,1}%GWP total AWE/ HAWT</v>
      </c>
      <c r="J52" t="str">
        <f t="shared" si="14"/>
        <v>\OspecsAWEvsHAWTE</v>
      </c>
      <c r="L52">
        <f>100/L49</f>
        <v>60.088008151619533</v>
      </c>
      <c r="N52">
        <f>100*127.47/195.01</f>
        <v>65.36587867288857</v>
      </c>
    </row>
    <row r="53" spans="3:16" x14ac:dyDescent="0.3">
      <c r="C53" t="s">
        <v>1783</v>
      </c>
      <c r="D53" t="str">
        <f t="shared" si="10"/>
        <v>Ospecs</v>
      </c>
      <c r="E53" t="str">
        <f t="shared" si="11"/>
        <v>AWEvsHAWT</v>
      </c>
      <c r="G53" s="359">
        <f t="shared" si="12"/>
        <v>29.948410804795735</v>
      </c>
      <c r="H53" t="s">
        <v>1863</v>
      </c>
      <c r="I53" t="str">
        <f t="shared" si="13"/>
        <v>\newcommand{\OspecsAWEvsHAWTF}{29,9}%Mass total  AWE/HAWT</v>
      </c>
      <c r="J53" t="str">
        <f t="shared" si="14"/>
        <v>\OspecsAWEvsHAWTF</v>
      </c>
      <c r="L53">
        <f>100*(G346/G379)</f>
        <v>29.948410804795735</v>
      </c>
      <c r="M53" t="s">
        <v>2036</v>
      </c>
    </row>
    <row r="54" spans="3:16" x14ac:dyDescent="0.3">
      <c r="C54" t="s">
        <v>1782</v>
      </c>
      <c r="D54" t="str">
        <f t="shared" si="10"/>
        <v>Ospecs</v>
      </c>
      <c r="E54" t="str">
        <f t="shared" si="11"/>
        <v>AWEvsHAWT</v>
      </c>
      <c r="G54" s="359">
        <f t="shared" si="12"/>
        <v>71.338551773727218</v>
      </c>
      <c r="H54" t="s">
        <v>2035</v>
      </c>
      <c r="I54" t="str">
        <f t="shared" si="13"/>
        <v>\newcommand{\OspecsAWEvsHAWTG}{71,3}%reductions</v>
      </c>
      <c r="J54" t="str">
        <f t="shared" si="14"/>
        <v>\OspecsAWEvsHAWTG</v>
      </c>
      <c r="L54">
        <f>100*((G379-G348)/G379)</f>
        <v>71.338551773727218</v>
      </c>
    </row>
    <row r="55" spans="3:16" x14ac:dyDescent="0.3">
      <c r="C55" t="s">
        <v>1798</v>
      </c>
      <c r="D55" t="str">
        <f t="shared" si="10"/>
        <v>Ospecs</v>
      </c>
      <c r="E55" t="str">
        <f t="shared" si="11"/>
        <v>AWEvsHAWT</v>
      </c>
      <c r="G55" s="359">
        <f t="shared" si="12"/>
        <v>0</v>
      </c>
      <c r="I55" t="str">
        <f t="shared" si="13"/>
        <v>\newcommand{\OspecsAWEvsHAWTH}{0,0}%</v>
      </c>
      <c r="J55" t="str">
        <f t="shared" si="14"/>
        <v>\OspecsAWEvsHAWTH</v>
      </c>
    </row>
    <row r="56" spans="3:16" x14ac:dyDescent="0.3">
      <c r="C56" t="s">
        <v>1796</v>
      </c>
      <c r="D56" t="str">
        <f t="shared" si="10"/>
        <v>Ospecs</v>
      </c>
      <c r="E56" t="str">
        <f t="shared" si="11"/>
        <v>AWEvsHAWT</v>
      </c>
      <c r="G56" s="359">
        <f t="shared" si="12"/>
        <v>0</v>
      </c>
      <c r="I56" t="str">
        <f t="shared" si="13"/>
        <v>\newcommand{\OspecsAWEvsHAWTI}{0,0}%</v>
      </c>
      <c r="J56" t="str">
        <f t="shared" si="14"/>
        <v>\OspecsAWEvsHAWTI</v>
      </c>
    </row>
    <row r="57" spans="3:16" x14ac:dyDescent="0.3">
      <c r="C57" t="s">
        <v>1794</v>
      </c>
      <c r="D57" t="str">
        <f t="shared" si="10"/>
        <v>Ospecs</v>
      </c>
      <c r="E57" t="str">
        <f t="shared" si="11"/>
        <v>AWEvsHAWT</v>
      </c>
      <c r="G57" s="359">
        <f t="shared" si="12"/>
        <v>0</v>
      </c>
      <c r="I57" t="str">
        <f t="shared" si="13"/>
        <v>\newcommand{\OspecsAWEvsHAWTJ}{0,0}%</v>
      </c>
      <c r="J57" t="str">
        <f t="shared" si="14"/>
        <v>\OspecsAWEvsHAWTJ</v>
      </c>
    </row>
    <row r="58" spans="3:16" x14ac:dyDescent="0.3">
      <c r="C58" t="s">
        <v>1826</v>
      </c>
      <c r="D58" t="str">
        <f>D55</f>
        <v>Ospecs</v>
      </c>
      <c r="E58" t="str">
        <f>E55</f>
        <v>AWEvsHAWT</v>
      </c>
      <c r="G58" s="359">
        <f t="shared" si="12"/>
        <v>0</v>
      </c>
      <c r="I58" t="str">
        <f t="shared" si="13"/>
        <v>\newcommand{\OspecsAWEvsHAWTK}{0,0}%</v>
      </c>
      <c r="J58" t="str">
        <f t="shared" si="14"/>
        <v>\OspecsAWEvsHAWTK</v>
      </c>
    </row>
    <row r="59" spans="3:16" x14ac:dyDescent="0.3">
      <c r="M59">
        <v>10</v>
      </c>
      <c r="N59" t="s">
        <v>287</v>
      </c>
      <c r="O59">
        <f>5*24*365</f>
        <v>43800</v>
      </c>
      <c r="P59" t="s">
        <v>1825</v>
      </c>
    </row>
    <row r="68" spans="1:12" x14ac:dyDescent="0.3">
      <c r="A68" s="47"/>
      <c r="B68" s="336" t="s">
        <v>1822</v>
      </c>
      <c r="C68" s="47"/>
      <c r="D68" s="47"/>
      <c r="E68" s="47"/>
      <c r="F68" s="47"/>
      <c r="G68" s="360"/>
      <c r="H68" s="47"/>
    </row>
    <row r="70" spans="1:12" x14ac:dyDescent="0.3">
      <c r="A70" t="s">
        <v>1824</v>
      </c>
    </row>
    <row r="71" spans="1:12" x14ac:dyDescent="0.3">
      <c r="G71" s="359" t="s">
        <v>1823</v>
      </c>
    </row>
    <row r="72" spans="1:12" x14ac:dyDescent="0.3">
      <c r="C72" s="42"/>
      <c r="D72" s="42"/>
      <c r="E72" s="42" t="s">
        <v>1142</v>
      </c>
      <c r="F72" s="42" t="s">
        <v>1821</v>
      </c>
      <c r="H72" s="42" t="s">
        <v>1791</v>
      </c>
      <c r="I72" s="42" t="str">
        <f>"%" &amp;F72 &amp;H72 &amp;D72 &amp;H72  &amp;E72</f>
        <v>%Lifecycle stage impacts of..HAWT</v>
      </c>
      <c r="J72" s="42" t="str">
        <f>"\"&amp;D72&amp;E72&amp;F72</f>
        <v>\HAWTLifecycle stage impacts of</v>
      </c>
      <c r="K72" s="42"/>
    </row>
    <row r="73" spans="1:12" x14ac:dyDescent="0.3">
      <c r="C73" s="42" t="s">
        <v>720</v>
      </c>
      <c r="D73" s="42" t="s">
        <v>162</v>
      </c>
      <c r="E73" t="str">
        <f>E72</f>
        <v>HAWT</v>
      </c>
      <c r="F73" t="s">
        <v>1820</v>
      </c>
      <c r="G73" s="359">
        <f>L73</f>
        <v>171.27553331760996</v>
      </c>
      <c r="H73" t="s">
        <v>783</v>
      </c>
      <c r="I73" t="str">
        <f>"\newcommand{"&amp;J73&amp;"}{"&amp;TEXT(G73,$H$13)&amp;"}%"&amp;H73</f>
        <v>\newcommand{\CEDHAWTStageA}{171,3}%manuf</v>
      </c>
      <c r="J73" t="str">
        <f>"\"&amp;D73&amp;E73&amp;F73&amp;C73</f>
        <v>\CEDHAWTStageA</v>
      </c>
      <c r="L73" s="19">
        <f>'For Graphics1'!F33</f>
        <v>171.27553331760996</v>
      </c>
    </row>
    <row r="74" spans="1:12" x14ac:dyDescent="0.3">
      <c r="C74" t="s">
        <v>788</v>
      </c>
      <c r="D74" t="str">
        <f>D73</f>
        <v>CED</v>
      </c>
      <c r="E74" t="str">
        <f>E73</f>
        <v>HAWT</v>
      </c>
      <c r="F74" t="str">
        <f>F73</f>
        <v>Stage</v>
      </c>
      <c r="G74" s="359">
        <f>L74</f>
        <v>10.126259053675444</v>
      </c>
      <c r="H74" t="s">
        <v>1769</v>
      </c>
      <c r="I74" t="str">
        <f>"\newcommand{"&amp;J74&amp;"}{"&amp;TEXT(G74,$H$13)&amp;"}%"&amp;H74</f>
        <v>\newcommand{\CEDHAWTStageB}{10,1}%instal</v>
      </c>
      <c r="J74" t="str">
        <f>"\"&amp;D74&amp;E74&amp;F74&amp;C74</f>
        <v>\CEDHAWTStageB</v>
      </c>
      <c r="L74" s="19">
        <f>'For Graphics1'!F34</f>
        <v>10.126259053675444</v>
      </c>
    </row>
    <row r="75" spans="1:12" x14ac:dyDescent="0.3">
      <c r="C75" t="s">
        <v>790</v>
      </c>
      <c r="D75" t="str">
        <f>D74</f>
        <v>CED</v>
      </c>
      <c r="E75" t="str">
        <f>E74</f>
        <v>HAWT</v>
      </c>
      <c r="F75" t="str">
        <f>F74</f>
        <v>Stage</v>
      </c>
      <c r="G75" s="359">
        <f>L75</f>
        <v>10.046934474049847</v>
      </c>
      <c r="H75" t="s">
        <v>1768</v>
      </c>
      <c r="I75" t="str">
        <f>"\newcommand{"&amp;J75&amp;"}{"&amp;TEXT(G75,$H$13)&amp;"}%"&amp;H75</f>
        <v>\newcommand{\CEDHAWTStageC}{10,0}%oenm</v>
      </c>
      <c r="J75" t="str">
        <f>"\"&amp;D75&amp;E75&amp;F75&amp;C75</f>
        <v>\CEDHAWTStageC</v>
      </c>
      <c r="L75" s="19">
        <f>'For Graphics1'!F35</f>
        <v>10.046934474049847</v>
      </c>
    </row>
    <row r="76" spans="1:12" x14ac:dyDescent="0.3">
      <c r="C76" t="s">
        <v>1786</v>
      </c>
      <c r="D76" t="str">
        <f>D75</f>
        <v>CED</v>
      </c>
      <c r="E76" t="str">
        <f>E75</f>
        <v>HAWT</v>
      </c>
      <c r="F76" t="str">
        <f>F75</f>
        <v>Stage</v>
      </c>
      <c r="G76" s="359">
        <f>L76</f>
        <v>3.5657236475020886</v>
      </c>
      <c r="H76" t="s">
        <v>47</v>
      </c>
      <c r="I76" t="str">
        <f>"\newcommand{"&amp;J76&amp;"}{"&amp;TEXT(G76,$H$13)&amp;"}%"&amp;H76</f>
        <v>\newcommand{\CEDHAWTStageD}{3,6}%EOL</v>
      </c>
      <c r="J76" t="str">
        <f>"\"&amp;D76&amp;E76&amp;F76&amp;C76</f>
        <v>\CEDHAWTStageD</v>
      </c>
      <c r="L76" s="19">
        <f>'For Graphics1'!F36</f>
        <v>3.5657236475020886</v>
      </c>
    </row>
    <row r="77" spans="1:12" x14ac:dyDescent="0.3">
      <c r="C77" t="s">
        <v>1784</v>
      </c>
      <c r="D77" t="str">
        <f>D76</f>
        <v>CED</v>
      </c>
      <c r="E77" t="str">
        <f>E76</f>
        <v>HAWT</v>
      </c>
      <c r="F77" t="str">
        <f>F76</f>
        <v>Stage</v>
      </c>
      <c r="G77" s="359">
        <f>L77</f>
        <v>195.01445049283734</v>
      </c>
      <c r="H77" t="s">
        <v>55</v>
      </c>
      <c r="I77" t="str">
        <f>"\newcommand{"&amp;J77&amp;"}{"&amp;TEXT(G77,$H$13)&amp;"}%"&amp;H77</f>
        <v>\newcommand{\CEDHAWTStageE}{195,0}%total</v>
      </c>
      <c r="J77" t="str">
        <f>"\"&amp;D77&amp;E77&amp;F77&amp;C77</f>
        <v>\CEDHAWTStageE</v>
      </c>
      <c r="L77">
        <f>SUM(L73:L76)</f>
        <v>195.01445049283734</v>
      </c>
    </row>
    <row r="79" spans="1:12" x14ac:dyDescent="0.3">
      <c r="C79" s="42" t="s">
        <v>720</v>
      </c>
      <c r="D79" s="42" t="s">
        <v>32</v>
      </c>
      <c r="E79" t="str">
        <f>E77</f>
        <v>HAWT</v>
      </c>
      <c r="F79" t="str">
        <f>F77</f>
        <v>Stage</v>
      </c>
      <c r="G79" s="359">
        <f>L79</f>
        <v>11.145283831422619</v>
      </c>
      <c r="H79" t="s">
        <v>783</v>
      </c>
      <c r="I79" t="str">
        <f>"\newcommand{"&amp;J79&amp;"}{"&amp;TEXT(G79,$H$13)&amp;"}%"&amp;H79</f>
        <v>\newcommand{\GWPHAWTStageA}{11,1}%manuf</v>
      </c>
      <c r="J79" t="str">
        <f>"\"&amp;D79&amp;E79&amp;F79&amp;C79</f>
        <v>\GWPHAWTStageA</v>
      </c>
      <c r="L79" s="19">
        <f>'For Graphics1'!F28</f>
        <v>11.145283831422619</v>
      </c>
    </row>
    <row r="80" spans="1:12" x14ac:dyDescent="0.3">
      <c r="C80" t="s">
        <v>788</v>
      </c>
      <c r="D80" t="str">
        <f t="shared" ref="D80:F83" si="15">D79</f>
        <v>GWP</v>
      </c>
      <c r="E80" t="str">
        <f t="shared" si="15"/>
        <v>HAWT</v>
      </c>
      <c r="F80" t="str">
        <f t="shared" si="15"/>
        <v>Stage</v>
      </c>
      <c r="G80" s="359">
        <f>L80</f>
        <v>0.70451015783057913</v>
      </c>
      <c r="H80" t="s">
        <v>1769</v>
      </c>
      <c r="I80" t="str">
        <f>"\newcommand{"&amp;J80&amp;"}{"&amp;TEXT(G80,$H$13)&amp;"}%"&amp;H80</f>
        <v>\newcommand{\GWPHAWTStageB}{0,7}%instal</v>
      </c>
      <c r="J80" t="str">
        <f>"\"&amp;D80&amp;E80&amp;F80&amp;C80</f>
        <v>\GWPHAWTStageB</v>
      </c>
      <c r="L80" s="19">
        <f>'For Graphics1'!F29</f>
        <v>0.70451015783057913</v>
      </c>
    </row>
    <row r="81" spans="3:26" x14ac:dyDescent="0.3">
      <c r="C81" t="s">
        <v>790</v>
      </c>
      <c r="D81" t="str">
        <f t="shared" si="15"/>
        <v>GWP</v>
      </c>
      <c r="E81" t="str">
        <f t="shared" si="15"/>
        <v>HAWT</v>
      </c>
      <c r="F81" t="str">
        <f t="shared" si="15"/>
        <v>Stage</v>
      </c>
      <c r="G81" s="359">
        <f>L81</f>
        <v>0.73521556462588233</v>
      </c>
      <c r="H81" t="s">
        <v>1768</v>
      </c>
      <c r="I81" t="str">
        <f>"\newcommand{"&amp;J81&amp;"}{"&amp;TEXT(G81,$H$13)&amp;"}%"&amp;H81</f>
        <v>\newcommand{\GWPHAWTStageC}{0,7}%oenm</v>
      </c>
      <c r="J81" t="str">
        <f>"\"&amp;D81&amp;E81&amp;F81&amp;C81</f>
        <v>\GWPHAWTStageC</v>
      </c>
      <c r="L81" s="19">
        <f>'For Graphics1'!F30</f>
        <v>0.73521556462588233</v>
      </c>
      <c r="P81">
        <v>3</v>
      </c>
    </row>
    <row r="82" spans="3:26" x14ac:dyDescent="0.3">
      <c r="C82" t="s">
        <v>1786</v>
      </c>
      <c r="D82" t="str">
        <f t="shared" si="15"/>
        <v>GWP</v>
      </c>
      <c r="E82" t="str">
        <f t="shared" si="15"/>
        <v>HAWT</v>
      </c>
      <c r="F82" t="str">
        <f t="shared" si="15"/>
        <v>Stage</v>
      </c>
      <c r="G82" s="359">
        <f>L82</f>
        <v>0.39310824854226534</v>
      </c>
      <c r="H82" t="s">
        <v>47</v>
      </c>
      <c r="I82" t="str">
        <f>"\newcommand{"&amp;J82&amp;"}{"&amp;TEXT(G82,$H$13)&amp;"}%"&amp;H82</f>
        <v>\newcommand{\GWPHAWTStageD}{0,4}%EOL</v>
      </c>
      <c r="J82" t="str">
        <f>"\"&amp;D82&amp;E82&amp;F82&amp;C82</f>
        <v>\GWPHAWTStageD</v>
      </c>
      <c r="L82" s="19">
        <f>'For Graphics1'!F31</f>
        <v>0.39310824854226534</v>
      </c>
      <c r="Z82">
        <f>J90</f>
        <v>0</v>
      </c>
    </row>
    <row r="83" spans="3:26" x14ac:dyDescent="0.3">
      <c r="C83" t="s">
        <v>1784</v>
      </c>
      <c r="D83" t="str">
        <f t="shared" si="15"/>
        <v>GWP</v>
      </c>
      <c r="E83" t="str">
        <f t="shared" si="15"/>
        <v>HAWT</v>
      </c>
      <c r="F83" t="str">
        <f t="shared" si="15"/>
        <v>Stage</v>
      </c>
      <c r="G83" s="359">
        <f>L83</f>
        <v>12.978117802421346</v>
      </c>
      <c r="H83" t="s">
        <v>55</v>
      </c>
      <c r="I83" t="str">
        <f>"\newcommand{"&amp;J83&amp;"}{"&amp;TEXT(G83,$H$13)&amp;"}%"&amp;H83</f>
        <v>\newcommand{\GWPHAWTStageE}{13,0}%total</v>
      </c>
      <c r="J83" t="str">
        <f>"\"&amp;D83&amp;E83&amp;F83&amp;C83</f>
        <v>\GWPHAWTStageE</v>
      </c>
      <c r="L83">
        <f>SUM(L79:L82)</f>
        <v>12.978117802421346</v>
      </c>
    </row>
    <row r="84" spans="3:26" x14ac:dyDescent="0.3">
      <c r="E84" s="42"/>
    </row>
    <row r="85" spans="3:26" x14ac:dyDescent="0.3">
      <c r="C85" s="42" t="s">
        <v>720</v>
      </c>
      <c r="D85" s="42" t="s">
        <v>162</v>
      </c>
      <c r="E85" t="str">
        <f>E72</f>
        <v>HAWT</v>
      </c>
      <c r="F85" t="s">
        <v>1819</v>
      </c>
      <c r="G85" s="359">
        <f>L85</f>
        <v>87.827098394383199</v>
      </c>
      <c r="H85" t="s">
        <v>783</v>
      </c>
      <c r="I85" t="str">
        <f>"\newcommand{"&amp;J85&amp;"}{"&amp;TEXT(G85,$H$13)&amp;"}%"&amp;H85</f>
        <v>\newcommand{\CEDHAWTStagePofAllA}{87,8}%manuf</v>
      </c>
      <c r="J85" t="str">
        <f>"\"&amp;D85&amp;E85&amp;F85&amp;C85</f>
        <v>\CEDHAWTStagePofAllA</v>
      </c>
      <c r="L85">
        <f>100*L73/$L$77</f>
        <v>87.827098394383199</v>
      </c>
    </row>
    <row r="86" spans="3:26" x14ac:dyDescent="0.3">
      <c r="C86" t="s">
        <v>788</v>
      </c>
      <c r="D86" t="str">
        <f t="shared" ref="D86:F89" si="16">D85</f>
        <v>CED</v>
      </c>
      <c r="E86" t="str">
        <f t="shared" si="16"/>
        <v>HAWT</v>
      </c>
      <c r="F86" t="str">
        <f t="shared" si="16"/>
        <v>StagePofAll</v>
      </c>
      <c r="G86" s="359">
        <f>L86</f>
        <v>5.1925685650907036</v>
      </c>
      <c r="H86" t="s">
        <v>1769</v>
      </c>
      <c r="I86" t="str">
        <f>"\newcommand{"&amp;J86&amp;"}{"&amp;TEXT(G86,$H$13)&amp;"}%"&amp;H86</f>
        <v>\newcommand{\CEDHAWTStagePofAllB}{5,2}%instal</v>
      </c>
      <c r="J86" t="str">
        <f>"\"&amp;D86&amp;E86&amp;F86&amp;C86</f>
        <v>\CEDHAWTStagePofAllB</v>
      </c>
      <c r="L86">
        <f>100*L74/$L$77</f>
        <v>5.1925685650907036</v>
      </c>
    </row>
    <row r="87" spans="3:26" x14ac:dyDescent="0.3">
      <c r="C87" t="s">
        <v>790</v>
      </c>
      <c r="D87" t="str">
        <f t="shared" si="16"/>
        <v>CED</v>
      </c>
      <c r="E87" t="str">
        <f t="shared" si="16"/>
        <v>HAWT</v>
      </c>
      <c r="F87" t="str">
        <f t="shared" si="16"/>
        <v>StagePofAll</v>
      </c>
      <c r="G87" s="359">
        <f>L87</f>
        <v>5.1518923078055998</v>
      </c>
      <c r="H87" t="s">
        <v>1768</v>
      </c>
      <c r="I87" t="str">
        <f>"\newcommand{"&amp;J87&amp;"}{"&amp;TEXT(G87,$H$13)&amp;"}%"&amp;H87</f>
        <v>\newcommand{\CEDHAWTStagePofAllC}{5,2}%oenm</v>
      </c>
      <c r="J87" t="str">
        <f>"\"&amp;D87&amp;E87&amp;F87&amp;C87</f>
        <v>\CEDHAWTStagePofAllC</v>
      </c>
      <c r="L87">
        <f>100*L75/$L$77</f>
        <v>5.1518923078055998</v>
      </c>
    </row>
    <row r="88" spans="3:26" x14ac:dyDescent="0.3">
      <c r="C88" t="s">
        <v>1786</v>
      </c>
      <c r="D88" t="str">
        <f t="shared" si="16"/>
        <v>CED</v>
      </c>
      <c r="E88" t="str">
        <f t="shared" si="16"/>
        <v>HAWT</v>
      </c>
      <c r="F88" t="str">
        <f t="shared" si="16"/>
        <v>StagePofAll</v>
      </c>
      <c r="G88" s="359">
        <f>L88</f>
        <v>1.8284407327204983</v>
      </c>
      <c r="H88" t="s">
        <v>47</v>
      </c>
      <c r="I88" t="str">
        <f>"\newcommand{"&amp;J88&amp;"}{"&amp;TEXT(G88,$H$13)&amp;"}%"&amp;H88</f>
        <v>\newcommand{\CEDHAWTStagePofAllD}{1,8}%EOL</v>
      </c>
      <c r="J88" t="str">
        <f>"\"&amp;D88&amp;E88&amp;F88&amp;C88</f>
        <v>\CEDHAWTStagePofAllD</v>
      </c>
      <c r="L88">
        <f>100*L76/$L$77</f>
        <v>1.8284407327204983</v>
      </c>
    </row>
    <row r="89" spans="3:26" x14ac:dyDescent="0.3">
      <c r="C89" t="s">
        <v>1784</v>
      </c>
      <c r="D89" t="str">
        <f t="shared" si="16"/>
        <v>CED</v>
      </c>
      <c r="E89" t="str">
        <f t="shared" si="16"/>
        <v>HAWT</v>
      </c>
      <c r="F89" t="str">
        <f t="shared" si="16"/>
        <v>StagePofAll</v>
      </c>
      <c r="G89" s="359">
        <f>L89</f>
        <v>100</v>
      </c>
      <c r="H89" t="s">
        <v>55</v>
      </c>
      <c r="I89" t="str">
        <f>"\newcommand{"&amp;J89&amp;"}{"&amp;TEXT(G89,$H$13)&amp;"}%"&amp;H89</f>
        <v>\newcommand{\CEDHAWTStagePofAllE}{100,0}%total</v>
      </c>
      <c r="J89" t="str">
        <f>"\"&amp;D89&amp;E89&amp;F89&amp;C89</f>
        <v>\CEDHAWTStagePofAllE</v>
      </c>
      <c r="L89">
        <f>100*L77/$L$77</f>
        <v>100</v>
      </c>
    </row>
    <row r="91" spans="3:26" x14ac:dyDescent="0.3">
      <c r="C91" s="42" t="s">
        <v>720</v>
      </c>
      <c r="D91" s="42" t="s">
        <v>32</v>
      </c>
      <c r="E91" t="str">
        <f>E89</f>
        <v>HAWT</v>
      </c>
      <c r="F91" t="str">
        <f>F89</f>
        <v>StagePofAll</v>
      </c>
      <c r="G91" s="359">
        <f>L91</f>
        <v>85.877505514268236</v>
      </c>
      <c r="H91" t="s">
        <v>783</v>
      </c>
      <c r="I91" t="str">
        <f>"\newcommand{"&amp;J91&amp;"}{"&amp;TEXT(G91,$H$13)&amp;"}%"&amp;H91</f>
        <v>\newcommand{\GWPHAWTStagePofAllA}{85,9}%manuf</v>
      </c>
      <c r="J91" t="str">
        <f>"\"&amp;D91&amp;E91&amp;F91&amp;C91</f>
        <v>\GWPHAWTStagePofAllA</v>
      </c>
      <c r="L91">
        <f>100*L79/$L$83</f>
        <v>85.877505514268236</v>
      </c>
    </row>
    <row r="92" spans="3:26" x14ac:dyDescent="0.3">
      <c r="C92" t="s">
        <v>788</v>
      </c>
      <c r="D92" t="str">
        <f t="shared" ref="D92:F95" si="17">D91</f>
        <v>GWP</v>
      </c>
      <c r="E92" t="str">
        <f t="shared" si="17"/>
        <v>HAWT</v>
      </c>
      <c r="F92" t="str">
        <f t="shared" si="17"/>
        <v>StagePofAll</v>
      </c>
      <c r="G92" s="359">
        <f>L92</f>
        <v>5.4284463167620318</v>
      </c>
      <c r="H92" t="s">
        <v>1769</v>
      </c>
      <c r="I92" t="str">
        <f>"\newcommand{"&amp;J92&amp;"}{"&amp;TEXT(G92,$H$13)&amp;"}%"&amp;H92</f>
        <v>\newcommand{\GWPHAWTStagePofAllB}{5,4}%instal</v>
      </c>
      <c r="J92" t="str">
        <f>"\"&amp;D92&amp;E92&amp;F92&amp;C92</f>
        <v>\GWPHAWTStagePofAllB</v>
      </c>
      <c r="L92">
        <f>100*L80/$L$83</f>
        <v>5.4284463167620318</v>
      </c>
    </row>
    <row r="93" spans="3:26" x14ac:dyDescent="0.3">
      <c r="C93" t="s">
        <v>790</v>
      </c>
      <c r="D93" t="str">
        <f t="shared" si="17"/>
        <v>GWP</v>
      </c>
      <c r="E93" t="str">
        <f t="shared" si="17"/>
        <v>HAWT</v>
      </c>
      <c r="F93" t="str">
        <f t="shared" si="17"/>
        <v>StagePofAll</v>
      </c>
      <c r="G93" s="359">
        <f>L93</f>
        <v>5.665039999010582</v>
      </c>
      <c r="H93" t="s">
        <v>1768</v>
      </c>
      <c r="I93" t="str">
        <f>"\newcommand{"&amp;J93&amp;"}{"&amp;TEXT(G93,$H$13)&amp;"}%"&amp;H93</f>
        <v>\newcommand{\GWPHAWTStagePofAllC}{5,7}%oenm</v>
      </c>
      <c r="J93" t="str">
        <f>"\"&amp;D93&amp;E93&amp;F93&amp;C93</f>
        <v>\GWPHAWTStagePofAllC</v>
      </c>
      <c r="L93">
        <f>100*L81/$L$83</f>
        <v>5.665039999010582</v>
      </c>
    </row>
    <row r="94" spans="3:26" x14ac:dyDescent="0.3">
      <c r="C94" t="s">
        <v>1786</v>
      </c>
      <c r="D94" t="str">
        <f t="shared" si="17"/>
        <v>GWP</v>
      </c>
      <c r="E94" t="str">
        <f t="shared" si="17"/>
        <v>HAWT</v>
      </c>
      <c r="F94" t="str">
        <f t="shared" si="17"/>
        <v>StagePofAll</v>
      </c>
      <c r="G94" s="359">
        <f>L94</f>
        <v>3.0290081699591487</v>
      </c>
      <c r="H94" t="s">
        <v>47</v>
      </c>
      <c r="I94" t="str">
        <f>"\newcommand{"&amp;J94&amp;"}{"&amp;TEXT(G94,$H$13)&amp;"}%"&amp;H94</f>
        <v>\newcommand{\GWPHAWTStagePofAllD}{3,0}%EOL</v>
      </c>
      <c r="J94" t="str">
        <f>"\"&amp;D94&amp;E94&amp;F94&amp;C94</f>
        <v>\GWPHAWTStagePofAllD</v>
      </c>
      <c r="L94">
        <f>100*L82/$L$83</f>
        <v>3.0290081699591487</v>
      </c>
    </row>
    <row r="95" spans="3:26" x14ac:dyDescent="0.3">
      <c r="C95" t="s">
        <v>1784</v>
      </c>
      <c r="D95" t="str">
        <f t="shared" si="17"/>
        <v>GWP</v>
      </c>
      <c r="E95" t="str">
        <f t="shared" si="17"/>
        <v>HAWT</v>
      </c>
      <c r="F95" t="str">
        <f t="shared" si="17"/>
        <v>StagePofAll</v>
      </c>
      <c r="G95" s="359">
        <f>L95</f>
        <v>99.999999999999986</v>
      </c>
      <c r="H95" t="s">
        <v>55</v>
      </c>
      <c r="I95" t="str">
        <f>"\newcommand{"&amp;J95&amp;"}{"&amp;TEXT(G95,$H$13)&amp;"}%"&amp;H95</f>
        <v>\newcommand{\GWPHAWTStagePofAllE}{100,0}%total</v>
      </c>
      <c r="J95" t="str">
        <f>"\"&amp;D95&amp;E95&amp;F95&amp;C95</f>
        <v>\GWPHAWTStagePofAllE</v>
      </c>
      <c r="L95">
        <f>100*L83/$L$83</f>
        <v>99.999999999999986</v>
      </c>
    </row>
    <row r="100" spans="1:36" x14ac:dyDescent="0.3">
      <c r="A100" s="70"/>
      <c r="B100" s="336" t="s">
        <v>1822</v>
      </c>
      <c r="C100" s="47"/>
      <c r="D100" s="70"/>
      <c r="E100" s="70"/>
      <c r="F100" s="70"/>
      <c r="G100" s="361"/>
      <c r="H100" s="70"/>
      <c r="I100" s="70"/>
      <c r="J100" s="70"/>
      <c r="K100" s="70"/>
    </row>
    <row r="101" spans="1:36" x14ac:dyDescent="0.3">
      <c r="C101" s="42"/>
      <c r="D101" s="42"/>
      <c r="E101" s="42" t="s">
        <v>1172</v>
      </c>
      <c r="F101" s="42" t="s">
        <v>1821</v>
      </c>
      <c r="G101" s="362" t="s">
        <v>1791</v>
      </c>
      <c r="H101" s="42"/>
      <c r="I101" s="42" t="str">
        <f>"%" &amp;F101 &amp;G101 &amp;D101 &amp;G101  &amp;E101</f>
        <v>%Lifecycle stage impacts of..AWE</v>
      </c>
      <c r="J101" s="42" t="str">
        <f>"\"&amp;D101&amp;E101&amp;F101</f>
        <v>\AWELifecycle stage impacts of</v>
      </c>
      <c r="K101" s="42"/>
      <c r="S101" t="s">
        <v>2073</v>
      </c>
    </row>
    <row r="102" spans="1:36" x14ac:dyDescent="0.3">
      <c r="C102" s="42" t="s">
        <v>720</v>
      </c>
      <c r="D102" s="42" t="s">
        <v>162</v>
      </c>
      <c r="E102" t="str">
        <f>E101</f>
        <v>AWE</v>
      </c>
      <c r="F102" t="s">
        <v>1820</v>
      </c>
      <c r="G102" s="359">
        <f>L102</f>
        <v>100.10052301845815</v>
      </c>
      <c r="H102" t="s">
        <v>783</v>
      </c>
      <c r="I102" t="str">
        <f>"\newcommand{"&amp;J102&amp;"}{"&amp;TEXT(G102,$H$13)&amp;"}%"&amp;H102</f>
        <v>\newcommand{\CEDAWEStageA}{100,1}%manuf</v>
      </c>
      <c r="J102" t="str">
        <f>"\"&amp;D102&amp;E102&amp;F102&amp;C102</f>
        <v>\CEDAWEStageA</v>
      </c>
      <c r="L102" s="19">
        <f>'For Graphics1'!E33</f>
        <v>100.10052301845815</v>
      </c>
    </row>
    <row r="103" spans="1:36" x14ac:dyDescent="0.3">
      <c r="C103" t="s">
        <v>788</v>
      </c>
      <c r="D103" t="str">
        <f>D102</f>
        <v>CED</v>
      </c>
      <c r="E103" t="str">
        <f>E102</f>
        <v>AWE</v>
      </c>
      <c r="F103" t="str">
        <f>F102</f>
        <v>Stage</v>
      </c>
      <c r="G103" s="359">
        <f>L103</f>
        <v>4.6602968533030209</v>
      </c>
      <c r="H103" t="s">
        <v>1769</v>
      </c>
      <c r="I103" t="str">
        <f>"\newcommand{"&amp;J103&amp;"}{"&amp;TEXT(G103,$H$13)&amp;"}%"&amp;H103</f>
        <v>\newcommand{\CEDAWEStageB}{4,7}%instal</v>
      </c>
      <c r="J103" t="str">
        <f>"\"&amp;D103&amp;E103&amp;F103&amp;C103</f>
        <v>\CEDAWEStageB</v>
      </c>
      <c r="L103" s="19">
        <f>'For Graphics1'!E34</f>
        <v>4.6602968533030209</v>
      </c>
    </row>
    <row r="104" spans="1:36" x14ac:dyDescent="0.3">
      <c r="C104" t="s">
        <v>790</v>
      </c>
      <c r="D104" t="str">
        <f>D103</f>
        <v>CED</v>
      </c>
      <c r="E104" t="str">
        <f>E103</f>
        <v>AWE</v>
      </c>
      <c r="F104" t="str">
        <f>F103</f>
        <v>Stage</v>
      </c>
      <c r="G104" s="359">
        <f>L104</f>
        <v>21.618157999532958</v>
      </c>
      <c r="H104" t="s">
        <v>1768</v>
      </c>
      <c r="I104" t="str">
        <f>"\newcommand{"&amp;J104&amp;"}{"&amp;TEXT(G104,$H$13)&amp;"}%"&amp;H104</f>
        <v>\newcommand{\CEDAWEStageC}{21,6}%oenm</v>
      </c>
      <c r="J104" t="str">
        <f>"\"&amp;D104&amp;E104&amp;F104&amp;C104</f>
        <v>\CEDAWEStageC</v>
      </c>
      <c r="L104" s="19">
        <f>'For Graphics1'!E35</f>
        <v>21.618157999532958</v>
      </c>
    </row>
    <row r="105" spans="1:36" x14ac:dyDescent="0.3">
      <c r="C105" t="s">
        <v>1786</v>
      </c>
      <c r="D105" t="str">
        <f>D104</f>
        <v>CED</v>
      </c>
      <c r="E105" t="str">
        <f>E104</f>
        <v>AWE</v>
      </c>
      <c r="F105" t="str">
        <f>F104</f>
        <v>Stage</v>
      </c>
      <c r="G105" s="359">
        <f>L105</f>
        <v>1.0906210155760316</v>
      </c>
      <c r="H105" t="s">
        <v>47</v>
      </c>
      <c r="I105" t="str">
        <f>"\newcommand{"&amp;J105&amp;"}{"&amp;TEXT(G105,$H$13)&amp;"}%"&amp;H105</f>
        <v>\newcommand{\CEDAWEStageD}{1,1}%EOL</v>
      </c>
      <c r="J105" t="str">
        <f>"\"&amp;D105&amp;E105&amp;F105&amp;C105</f>
        <v>\CEDAWEStageD</v>
      </c>
      <c r="L105" s="19">
        <f>'For Graphics1'!E36</f>
        <v>1.0906210155760316</v>
      </c>
      <c r="S105" t="s">
        <v>1765</v>
      </c>
      <c r="U105" t="s">
        <v>1765</v>
      </c>
      <c r="W105" t="s">
        <v>1765</v>
      </c>
      <c r="Y105" t="s">
        <v>1765</v>
      </c>
      <c r="AA105" t="s">
        <v>1765</v>
      </c>
      <c r="AC105" t="s">
        <v>1765</v>
      </c>
      <c r="AE105" t="s">
        <v>1765</v>
      </c>
      <c r="AG105" t="s">
        <v>1765</v>
      </c>
      <c r="AI105" s="334" t="s">
        <v>1764</v>
      </c>
    </row>
    <row r="106" spans="1:36" x14ac:dyDescent="0.3">
      <c r="C106" t="s">
        <v>1784</v>
      </c>
      <c r="D106" t="str">
        <f>D105</f>
        <v>CED</v>
      </c>
      <c r="E106" t="str">
        <f>E105</f>
        <v>AWE</v>
      </c>
      <c r="F106" t="str">
        <f>F105</f>
        <v>Stage</v>
      </c>
      <c r="G106" s="359">
        <f>L106</f>
        <v>127.46959888687016</v>
      </c>
      <c r="H106" t="s">
        <v>55</v>
      </c>
      <c r="I106" t="str">
        <f>"\newcommand{"&amp;J106&amp;"}{"&amp;TEXT(G106,$H$13)&amp;"}%"&amp;H106</f>
        <v>\newcommand{\CEDAWEStageE}{127,5}%total</v>
      </c>
      <c r="J106" t="str">
        <f>"\"&amp;D106&amp;E106&amp;F106&amp;C106</f>
        <v>\CEDAWEStageE</v>
      </c>
      <c r="L106">
        <f>SUM(L102:L105)</f>
        <v>127.46959888687016</v>
      </c>
      <c r="Q106" t="s">
        <v>1140</v>
      </c>
      <c r="S106" t="s">
        <v>1765</v>
      </c>
      <c r="T106" t="str">
        <f>J108</f>
        <v>\GWPAWEStageA</v>
      </c>
      <c r="U106" t="s">
        <v>1765</v>
      </c>
      <c r="V106" t="str">
        <f>J121</f>
        <v>\GWPAWEStagePofAllA</v>
      </c>
      <c r="W106" t="s">
        <v>1765</v>
      </c>
      <c r="X106" t="str">
        <f>J102</f>
        <v>\CEDAWEStageA</v>
      </c>
      <c r="Y106" t="s">
        <v>1765</v>
      </c>
      <c r="Z106" t="str">
        <f>J115</f>
        <v>\CEDAWEStagePofAllA</v>
      </c>
      <c r="AA106" t="s">
        <v>1765</v>
      </c>
      <c r="AB106" t="str">
        <f>J79</f>
        <v>\GWPHAWTStageA</v>
      </c>
      <c r="AC106" t="s">
        <v>1765</v>
      </c>
      <c r="AD106" t="str">
        <f>J91</f>
        <v>\GWPHAWTStagePofAllA</v>
      </c>
      <c r="AE106" t="s">
        <v>1765</v>
      </c>
      <c r="AF106" t="str">
        <f>J73</f>
        <v>\CEDHAWTStageA</v>
      </c>
      <c r="AG106" t="s">
        <v>1765</v>
      </c>
      <c r="AH106" t="str">
        <f>J85</f>
        <v>\CEDHAWTStagePofAllA</v>
      </c>
      <c r="AI106" s="334" t="s">
        <v>1764</v>
      </c>
    </row>
    <row r="107" spans="1:36" x14ac:dyDescent="0.3">
      <c r="Q107" t="s">
        <v>49</v>
      </c>
      <c r="S107" t="s">
        <v>1765</v>
      </c>
      <c r="T107" t="str">
        <f t="shared" ref="T107:T110" si="18">J109</f>
        <v>\GWPAWEStageB</v>
      </c>
      <c r="U107" t="s">
        <v>1765</v>
      </c>
      <c r="V107" t="str">
        <f t="shared" ref="V107:V110" si="19">J122</f>
        <v>\GWPAWEStagePofAllB</v>
      </c>
      <c r="W107" t="s">
        <v>1765</v>
      </c>
      <c r="X107" t="str">
        <f t="shared" ref="X107:X110" si="20">J103</f>
        <v>\CEDAWEStageB</v>
      </c>
      <c r="Y107" t="s">
        <v>1765</v>
      </c>
      <c r="Z107" t="str">
        <f t="shared" ref="Z107:Z110" si="21">J116</f>
        <v>\CEDAWEStagePofAllB</v>
      </c>
      <c r="AA107" t="s">
        <v>1765</v>
      </c>
      <c r="AB107" t="str">
        <f>J80</f>
        <v>\GWPHAWTStageB</v>
      </c>
      <c r="AC107" t="s">
        <v>1765</v>
      </c>
      <c r="AD107" t="str">
        <f>J92</f>
        <v>\GWPHAWTStagePofAllB</v>
      </c>
      <c r="AE107" t="s">
        <v>1765</v>
      </c>
      <c r="AF107" t="str">
        <f>J74</f>
        <v>\CEDHAWTStageB</v>
      </c>
      <c r="AG107" t="s">
        <v>1765</v>
      </c>
      <c r="AH107" t="str">
        <f>J86</f>
        <v>\CEDHAWTStagePofAllB</v>
      </c>
      <c r="AI107" s="334" t="s">
        <v>1764</v>
      </c>
    </row>
    <row r="108" spans="1:36" x14ac:dyDescent="0.3">
      <c r="C108" s="42" t="s">
        <v>720</v>
      </c>
      <c r="D108" s="42" t="s">
        <v>32</v>
      </c>
      <c r="E108" t="str">
        <f>E106</f>
        <v>AWE</v>
      </c>
      <c r="F108" t="str">
        <f>F106</f>
        <v>Stage</v>
      </c>
      <c r="G108" s="359">
        <f>L108</f>
        <v>6.3215972714951443</v>
      </c>
      <c r="H108" t="s">
        <v>783</v>
      </c>
      <c r="I108" t="str">
        <f>"\newcommand{"&amp;J108&amp;"}{"&amp;TEXT(G108,$H$13)&amp;"}%"&amp;H108</f>
        <v>\newcommand{\GWPAWEStageA}{6,3}%manuf</v>
      </c>
      <c r="J108" t="str">
        <f>"\"&amp;D108&amp;E108&amp;F108&amp;C108</f>
        <v>\GWPAWEStageA</v>
      </c>
      <c r="L108" s="19">
        <f>'For Graphics1'!E28</f>
        <v>6.3215972714951443</v>
      </c>
      <c r="Q108" t="s">
        <v>2074</v>
      </c>
      <c r="S108" t="s">
        <v>1765</v>
      </c>
      <c r="T108" t="str">
        <f t="shared" si="18"/>
        <v>\GWPAWEStageC</v>
      </c>
      <c r="U108" t="s">
        <v>1765</v>
      </c>
      <c r="V108" t="str">
        <f t="shared" si="19"/>
        <v>\GWPAWEStagePofAllC</v>
      </c>
      <c r="W108" t="s">
        <v>1765</v>
      </c>
      <c r="X108" t="str">
        <f t="shared" si="20"/>
        <v>\CEDAWEStageC</v>
      </c>
      <c r="Y108" t="s">
        <v>1765</v>
      </c>
      <c r="Z108" t="str">
        <f t="shared" si="21"/>
        <v>\CEDAWEStagePofAllC</v>
      </c>
      <c r="AA108" t="s">
        <v>1765</v>
      </c>
      <c r="AB108" t="str">
        <f>J81</f>
        <v>\GWPHAWTStageC</v>
      </c>
      <c r="AC108" t="s">
        <v>1765</v>
      </c>
      <c r="AD108" t="str">
        <f>J93</f>
        <v>\GWPHAWTStagePofAllC</v>
      </c>
      <c r="AE108" t="s">
        <v>1765</v>
      </c>
      <c r="AF108" t="str">
        <f>J75</f>
        <v>\CEDHAWTStageC</v>
      </c>
      <c r="AG108" t="s">
        <v>1765</v>
      </c>
      <c r="AH108" t="str">
        <f>J87</f>
        <v>\CEDHAWTStagePofAllC</v>
      </c>
      <c r="AI108" s="334" t="s">
        <v>1764</v>
      </c>
    </row>
    <row r="109" spans="1:36" x14ac:dyDescent="0.3">
      <c r="C109" t="s">
        <v>788</v>
      </c>
      <c r="D109" t="str">
        <f t="shared" ref="D109:F112" si="22">D108</f>
        <v>GWP</v>
      </c>
      <c r="E109" t="str">
        <f t="shared" si="22"/>
        <v>AWE</v>
      </c>
      <c r="F109" t="str">
        <f t="shared" si="22"/>
        <v>Stage</v>
      </c>
      <c r="G109" s="359">
        <f>L109</f>
        <v>0.32507135074415039</v>
      </c>
      <c r="H109" t="s">
        <v>1769</v>
      </c>
      <c r="I109" t="str">
        <f>"\newcommand{"&amp;J109&amp;"}{"&amp;TEXT(G109,$H$13)&amp;"}%"&amp;H109</f>
        <v>\newcommand{\GWPAWEStageB}{0,3}%instal</v>
      </c>
      <c r="J109" t="str">
        <f>"\"&amp;D109&amp;E109&amp;F109&amp;C109</f>
        <v>\GWPAWEStageB</v>
      </c>
      <c r="L109" s="19">
        <f>'For Graphics1'!E29</f>
        <v>0.32507135074415039</v>
      </c>
      <c r="Q109" t="s">
        <v>2075</v>
      </c>
      <c r="S109" t="s">
        <v>1765</v>
      </c>
      <c r="T109" t="str">
        <f t="shared" si="18"/>
        <v>\GWPAWEStageD</v>
      </c>
      <c r="U109" t="s">
        <v>1765</v>
      </c>
      <c r="V109" t="str">
        <f t="shared" si="19"/>
        <v>\GWPAWEStagePofAllD</v>
      </c>
      <c r="W109" t="s">
        <v>1765</v>
      </c>
      <c r="X109" t="str">
        <f t="shared" si="20"/>
        <v>\CEDAWEStageD</v>
      </c>
      <c r="Y109" t="s">
        <v>1765</v>
      </c>
      <c r="Z109" t="str">
        <f t="shared" si="21"/>
        <v>\CEDAWEStagePofAllD</v>
      </c>
      <c r="AA109" t="s">
        <v>1765</v>
      </c>
      <c r="AB109" t="str">
        <f>J82</f>
        <v>\GWPHAWTStageD</v>
      </c>
      <c r="AC109" t="s">
        <v>1765</v>
      </c>
      <c r="AD109" t="str">
        <f>J94</f>
        <v>\GWPHAWTStagePofAllD</v>
      </c>
      <c r="AE109" t="s">
        <v>1765</v>
      </c>
      <c r="AF109" t="str">
        <f>J76</f>
        <v>\CEDHAWTStageD</v>
      </c>
      <c r="AG109" t="s">
        <v>1765</v>
      </c>
      <c r="AH109" t="str">
        <f>J88</f>
        <v>\CEDHAWTStagePofAllD</v>
      </c>
      <c r="AI109" s="334" t="s">
        <v>1764</v>
      </c>
      <c r="AJ109" t="s">
        <v>1775</v>
      </c>
    </row>
    <row r="110" spans="1:36" x14ac:dyDescent="0.3">
      <c r="C110" t="s">
        <v>790</v>
      </c>
      <c r="D110" t="str">
        <f t="shared" si="22"/>
        <v>GWP</v>
      </c>
      <c r="E110" t="str">
        <f t="shared" si="22"/>
        <v>AWE</v>
      </c>
      <c r="F110" t="str">
        <f t="shared" si="22"/>
        <v>Stage</v>
      </c>
      <c r="G110" s="359">
        <f>L110</f>
        <v>0.880399361284395</v>
      </c>
      <c r="H110" t="s">
        <v>1768</v>
      </c>
      <c r="I110" t="str">
        <f>"\newcommand{"&amp;J110&amp;"}{"&amp;TEXT(G110,$H$13)&amp;"}%"&amp;H110</f>
        <v>\newcommand{\GWPAWEStageC}{0,9}%oenm</v>
      </c>
      <c r="J110" t="str">
        <f>"\"&amp;D110&amp;E110&amp;F110&amp;C110</f>
        <v>\GWPAWEStageC</v>
      </c>
      <c r="L110" s="19">
        <f>'For Graphics1'!E30</f>
        <v>0.880399361284395</v>
      </c>
      <c r="Q110" t="s">
        <v>191</v>
      </c>
      <c r="S110" t="s">
        <v>1765</v>
      </c>
      <c r="T110" t="str">
        <f t="shared" si="18"/>
        <v>\GWPAWEStageE</v>
      </c>
      <c r="U110" t="s">
        <v>1765</v>
      </c>
      <c r="V110" t="str">
        <f t="shared" si="19"/>
        <v>\GWPAWEStagePofAllE</v>
      </c>
      <c r="W110" t="s">
        <v>1765</v>
      </c>
      <c r="X110" t="str">
        <f t="shared" si="20"/>
        <v>\CEDAWEStageE</v>
      </c>
      <c r="Y110" t="s">
        <v>1765</v>
      </c>
      <c r="Z110" t="str">
        <f t="shared" si="21"/>
        <v>\CEDAWEStagePofAllE</v>
      </c>
      <c r="AA110" t="s">
        <v>1765</v>
      </c>
      <c r="AB110" t="str">
        <f>J83</f>
        <v>\GWPHAWTStageE</v>
      </c>
      <c r="AC110" t="s">
        <v>1765</v>
      </c>
      <c r="AD110" t="str">
        <f>J95</f>
        <v>\GWPHAWTStagePofAllE</v>
      </c>
      <c r="AE110" t="s">
        <v>1765</v>
      </c>
      <c r="AF110" t="str">
        <f>J77</f>
        <v>\CEDHAWTStageE</v>
      </c>
      <c r="AG110" t="s">
        <v>1765</v>
      </c>
      <c r="AH110" t="str">
        <f>J89</f>
        <v>\CEDHAWTStagePofAllE</v>
      </c>
      <c r="AI110" s="334" t="s">
        <v>1764</v>
      </c>
    </row>
    <row r="111" spans="1:36" x14ac:dyDescent="0.3">
      <c r="C111" t="s">
        <v>1786</v>
      </c>
      <c r="D111" t="str">
        <f t="shared" si="22"/>
        <v>GWP</v>
      </c>
      <c r="E111" t="str">
        <f t="shared" si="22"/>
        <v>AWE</v>
      </c>
      <c r="F111" t="str">
        <f t="shared" si="22"/>
        <v>Stage</v>
      </c>
      <c r="G111" s="359">
        <f>L111</f>
        <v>0.27122449952203481</v>
      </c>
      <c r="H111" t="s">
        <v>47</v>
      </c>
      <c r="I111" t="str">
        <f>"\newcommand{"&amp;J111&amp;"}{"&amp;TEXT(G111,$H$13)&amp;"}%"&amp;H111</f>
        <v>\newcommand{\GWPAWEStageD}{0,3}%EOL</v>
      </c>
      <c r="J111" t="str">
        <f>"\"&amp;D111&amp;E111&amp;F111&amp;C111</f>
        <v>\GWPAWEStageD</v>
      </c>
      <c r="L111" s="19">
        <f>'For Graphics1'!E31</f>
        <v>0.27122449952203481</v>
      </c>
    </row>
    <row r="112" spans="1:36" x14ac:dyDescent="0.3">
      <c r="C112" t="s">
        <v>1784</v>
      </c>
      <c r="D112" t="str">
        <f t="shared" si="22"/>
        <v>GWP</v>
      </c>
      <c r="E112" t="str">
        <f t="shared" si="22"/>
        <v>AWE</v>
      </c>
      <c r="F112" t="str">
        <f t="shared" si="22"/>
        <v>Stage</v>
      </c>
      <c r="G112" s="359">
        <f>L112</f>
        <v>7.7982924830457243</v>
      </c>
      <c r="H112" t="s">
        <v>55</v>
      </c>
      <c r="I112" t="str">
        <f>"\newcommand{"&amp;J112&amp;"}{"&amp;TEXT(G112,$H$13)&amp;"}%"&amp;H112</f>
        <v>\newcommand{\GWPAWEStageE}{7,8}%total</v>
      </c>
      <c r="J112" t="str">
        <f>"\"&amp;D112&amp;E112&amp;F112&amp;C112</f>
        <v>\GWPAWEStageE</v>
      </c>
      <c r="L112">
        <f>SUM(L108:L111)</f>
        <v>7.7982924830457243</v>
      </c>
    </row>
    <row r="114" spans="3:12" x14ac:dyDescent="0.3">
      <c r="D114" s="42" t="s">
        <v>1880</v>
      </c>
      <c r="E114" s="42" t="s">
        <v>1172</v>
      </c>
      <c r="F114" s="42" t="s">
        <v>1821</v>
      </c>
      <c r="G114" s="362" t="s">
        <v>1791</v>
      </c>
      <c r="H114" s="42"/>
      <c r="I114" s="42" t="str">
        <f>"%" &amp;F114 &amp;G114 &amp;D114 &amp;G114  &amp;E114</f>
        <v>%Lifecycle stage impacts of.Percentage (%) impacts.AWE</v>
      </c>
      <c r="J114" s="42" t="str">
        <f>"\"&amp;D114&amp;E114&amp;F114</f>
        <v>\Percentage (%) impactsAWELifecycle stage impacts of</v>
      </c>
    </row>
    <row r="115" spans="3:12" x14ac:dyDescent="0.3">
      <c r="C115" s="42" t="s">
        <v>720</v>
      </c>
      <c r="D115" s="42" t="s">
        <v>162</v>
      </c>
      <c r="E115" t="str">
        <f>E101</f>
        <v>AWE</v>
      </c>
      <c r="F115" t="s">
        <v>1819</v>
      </c>
      <c r="G115" s="359">
        <f>L115</f>
        <v>78.528938580325971</v>
      </c>
      <c r="H115" t="s">
        <v>783</v>
      </c>
      <c r="I115" t="str">
        <f>"\newcommand{"&amp;J115&amp;"}{"&amp;TEXT(G115,$H$13)&amp;"}%"&amp;H115</f>
        <v>\newcommand{\CEDAWEStagePofAllA}{78,5}%manuf</v>
      </c>
      <c r="J115" t="str">
        <f>"\"&amp;D115&amp;E115&amp;F115&amp;C115</f>
        <v>\CEDAWEStagePofAllA</v>
      </c>
      <c r="L115">
        <f>100*L102/$L$106</f>
        <v>78.528938580325971</v>
      </c>
    </row>
    <row r="116" spans="3:12" x14ac:dyDescent="0.3">
      <c r="C116" t="s">
        <v>788</v>
      </c>
      <c r="D116" t="str">
        <f t="shared" ref="D116:F119" si="23">D115</f>
        <v>CED</v>
      </c>
      <c r="E116" t="str">
        <f t="shared" si="23"/>
        <v>AWE</v>
      </c>
      <c r="F116" t="str">
        <f t="shared" si="23"/>
        <v>StagePofAll</v>
      </c>
      <c r="G116" s="359">
        <f>L116</f>
        <v>3.6560065254767569</v>
      </c>
      <c r="H116" t="s">
        <v>1769</v>
      </c>
      <c r="I116" t="str">
        <f>"\newcommand{"&amp;J116&amp;"}{"&amp;TEXT(G116,$H$13)&amp;"}%"&amp;H116</f>
        <v>\newcommand{\CEDAWEStagePofAllB}{3,7}%instal</v>
      </c>
      <c r="J116" t="str">
        <f>"\"&amp;D116&amp;E116&amp;F116&amp;C116</f>
        <v>\CEDAWEStagePofAllB</v>
      </c>
      <c r="L116">
        <f>100*L103/$L$106</f>
        <v>3.6560065254767569</v>
      </c>
    </row>
    <row r="117" spans="3:12" x14ac:dyDescent="0.3">
      <c r="C117" t="s">
        <v>790</v>
      </c>
      <c r="D117" t="str">
        <f t="shared" si="23"/>
        <v>CED</v>
      </c>
      <c r="E117" t="str">
        <f t="shared" si="23"/>
        <v>AWE</v>
      </c>
      <c r="F117" t="str">
        <f t="shared" si="23"/>
        <v>StagePofAll</v>
      </c>
      <c r="G117" s="359">
        <f>L117</f>
        <v>16.95946185468048</v>
      </c>
      <c r="H117" t="s">
        <v>1768</v>
      </c>
      <c r="I117" t="str">
        <f>"\newcommand{"&amp;J117&amp;"}{"&amp;TEXT(G117,$H$13)&amp;"}%"&amp;H117</f>
        <v>\newcommand{\CEDAWEStagePofAllC}{17,0}%oenm</v>
      </c>
      <c r="J117" t="str">
        <f>"\"&amp;D117&amp;E117&amp;F117&amp;C117</f>
        <v>\CEDAWEStagePofAllC</v>
      </c>
      <c r="L117">
        <f>100*L104/$L$106</f>
        <v>16.95946185468048</v>
      </c>
    </row>
    <row r="118" spans="3:12" x14ac:dyDescent="0.3">
      <c r="C118" t="s">
        <v>1786</v>
      </c>
      <c r="D118" t="str">
        <f t="shared" si="23"/>
        <v>CED</v>
      </c>
      <c r="E118" t="str">
        <f t="shared" si="23"/>
        <v>AWE</v>
      </c>
      <c r="F118" t="str">
        <f t="shared" si="23"/>
        <v>StagePofAll</v>
      </c>
      <c r="G118" s="359">
        <f>L118</f>
        <v>0.85559303951678922</v>
      </c>
      <c r="H118" t="s">
        <v>47</v>
      </c>
      <c r="I118" t="str">
        <f>"\newcommand{"&amp;J118&amp;"}{"&amp;TEXT(G118,$H$13)&amp;"}%"&amp;H118</f>
        <v>\newcommand{\CEDAWEStagePofAllD}{0,9}%EOL</v>
      </c>
      <c r="J118" t="str">
        <f>"\"&amp;D118&amp;E118&amp;F118&amp;C118</f>
        <v>\CEDAWEStagePofAllD</v>
      </c>
      <c r="L118">
        <f>100*L105/$L$106</f>
        <v>0.85559303951678922</v>
      </c>
    </row>
    <row r="119" spans="3:12" x14ac:dyDescent="0.3">
      <c r="C119" t="s">
        <v>1784</v>
      </c>
      <c r="D119" t="str">
        <f t="shared" si="23"/>
        <v>CED</v>
      </c>
      <c r="E119" t="str">
        <f t="shared" si="23"/>
        <v>AWE</v>
      </c>
      <c r="F119" t="str">
        <f t="shared" si="23"/>
        <v>StagePofAll</v>
      </c>
      <c r="G119" s="359">
        <f>L119</f>
        <v>100</v>
      </c>
      <c r="H119" t="s">
        <v>55</v>
      </c>
      <c r="I119" t="str">
        <f>"\newcommand{"&amp;J119&amp;"}{"&amp;TEXT(G119,$H$13)&amp;"}%"&amp;H119</f>
        <v>\newcommand{\CEDAWEStagePofAllE}{100,0}%total</v>
      </c>
      <c r="J119" t="str">
        <f>"\"&amp;D119&amp;E119&amp;F119&amp;C119</f>
        <v>\CEDAWEStagePofAllE</v>
      </c>
      <c r="L119">
        <f>100*L106/$L$106</f>
        <v>100</v>
      </c>
    </row>
    <row r="121" spans="3:12" x14ac:dyDescent="0.3">
      <c r="C121" s="42" t="s">
        <v>720</v>
      </c>
      <c r="D121" s="42" t="s">
        <v>32</v>
      </c>
      <c r="E121" t="str">
        <f>E119</f>
        <v>AWE</v>
      </c>
      <c r="F121" t="str">
        <f>F119</f>
        <v>StagePofAll</v>
      </c>
      <c r="G121" s="359">
        <f>L121</f>
        <v>81.063864752943488</v>
      </c>
      <c r="H121" t="s">
        <v>783</v>
      </c>
      <c r="I121" t="str">
        <f>"\newcommand{"&amp;J121&amp;"}{"&amp;TEXT(G121,$H$13)&amp;"}%"&amp;H121</f>
        <v>\newcommand{\GWPAWEStagePofAllA}{81,1}%manuf</v>
      </c>
      <c r="J121" t="str">
        <f>"\"&amp;D121&amp;E121&amp;F121&amp;C121</f>
        <v>\GWPAWEStagePofAllA</v>
      </c>
      <c r="L121">
        <f>100*L108/$L$112</f>
        <v>81.063864752943488</v>
      </c>
    </row>
    <row r="122" spans="3:12" x14ac:dyDescent="0.3">
      <c r="C122" t="s">
        <v>788</v>
      </c>
      <c r="D122" t="str">
        <f t="shared" ref="D122:F125" si="24">D121</f>
        <v>GWP</v>
      </c>
      <c r="E122" t="str">
        <f t="shared" si="24"/>
        <v>AWE</v>
      </c>
      <c r="F122" t="str">
        <f t="shared" si="24"/>
        <v>StagePofAll</v>
      </c>
      <c r="G122" s="359">
        <f>L122</f>
        <v>4.1684939549380626</v>
      </c>
      <c r="H122" t="s">
        <v>1769</v>
      </c>
      <c r="I122" t="str">
        <f>"\newcommand{"&amp;J122&amp;"}{"&amp;TEXT(G122,$H$13)&amp;"}%"&amp;H122</f>
        <v>\newcommand{\GWPAWEStagePofAllB}{4,2}%instal</v>
      </c>
      <c r="J122" t="str">
        <f>"\"&amp;D122&amp;E122&amp;F122&amp;C122</f>
        <v>\GWPAWEStagePofAllB</v>
      </c>
      <c r="L122">
        <f>100*L109/$L$112</f>
        <v>4.1684939549380626</v>
      </c>
    </row>
    <row r="123" spans="3:12" x14ac:dyDescent="0.3">
      <c r="C123" t="s">
        <v>790</v>
      </c>
      <c r="D123" t="str">
        <f t="shared" si="24"/>
        <v>GWP</v>
      </c>
      <c r="E123" t="str">
        <f t="shared" si="24"/>
        <v>AWE</v>
      </c>
      <c r="F123" t="str">
        <f t="shared" si="24"/>
        <v>StagePofAll</v>
      </c>
      <c r="G123" s="359">
        <f>L123</f>
        <v>11.289642741644689</v>
      </c>
      <c r="H123" t="s">
        <v>1768</v>
      </c>
      <c r="I123" t="str">
        <f>"\newcommand{"&amp;J123&amp;"}{"&amp;TEXT(G123,$H$13)&amp;"}%"&amp;H123</f>
        <v>\newcommand{\GWPAWEStagePofAllC}{11,3}%oenm</v>
      </c>
      <c r="J123" t="str">
        <f>"\"&amp;D123&amp;E123&amp;F123&amp;C123</f>
        <v>\GWPAWEStagePofAllC</v>
      </c>
      <c r="L123">
        <f>100*L110/$L$112</f>
        <v>11.289642741644689</v>
      </c>
    </row>
    <row r="124" spans="3:12" x14ac:dyDescent="0.3">
      <c r="C124" t="s">
        <v>1786</v>
      </c>
      <c r="D124" t="str">
        <f t="shared" si="24"/>
        <v>GWP</v>
      </c>
      <c r="E124" t="str">
        <f t="shared" si="24"/>
        <v>AWE</v>
      </c>
      <c r="F124" t="str">
        <f t="shared" si="24"/>
        <v>StagePofAll</v>
      </c>
      <c r="G124" s="359">
        <f>L124</f>
        <v>3.4779985504737643</v>
      </c>
      <c r="H124" t="s">
        <v>47</v>
      </c>
      <c r="I124" t="str">
        <f>"\newcommand{"&amp;J124&amp;"}{"&amp;TEXT(G124,$H$13)&amp;"}%"&amp;H124</f>
        <v>\newcommand{\GWPAWEStagePofAllD}{3,5}%EOL</v>
      </c>
      <c r="J124" t="str">
        <f>"\"&amp;D124&amp;E124&amp;F124&amp;C124</f>
        <v>\GWPAWEStagePofAllD</v>
      </c>
      <c r="L124">
        <f>100*L111/$L$112</f>
        <v>3.4779985504737643</v>
      </c>
    </row>
    <row r="125" spans="3:12" x14ac:dyDescent="0.3">
      <c r="C125" t="s">
        <v>1784</v>
      </c>
      <c r="D125" t="str">
        <f t="shared" si="24"/>
        <v>GWP</v>
      </c>
      <c r="E125" t="str">
        <f t="shared" si="24"/>
        <v>AWE</v>
      </c>
      <c r="F125" t="str">
        <f t="shared" si="24"/>
        <v>StagePofAll</v>
      </c>
      <c r="G125" s="359">
        <f>L125</f>
        <v>100</v>
      </c>
      <c r="H125" t="s">
        <v>55</v>
      </c>
      <c r="I125" t="str">
        <f>"\newcommand{"&amp;J125&amp;"}{"&amp;TEXT(G125,$H$13)&amp;"}%"&amp;H125</f>
        <v>\newcommand{\GWPAWEStagePofAllE}{100,0}%total</v>
      </c>
      <c r="J125" t="str">
        <f>"\"&amp;D125&amp;E125&amp;F125&amp;C125</f>
        <v>\GWPAWEStagePofAllE</v>
      </c>
      <c r="L125">
        <f>100*L112/$L$112</f>
        <v>100</v>
      </c>
    </row>
    <row r="134" spans="1:12" x14ac:dyDescent="0.3">
      <c r="A134" s="70"/>
      <c r="B134" s="336"/>
      <c r="C134" s="336" t="s">
        <v>1817</v>
      </c>
      <c r="D134" s="336"/>
      <c r="E134" s="336"/>
      <c r="F134" s="47"/>
      <c r="G134" s="361"/>
      <c r="H134" s="70"/>
      <c r="I134" s="70"/>
      <c r="J134" s="70"/>
      <c r="K134" s="70"/>
    </row>
    <row r="136" spans="1:12" x14ac:dyDescent="0.3">
      <c r="C136" s="42"/>
      <c r="D136" s="42"/>
      <c r="E136" s="42" t="s">
        <v>1172</v>
      </c>
      <c r="F136" s="42" t="s">
        <v>1818</v>
      </c>
      <c r="H136" s="42" t="s">
        <v>1791</v>
      </c>
      <c r="I136" s="42" t="str">
        <f>"%" &amp;F136 &amp;H136 &amp;D136 &amp;H136  &amp;E136</f>
        <v>%Manufacturing impacts..AWE</v>
      </c>
      <c r="J136" s="42" t="str">
        <f>"\"&amp;D136&amp;E136&amp;F136</f>
        <v>\AWEManufacturing impacts</v>
      </c>
      <c r="K136" s="42"/>
    </row>
    <row r="137" spans="1:12" x14ac:dyDescent="0.3">
      <c r="C137" s="42" t="s">
        <v>720</v>
      </c>
      <c r="D137" s="42" t="s">
        <v>162</v>
      </c>
      <c r="E137" t="str">
        <f t="shared" ref="E137:E143" si="25">E136</f>
        <v>AWE</v>
      </c>
      <c r="F137" t="s">
        <v>783</v>
      </c>
      <c r="G137" s="359">
        <f t="shared" ref="G137:G143" si="26">L137</f>
        <v>2.0777024182320742</v>
      </c>
      <c r="H137" t="s">
        <v>1182</v>
      </c>
      <c r="I137" t="str">
        <f t="shared" ref="I137:I143" si="27">"\newcommand{"&amp;J137&amp;"}{"&amp;TEXT(G137,$H$13)&amp;"}%"&amp;H137</f>
        <v>\newcommand{\CEDAWEmanufA}{2,1}%Tether/Tower</v>
      </c>
      <c r="J137" t="str">
        <f t="shared" ref="J137:J143" si="28">"\"&amp;D137&amp;E137&amp;F137&amp;C137</f>
        <v>\CEDAWEmanufA</v>
      </c>
      <c r="L137" s="350">
        <f>AWE!R639</f>
        <v>2.0777024182320742</v>
      </c>
    </row>
    <row r="138" spans="1:12" x14ac:dyDescent="0.3">
      <c r="C138" t="s">
        <v>788</v>
      </c>
      <c r="D138" t="str">
        <f t="shared" ref="D138:D143" si="29">D137</f>
        <v>CED</v>
      </c>
      <c r="E138" t="str">
        <f t="shared" si="25"/>
        <v>AWE</v>
      </c>
      <c r="F138" t="s">
        <v>783</v>
      </c>
      <c r="G138" s="359">
        <f t="shared" si="26"/>
        <v>16.327139786872973</v>
      </c>
      <c r="H138" t="s">
        <v>1183</v>
      </c>
      <c r="I138" t="str">
        <f t="shared" si="27"/>
        <v>\newcommand{\CEDAWEmanufB}{16,3}%Aircraft/Rotor</v>
      </c>
      <c r="J138" t="str">
        <f t="shared" si="28"/>
        <v>\CEDAWEmanufB</v>
      </c>
      <c r="L138" s="350">
        <f>AWE!R640</f>
        <v>16.327139786872973</v>
      </c>
    </row>
    <row r="139" spans="1:12" x14ac:dyDescent="0.3">
      <c r="C139" t="s">
        <v>790</v>
      </c>
      <c r="D139" t="str">
        <f t="shared" si="29"/>
        <v>CED</v>
      </c>
      <c r="E139" t="str">
        <f t="shared" si="25"/>
        <v>AWE</v>
      </c>
      <c r="F139" t="s">
        <v>783</v>
      </c>
      <c r="G139" s="359">
        <f t="shared" si="26"/>
        <v>42.260221460120128</v>
      </c>
      <c r="H139" t="s">
        <v>1763</v>
      </c>
      <c r="I139" t="str">
        <f t="shared" si="27"/>
        <v>\newcommand{\CEDAWEmanufC}{42,3}%PGA/Nacelle</v>
      </c>
      <c r="J139" t="str">
        <f t="shared" si="28"/>
        <v>\CEDAWEmanufC</v>
      </c>
      <c r="L139" s="350">
        <f>AWE!R641</f>
        <v>42.260221460120128</v>
      </c>
    </row>
    <row r="140" spans="1:12" x14ac:dyDescent="0.3">
      <c r="C140" t="s">
        <v>1786</v>
      </c>
      <c r="D140" t="str">
        <f t="shared" si="29"/>
        <v>CED</v>
      </c>
      <c r="E140" t="str">
        <f t="shared" si="25"/>
        <v>AWE</v>
      </c>
      <c r="F140" t="s">
        <v>783</v>
      </c>
      <c r="G140" s="359">
        <f t="shared" si="26"/>
        <v>27.438370182299941</v>
      </c>
      <c r="H140" t="s">
        <v>16</v>
      </c>
      <c r="I140" t="str">
        <f t="shared" si="27"/>
        <v>\newcommand{\CEDAWEmanufD}{27,4}%LLA</v>
      </c>
      <c r="J140" t="str">
        <f t="shared" si="28"/>
        <v>\CEDAWEmanufD</v>
      </c>
      <c r="L140" s="350">
        <f>AWE!R642</f>
        <v>27.438370182299941</v>
      </c>
    </row>
    <row r="141" spans="1:12" x14ac:dyDescent="0.3">
      <c r="C141" t="s">
        <v>1784</v>
      </c>
      <c r="D141" t="str">
        <f t="shared" si="29"/>
        <v>CED</v>
      </c>
      <c r="E141" t="str">
        <f t="shared" si="25"/>
        <v>AWE</v>
      </c>
      <c r="F141" t="s">
        <v>783</v>
      </c>
      <c r="G141" s="359">
        <f t="shared" si="26"/>
        <v>1.5148950391480474</v>
      </c>
      <c r="H141" t="s">
        <v>50</v>
      </c>
      <c r="I141" t="str">
        <f t="shared" si="27"/>
        <v>\newcommand{\CEDAWEmanufE}{1,5}%Foundation</v>
      </c>
      <c r="J141" t="str">
        <f t="shared" si="28"/>
        <v>\CEDAWEmanufE</v>
      </c>
      <c r="L141" s="350">
        <f>AWE!R643</f>
        <v>1.5148950391480474</v>
      </c>
    </row>
    <row r="142" spans="1:12" x14ac:dyDescent="0.3">
      <c r="C142" t="s">
        <v>1783</v>
      </c>
      <c r="D142" t="str">
        <f t="shared" si="29"/>
        <v>CED</v>
      </c>
      <c r="E142" t="str">
        <f t="shared" si="25"/>
        <v>AWE</v>
      </c>
      <c r="F142" t="s">
        <v>783</v>
      </c>
      <c r="G142" s="359">
        <f t="shared" si="26"/>
        <v>10.482194131784958</v>
      </c>
      <c r="H142" t="s">
        <v>139</v>
      </c>
      <c r="I142" t="str">
        <f t="shared" si="27"/>
        <v>\newcommand{\CEDAWEmanufF}{10,5}%BOS</v>
      </c>
      <c r="J142" t="str">
        <f t="shared" si="28"/>
        <v>\CEDAWEmanufF</v>
      </c>
      <c r="L142" s="350">
        <f>AWE!R644</f>
        <v>10.482194131784958</v>
      </c>
    </row>
    <row r="143" spans="1:12" x14ac:dyDescent="0.3">
      <c r="C143" t="s">
        <v>1782</v>
      </c>
      <c r="D143" t="str">
        <f t="shared" si="29"/>
        <v>CED</v>
      </c>
      <c r="E143" t="str">
        <f t="shared" si="25"/>
        <v>AWE</v>
      </c>
      <c r="F143" t="s">
        <v>783</v>
      </c>
      <c r="G143" s="359">
        <f t="shared" si="26"/>
        <v>100.10052301845811</v>
      </c>
      <c r="H143" t="s">
        <v>191</v>
      </c>
      <c r="I143" t="str">
        <f t="shared" si="27"/>
        <v>\newcommand{\CEDAWEmanufG}{100,1}%Total</v>
      </c>
      <c r="J143" t="str">
        <f t="shared" si="28"/>
        <v>\CEDAWEmanufG</v>
      </c>
      <c r="L143" s="350">
        <f>AWE!R645</f>
        <v>100.10052301845811</v>
      </c>
    </row>
    <row r="144" spans="1:12" x14ac:dyDescent="0.3">
      <c r="L144" s="38"/>
    </row>
    <row r="145" spans="3:13" x14ac:dyDescent="0.3">
      <c r="C145" s="42" t="s">
        <v>720</v>
      </c>
      <c r="D145" s="42" t="s">
        <v>32</v>
      </c>
      <c r="E145" t="str">
        <f>E143</f>
        <v>AWE</v>
      </c>
      <c r="F145" t="s">
        <v>783</v>
      </c>
      <c r="G145" s="359">
        <f t="shared" ref="G145:G151" si="30">L145</f>
        <v>6.4194436116937009E-2</v>
      </c>
      <c r="H145" t="s">
        <v>1182</v>
      </c>
      <c r="I145" t="str">
        <f t="shared" ref="I145:I151" si="31">"\newcommand{"&amp;J145&amp;"}{"&amp;TEXT(G145,$H$13)&amp;"}%"&amp;H145</f>
        <v>\newcommand{\GWPAWEmanufA}{0,1}%Tether/Tower</v>
      </c>
      <c r="J145" t="str">
        <f t="shared" ref="J145:J151" si="32">"\"&amp;D145&amp;E145&amp;F145&amp;C145</f>
        <v>\GWPAWEmanufA</v>
      </c>
      <c r="L145" s="350">
        <f>AWE!Q639</f>
        <v>6.4194436116937009E-2</v>
      </c>
    </row>
    <row r="146" spans="3:13" x14ac:dyDescent="0.3">
      <c r="C146" t="s">
        <v>788</v>
      </c>
      <c r="D146" t="str">
        <f t="shared" ref="D146:E151" si="33">D145</f>
        <v>GWP</v>
      </c>
      <c r="E146" t="str">
        <f t="shared" si="33"/>
        <v>AWE</v>
      </c>
      <c r="F146" t="s">
        <v>783</v>
      </c>
      <c r="G146" s="359">
        <f t="shared" si="30"/>
        <v>0.89223475341296021</v>
      </c>
      <c r="H146" t="s">
        <v>1183</v>
      </c>
      <c r="I146" t="str">
        <f t="shared" si="31"/>
        <v>\newcommand{\GWPAWEmanufB}{0,9}%Aircraft/Rotor</v>
      </c>
      <c r="J146" t="str">
        <f t="shared" si="32"/>
        <v>\GWPAWEmanufB</v>
      </c>
      <c r="L146" s="350">
        <f>AWE!Q640</f>
        <v>0.89223475341296021</v>
      </c>
    </row>
    <row r="147" spans="3:13" x14ac:dyDescent="0.3">
      <c r="C147" t="s">
        <v>790</v>
      </c>
      <c r="D147" t="str">
        <f t="shared" si="33"/>
        <v>GWP</v>
      </c>
      <c r="E147" t="str">
        <f t="shared" si="33"/>
        <v>AWE</v>
      </c>
      <c r="F147" t="s">
        <v>783</v>
      </c>
      <c r="G147" s="359">
        <f t="shared" si="30"/>
        <v>2.6537687263994019</v>
      </c>
      <c r="H147" t="s">
        <v>1763</v>
      </c>
      <c r="I147" t="str">
        <f t="shared" si="31"/>
        <v>\newcommand{\GWPAWEmanufC}{2,7}%PGA/Nacelle</v>
      </c>
      <c r="J147" t="str">
        <f t="shared" si="32"/>
        <v>\GWPAWEmanufC</v>
      </c>
      <c r="L147" s="350">
        <f>AWE!Q641</f>
        <v>2.6537687263994019</v>
      </c>
    </row>
    <row r="148" spans="3:13" x14ac:dyDescent="0.3">
      <c r="C148" t="s">
        <v>1786</v>
      </c>
      <c r="D148" t="str">
        <f t="shared" si="33"/>
        <v>GWP</v>
      </c>
      <c r="E148" t="str">
        <f t="shared" si="33"/>
        <v>AWE</v>
      </c>
      <c r="F148" t="s">
        <v>783</v>
      </c>
      <c r="G148" s="359">
        <f t="shared" si="30"/>
        <v>1.8922335259316396</v>
      </c>
      <c r="H148" t="s">
        <v>16</v>
      </c>
      <c r="I148" t="str">
        <f t="shared" si="31"/>
        <v>\newcommand{\GWPAWEmanufD}{1,9}%LLA</v>
      </c>
      <c r="J148" t="str">
        <f t="shared" si="32"/>
        <v>\GWPAWEmanufD</v>
      </c>
      <c r="L148" s="350">
        <f>AWE!Q642</f>
        <v>1.8922335259316396</v>
      </c>
    </row>
    <row r="149" spans="3:13" x14ac:dyDescent="0.3">
      <c r="C149" t="s">
        <v>1784</v>
      </c>
      <c r="D149" t="str">
        <f t="shared" si="33"/>
        <v>GWP</v>
      </c>
      <c r="E149" t="str">
        <f t="shared" si="33"/>
        <v>AWE</v>
      </c>
      <c r="F149" t="s">
        <v>783</v>
      </c>
      <c r="G149" s="359">
        <f t="shared" si="30"/>
        <v>0.16241719355147477</v>
      </c>
      <c r="H149" t="s">
        <v>50</v>
      </c>
      <c r="I149" t="str">
        <f t="shared" si="31"/>
        <v>\newcommand{\GWPAWEmanufE}{0,2}%Foundation</v>
      </c>
      <c r="J149" t="str">
        <f t="shared" si="32"/>
        <v>\GWPAWEmanufE</v>
      </c>
      <c r="L149" s="350">
        <f>AWE!Q643</f>
        <v>0.16241719355147477</v>
      </c>
    </row>
    <row r="150" spans="3:13" x14ac:dyDescent="0.3">
      <c r="C150" t="s">
        <v>1783</v>
      </c>
      <c r="D150" t="str">
        <f t="shared" si="33"/>
        <v>GWP</v>
      </c>
      <c r="E150" t="str">
        <f t="shared" si="33"/>
        <v>AWE</v>
      </c>
      <c r="F150" t="s">
        <v>783</v>
      </c>
      <c r="G150" s="359">
        <f t="shared" si="30"/>
        <v>0.65674863608273137</v>
      </c>
      <c r="H150" t="s">
        <v>139</v>
      </c>
      <c r="I150" t="str">
        <f t="shared" si="31"/>
        <v>\newcommand{\GWPAWEmanufF}{0,7}%BOS</v>
      </c>
      <c r="J150" t="str">
        <f t="shared" si="32"/>
        <v>\GWPAWEmanufF</v>
      </c>
      <c r="L150" s="350">
        <f>AWE!Q644</f>
        <v>0.65674863608273137</v>
      </c>
    </row>
    <row r="151" spans="3:13" x14ac:dyDescent="0.3">
      <c r="C151" t="s">
        <v>1782</v>
      </c>
      <c r="D151" t="str">
        <f t="shared" si="33"/>
        <v>GWP</v>
      </c>
      <c r="E151" t="str">
        <f t="shared" si="33"/>
        <v>AWE</v>
      </c>
      <c r="F151" t="s">
        <v>783</v>
      </c>
      <c r="G151" s="359">
        <f t="shared" si="30"/>
        <v>6.3215972714951443</v>
      </c>
      <c r="H151" t="s">
        <v>191</v>
      </c>
      <c r="I151" t="str">
        <f t="shared" si="31"/>
        <v>\newcommand{\GWPAWEmanufG}{6,3}%Total</v>
      </c>
      <c r="J151" t="str">
        <f t="shared" si="32"/>
        <v>\GWPAWEmanufG</v>
      </c>
      <c r="L151" s="350">
        <f>AWE!Q645</f>
        <v>6.3215972714951443</v>
      </c>
    </row>
    <row r="153" spans="3:13" x14ac:dyDescent="0.3">
      <c r="C153" s="42"/>
      <c r="D153" s="42"/>
      <c r="E153" s="42" t="str">
        <f>E136</f>
        <v>AWE</v>
      </c>
      <c r="F153" s="42" t="s">
        <v>1816</v>
      </c>
      <c r="H153" s="42" t="s">
        <v>1791</v>
      </c>
      <c r="I153" s="42" t="str">
        <f>"%" &amp;F153 &amp;H153 &amp;D153 &amp;H153  &amp;E153</f>
        <v>%Percentages of Manufacturing impacts over all impacts..AWE</v>
      </c>
      <c r="J153" s="42" t="str">
        <f>"\"&amp;D153&amp;E153&amp;F153</f>
        <v>\AWEPercentages of Manufacturing impacts over all impacts</v>
      </c>
      <c r="K153" s="42"/>
      <c r="M153">
        <f>G106</f>
        <v>127.46959888687016</v>
      </c>
    </row>
    <row r="154" spans="3:13" x14ac:dyDescent="0.3">
      <c r="C154" s="42" t="s">
        <v>720</v>
      </c>
      <c r="D154" s="42" t="s">
        <v>162</v>
      </c>
      <c r="E154" t="str">
        <f t="shared" ref="E154:E160" si="34">E153</f>
        <v>AWE</v>
      </c>
      <c r="F154" t="s">
        <v>1815</v>
      </c>
      <c r="G154" s="359">
        <f t="shared" ref="G154:G160" si="35">L154</f>
        <v>1.6299591717363482</v>
      </c>
      <c r="H154" t="s">
        <v>1182</v>
      </c>
      <c r="I154" t="str">
        <f t="shared" ref="I154:I160" si="36">"\newcommand{"&amp;J154&amp;"}{"&amp;TEXT(G154,$H$13)&amp;"}%"&amp;H154</f>
        <v>\newcommand{\CEDAWEmanufPofAllA}{1,6}%Tether/Tower</v>
      </c>
      <c r="J154" t="str">
        <f t="shared" ref="J154:J160" si="37">"\"&amp;D154&amp;E154&amp;F154&amp;C154</f>
        <v>\CEDAWEmanufPofAllA</v>
      </c>
      <c r="L154" s="350">
        <f t="shared" ref="L154:L160" si="38">100*L137/$M$153</f>
        <v>1.6299591717363482</v>
      </c>
    </row>
    <row r="155" spans="3:13" x14ac:dyDescent="0.3">
      <c r="C155" t="s">
        <v>788</v>
      </c>
      <c r="D155" t="str">
        <f t="shared" ref="D155:D160" si="39">D154</f>
        <v>CED</v>
      </c>
      <c r="E155" t="str">
        <f t="shared" si="34"/>
        <v>AWE</v>
      </c>
      <c r="F155" t="str">
        <f t="shared" ref="F155:F160" si="40">F154</f>
        <v>manufPofAll</v>
      </c>
      <c r="G155" s="359">
        <f t="shared" si="35"/>
        <v>12.808653929603546</v>
      </c>
      <c r="H155" t="s">
        <v>1183</v>
      </c>
      <c r="I155" t="str">
        <f t="shared" si="36"/>
        <v>\newcommand{\CEDAWEmanufPofAllB}{12,8}%Aircraft/Rotor</v>
      </c>
      <c r="J155" t="str">
        <f t="shared" si="37"/>
        <v>\CEDAWEmanufPofAllB</v>
      </c>
      <c r="L155" s="350">
        <f t="shared" si="38"/>
        <v>12.808653929603546</v>
      </c>
    </row>
    <row r="156" spans="3:13" x14ac:dyDescent="0.3">
      <c r="C156" t="s">
        <v>790</v>
      </c>
      <c r="D156" t="str">
        <f t="shared" si="39"/>
        <v>CED</v>
      </c>
      <c r="E156" t="str">
        <f t="shared" si="34"/>
        <v>AWE</v>
      </c>
      <c r="F156" t="str">
        <f t="shared" si="40"/>
        <v>manufPofAll</v>
      </c>
      <c r="G156" s="359">
        <f t="shared" si="35"/>
        <v>33.153176780313139</v>
      </c>
      <c r="H156" t="s">
        <v>1763</v>
      </c>
      <c r="I156" t="str">
        <f t="shared" si="36"/>
        <v>\newcommand{\CEDAWEmanufPofAllC}{33,2}%PGA/Nacelle</v>
      </c>
      <c r="J156" t="str">
        <f t="shared" si="37"/>
        <v>\CEDAWEmanufPofAllC</v>
      </c>
      <c r="L156" s="350">
        <f t="shared" si="38"/>
        <v>33.153176780313139</v>
      </c>
    </row>
    <row r="157" spans="3:13" x14ac:dyDescent="0.3">
      <c r="C157" t="s">
        <v>1786</v>
      </c>
      <c r="D157" t="str">
        <f t="shared" si="39"/>
        <v>CED</v>
      </c>
      <c r="E157" t="str">
        <f t="shared" si="34"/>
        <v>AWE</v>
      </c>
      <c r="F157" t="str">
        <f t="shared" si="40"/>
        <v>manufPofAll</v>
      </c>
      <c r="G157" s="359">
        <f t="shared" si="35"/>
        <v>21.525422863102925</v>
      </c>
      <c r="H157" t="s">
        <v>16</v>
      </c>
      <c r="I157" t="str">
        <f t="shared" si="36"/>
        <v>\newcommand{\CEDAWEmanufPofAllD}{21,5}%LLA</v>
      </c>
      <c r="J157" t="str">
        <f t="shared" si="37"/>
        <v>\CEDAWEmanufPofAllD</v>
      </c>
      <c r="L157" s="350">
        <f t="shared" si="38"/>
        <v>21.525422863102925</v>
      </c>
    </row>
    <row r="158" spans="3:13" x14ac:dyDescent="0.3">
      <c r="C158" t="s">
        <v>1784</v>
      </c>
      <c r="D158" t="str">
        <f t="shared" si="39"/>
        <v>CED</v>
      </c>
      <c r="E158" t="str">
        <f t="shared" si="34"/>
        <v>AWE</v>
      </c>
      <c r="F158" t="str">
        <f t="shared" si="40"/>
        <v>manufPofAll</v>
      </c>
      <c r="G158" s="359">
        <f t="shared" si="35"/>
        <v>1.1884363427647746</v>
      </c>
      <c r="H158" t="s">
        <v>50</v>
      </c>
      <c r="I158" t="str">
        <f t="shared" si="36"/>
        <v>\newcommand{\CEDAWEmanufPofAllE}{1,2}%Foundation</v>
      </c>
      <c r="J158" t="str">
        <f t="shared" si="37"/>
        <v>\CEDAWEmanufPofAllE</v>
      </c>
      <c r="L158" s="350">
        <f t="shared" si="38"/>
        <v>1.1884363427647746</v>
      </c>
    </row>
    <row r="159" spans="3:13" x14ac:dyDescent="0.3">
      <c r="C159" t="s">
        <v>1783</v>
      </c>
      <c r="D159" t="str">
        <f t="shared" si="39"/>
        <v>CED</v>
      </c>
      <c r="E159" t="str">
        <f t="shared" si="34"/>
        <v>AWE</v>
      </c>
      <c r="F159" t="str">
        <f t="shared" si="40"/>
        <v>manufPofAll</v>
      </c>
      <c r="G159" s="359">
        <f t="shared" si="35"/>
        <v>8.2232894928052236</v>
      </c>
      <c r="H159" t="s">
        <v>139</v>
      </c>
      <c r="I159" t="str">
        <f t="shared" si="36"/>
        <v>\newcommand{\CEDAWEmanufPofAllF}{8,2}%BOS</v>
      </c>
      <c r="J159" t="str">
        <f t="shared" si="37"/>
        <v>\CEDAWEmanufPofAllF</v>
      </c>
      <c r="L159" s="350">
        <f t="shared" si="38"/>
        <v>8.2232894928052236</v>
      </c>
    </row>
    <row r="160" spans="3:13" x14ac:dyDescent="0.3">
      <c r="C160" t="s">
        <v>1782</v>
      </c>
      <c r="D160" t="str">
        <f t="shared" si="39"/>
        <v>CED</v>
      </c>
      <c r="E160" t="str">
        <f t="shared" si="34"/>
        <v>AWE</v>
      </c>
      <c r="F160" t="str">
        <f t="shared" si="40"/>
        <v>manufPofAll</v>
      </c>
      <c r="G160" s="359">
        <f t="shared" si="35"/>
        <v>78.528938580325928</v>
      </c>
      <c r="H160" t="s">
        <v>191</v>
      </c>
      <c r="I160" t="str">
        <f t="shared" si="36"/>
        <v>\newcommand{\CEDAWEmanufPofAllG}{78,5}%Total</v>
      </c>
      <c r="J160" t="str">
        <f t="shared" si="37"/>
        <v>\CEDAWEmanufPofAllG</v>
      </c>
      <c r="L160" s="350">
        <f t="shared" si="38"/>
        <v>78.528938580325928</v>
      </c>
    </row>
    <row r="161" spans="3:13" x14ac:dyDescent="0.3">
      <c r="M161">
        <f>G112</f>
        <v>7.7982924830457243</v>
      </c>
    </row>
    <row r="162" spans="3:13" x14ac:dyDescent="0.3">
      <c r="C162" s="42" t="s">
        <v>720</v>
      </c>
      <c r="D162" s="42" t="s">
        <v>32</v>
      </c>
      <c r="E162" t="str">
        <f>E160</f>
        <v>AWE</v>
      </c>
      <c r="F162" t="s">
        <v>1815</v>
      </c>
      <c r="G162" s="359">
        <f t="shared" ref="G162:G168" si="41">L162</f>
        <v>0.82318579684594029</v>
      </c>
      <c r="H162" t="s">
        <v>1182</v>
      </c>
      <c r="I162" t="str">
        <f t="shared" ref="I162:I168" si="42">"\newcommand{"&amp;J162&amp;"}{"&amp;TEXT(G162,$H$13)&amp;"}%"&amp;H162</f>
        <v>\newcommand{\GWPAWEmanufPofAllA}{0,8}%Tether/Tower</v>
      </c>
      <c r="J162" t="str">
        <f t="shared" ref="J162:J168" si="43">"\"&amp;D162&amp;E162&amp;F162&amp;C162</f>
        <v>\GWPAWEmanufPofAllA</v>
      </c>
      <c r="L162" s="350">
        <f t="shared" ref="L162:L168" si="44">100*L145/$M$161</f>
        <v>0.82318579684594029</v>
      </c>
    </row>
    <row r="163" spans="3:13" x14ac:dyDescent="0.3">
      <c r="C163" t="s">
        <v>788</v>
      </c>
      <c r="D163" t="str">
        <f t="shared" ref="D163:F168" si="45">D162</f>
        <v>GWP</v>
      </c>
      <c r="E163" t="str">
        <f t="shared" si="45"/>
        <v>AWE</v>
      </c>
      <c r="F163" t="str">
        <f t="shared" si="45"/>
        <v>manufPofAll</v>
      </c>
      <c r="G163" s="359">
        <f t="shared" si="41"/>
        <v>11.441411762289869</v>
      </c>
      <c r="H163" t="s">
        <v>1183</v>
      </c>
      <c r="I163" t="str">
        <f t="shared" si="42"/>
        <v>\newcommand{\GWPAWEmanufPofAllB}{11,4}%Aircraft/Rotor</v>
      </c>
      <c r="J163" t="str">
        <f t="shared" si="43"/>
        <v>\GWPAWEmanufPofAllB</v>
      </c>
      <c r="L163" s="350">
        <f t="shared" si="44"/>
        <v>11.441411762289869</v>
      </c>
    </row>
    <row r="164" spans="3:13" x14ac:dyDescent="0.3">
      <c r="C164" t="s">
        <v>790</v>
      </c>
      <c r="D164" t="str">
        <f t="shared" si="45"/>
        <v>GWP</v>
      </c>
      <c r="E164" t="str">
        <f t="shared" si="45"/>
        <v>AWE</v>
      </c>
      <c r="F164" t="str">
        <f t="shared" si="45"/>
        <v>manufPofAll</v>
      </c>
      <c r="G164" s="359">
        <f t="shared" si="41"/>
        <v>34.030125596968354</v>
      </c>
      <c r="H164" t="s">
        <v>1763</v>
      </c>
      <c r="I164" t="str">
        <f t="shared" si="42"/>
        <v>\newcommand{\GWPAWEmanufPofAllC}{34,0}%PGA/Nacelle</v>
      </c>
      <c r="J164" t="str">
        <f t="shared" si="43"/>
        <v>\GWPAWEmanufPofAllC</v>
      </c>
      <c r="L164" s="350">
        <f t="shared" si="44"/>
        <v>34.030125596968354</v>
      </c>
    </row>
    <row r="165" spans="3:13" x14ac:dyDescent="0.3">
      <c r="C165" t="s">
        <v>1786</v>
      </c>
      <c r="D165" t="str">
        <f t="shared" si="45"/>
        <v>GWP</v>
      </c>
      <c r="E165" t="str">
        <f t="shared" si="45"/>
        <v>AWE</v>
      </c>
      <c r="F165" t="str">
        <f t="shared" si="45"/>
        <v>manufPofAll</v>
      </c>
      <c r="G165" s="359">
        <f t="shared" si="41"/>
        <v>24.264716026560254</v>
      </c>
      <c r="H165" t="s">
        <v>16</v>
      </c>
      <c r="I165" t="str">
        <f t="shared" si="42"/>
        <v>\newcommand{\GWPAWEmanufPofAllD}{24,3}%LLA</v>
      </c>
      <c r="J165" t="str">
        <f t="shared" si="43"/>
        <v>\GWPAWEmanufPofAllD</v>
      </c>
      <c r="L165" s="350">
        <f t="shared" si="44"/>
        <v>24.264716026560254</v>
      </c>
    </row>
    <row r="166" spans="3:13" x14ac:dyDescent="0.3">
      <c r="C166" t="s">
        <v>1784</v>
      </c>
      <c r="D166" t="str">
        <f t="shared" si="45"/>
        <v>GWP</v>
      </c>
      <c r="E166" t="str">
        <f t="shared" si="45"/>
        <v>AWE</v>
      </c>
      <c r="F166" t="str">
        <f t="shared" si="45"/>
        <v>manufPofAll</v>
      </c>
      <c r="G166" s="359">
        <f t="shared" si="41"/>
        <v>2.0827276471687379</v>
      </c>
      <c r="H166" t="s">
        <v>50</v>
      </c>
      <c r="I166" t="str">
        <f t="shared" si="42"/>
        <v>\newcommand{\GWPAWEmanufPofAllE}{2,1}%Foundation</v>
      </c>
      <c r="J166" t="str">
        <f t="shared" si="43"/>
        <v>\GWPAWEmanufPofAllE</v>
      </c>
      <c r="L166" s="350">
        <f t="shared" si="44"/>
        <v>2.0827276471687379</v>
      </c>
    </row>
    <row r="167" spans="3:13" x14ac:dyDescent="0.3">
      <c r="C167" t="s">
        <v>1783</v>
      </c>
      <c r="D167" t="str">
        <f t="shared" si="45"/>
        <v>GWP</v>
      </c>
      <c r="E167" t="str">
        <f t="shared" si="45"/>
        <v>AWE</v>
      </c>
      <c r="F167" t="str">
        <f t="shared" si="45"/>
        <v>manufPofAll</v>
      </c>
      <c r="G167" s="359">
        <f t="shared" si="41"/>
        <v>8.4216979231103384</v>
      </c>
      <c r="H167" t="s">
        <v>139</v>
      </c>
      <c r="I167" t="str">
        <f t="shared" si="42"/>
        <v>\newcommand{\GWPAWEmanufPofAllF}{8,4}%BOS</v>
      </c>
      <c r="J167" t="str">
        <f t="shared" si="43"/>
        <v>\GWPAWEmanufPofAllF</v>
      </c>
      <c r="L167" s="350">
        <f t="shared" si="44"/>
        <v>8.4216979231103384</v>
      </c>
    </row>
    <row r="168" spans="3:13" x14ac:dyDescent="0.3">
      <c r="C168" t="s">
        <v>1782</v>
      </c>
      <c r="D168" t="str">
        <f t="shared" si="45"/>
        <v>GWP</v>
      </c>
      <c r="E168" t="str">
        <f t="shared" si="45"/>
        <v>AWE</v>
      </c>
      <c r="F168" t="str">
        <f t="shared" si="45"/>
        <v>manufPofAll</v>
      </c>
      <c r="G168" s="359">
        <f t="shared" si="41"/>
        <v>81.063864752943488</v>
      </c>
      <c r="H168" t="s">
        <v>191</v>
      </c>
      <c r="I168" t="str">
        <f t="shared" si="42"/>
        <v>\newcommand{\GWPAWEmanufPofAllG}{81,1}%Total</v>
      </c>
      <c r="J168" t="str">
        <f t="shared" si="43"/>
        <v>\GWPAWEmanufPofAllG</v>
      </c>
      <c r="L168" s="350">
        <f t="shared" si="44"/>
        <v>81.063864752943488</v>
      </c>
    </row>
    <row r="170" spans="3:13" x14ac:dyDescent="0.3">
      <c r="C170" s="42"/>
      <c r="D170" s="42"/>
      <c r="E170" s="42" t="str">
        <f>E153</f>
        <v>AWE</v>
      </c>
      <c r="F170" s="42" t="s">
        <v>1814</v>
      </c>
      <c r="H170" s="42" t="s">
        <v>1791</v>
      </c>
      <c r="I170" s="42" t="str">
        <f>"%" &amp;F170 &amp;H170 &amp;D170 &amp;H170  &amp;E170</f>
        <v>%Percentages of impacts within manufacturing..AWE</v>
      </c>
      <c r="J170" s="42" t="str">
        <f>"\"&amp;D170&amp;E170&amp;F170</f>
        <v>\AWEPercentages of impacts within manufacturing</v>
      </c>
      <c r="K170" s="42"/>
      <c r="M170">
        <f>G143</f>
        <v>100.10052301845811</v>
      </c>
    </row>
    <row r="171" spans="3:13" x14ac:dyDescent="0.3">
      <c r="C171" s="42" t="s">
        <v>720</v>
      </c>
      <c r="D171" s="42" t="s">
        <v>162</v>
      </c>
      <c r="E171" t="str">
        <f t="shared" ref="E171:E177" si="46">E170</f>
        <v>AWE</v>
      </c>
      <c r="F171" t="s">
        <v>1813</v>
      </c>
      <c r="G171" s="359">
        <f t="shared" ref="G171:G177" si="47">L171</f>
        <v>2.0756159464311237</v>
      </c>
      <c r="H171" t="s">
        <v>1182</v>
      </c>
      <c r="I171" t="str">
        <f t="shared" ref="I171:I177" si="48">"\newcommand{"&amp;J171&amp;"}{"&amp;TEXT(G171,$H$13)&amp;"}%"&amp;H171</f>
        <v>\newcommand{\CEDAWEmanufPofManA}{2,1}%Tether/Tower</v>
      </c>
      <c r="J171" t="str">
        <f t="shared" ref="J171:J177" si="49">"\"&amp;D171&amp;E171&amp;F171&amp;C171</f>
        <v>\CEDAWEmanufPofManA</v>
      </c>
      <c r="L171" s="350">
        <f t="shared" ref="L171:L177" si="50">100*L137/$M$170</f>
        <v>2.0756159464311237</v>
      </c>
    </row>
    <row r="172" spans="3:13" x14ac:dyDescent="0.3">
      <c r="C172" t="s">
        <v>788</v>
      </c>
      <c r="D172" t="str">
        <f t="shared" ref="D172:D177" si="51">D171</f>
        <v>CED</v>
      </c>
      <c r="E172" t="str">
        <f t="shared" si="46"/>
        <v>AWE</v>
      </c>
      <c r="F172" t="str">
        <f t="shared" ref="F172:F177" si="52">F171</f>
        <v>manufPofMan</v>
      </c>
      <c r="G172" s="359">
        <f t="shared" si="47"/>
        <v>16.310743734937645</v>
      </c>
      <c r="H172" t="s">
        <v>1183</v>
      </c>
      <c r="I172" t="str">
        <f t="shared" si="48"/>
        <v>\newcommand{\CEDAWEmanufPofManB}{16,3}%Aircraft/Rotor</v>
      </c>
      <c r="J172" t="str">
        <f t="shared" si="49"/>
        <v>\CEDAWEmanufPofManB</v>
      </c>
      <c r="L172" s="350">
        <f t="shared" si="50"/>
        <v>16.310743734937645</v>
      </c>
    </row>
    <row r="173" spans="3:13" x14ac:dyDescent="0.3">
      <c r="C173" t="s">
        <v>790</v>
      </c>
      <c r="D173" t="str">
        <f t="shared" si="51"/>
        <v>CED</v>
      </c>
      <c r="E173" t="str">
        <f t="shared" si="46"/>
        <v>AWE</v>
      </c>
      <c r="F173" t="str">
        <f t="shared" si="52"/>
        <v>manufPofMan</v>
      </c>
      <c r="G173" s="359">
        <f t="shared" si="47"/>
        <v>42.217782870452659</v>
      </c>
      <c r="H173" t="s">
        <v>1763</v>
      </c>
      <c r="I173" t="str">
        <f t="shared" si="48"/>
        <v>\newcommand{\CEDAWEmanufPofManC}{42,2}%PGA/Nacelle</v>
      </c>
      <c r="J173" t="str">
        <f t="shared" si="49"/>
        <v>\CEDAWEmanufPofManC</v>
      </c>
      <c r="L173" s="350">
        <f t="shared" si="50"/>
        <v>42.217782870452659</v>
      </c>
    </row>
    <row r="174" spans="3:13" x14ac:dyDescent="0.3">
      <c r="C174" t="s">
        <v>1786</v>
      </c>
      <c r="D174" t="str">
        <f t="shared" si="51"/>
        <v>CED</v>
      </c>
      <c r="E174" t="str">
        <f t="shared" si="46"/>
        <v>AWE</v>
      </c>
      <c r="F174" t="str">
        <f t="shared" si="52"/>
        <v>manufPofMan</v>
      </c>
      <c r="G174" s="359">
        <f t="shared" si="47"/>
        <v>27.41081600267006</v>
      </c>
      <c r="H174" t="s">
        <v>16</v>
      </c>
      <c r="I174" t="str">
        <f t="shared" si="48"/>
        <v>\newcommand{\CEDAWEmanufPofManD}{27,4}%LLA</v>
      </c>
      <c r="J174" t="str">
        <f t="shared" si="49"/>
        <v>\CEDAWEmanufPofManD</v>
      </c>
      <c r="L174" s="350">
        <f t="shared" si="50"/>
        <v>27.41081600267006</v>
      </c>
    </row>
    <row r="175" spans="3:13" x14ac:dyDescent="0.3">
      <c r="C175" t="s">
        <v>1784</v>
      </c>
      <c r="D175" t="str">
        <f t="shared" si="51"/>
        <v>CED</v>
      </c>
      <c r="E175" t="str">
        <f t="shared" si="46"/>
        <v>AWE</v>
      </c>
      <c r="F175" t="str">
        <f t="shared" si="52"/>
        <v>manufPofMan</v>
      </c>
      <c r="G175" s="359">
        <f t="shared" si="47"/>
        <v>1.51337375017382</v>
      </c>
      <c r="H175" t="s">
        <v>50</v>
      </c>
      <c r="I175" t="str">
        <f t="shared" si="48"/>
        <v>\newcommand{\CEDAWEmanufPofManE}{1,5}%Foundation</v>
      </c>
      <c r="J175" t="str">
        <f t="shared" si="49"/>
        <v>\CEDAWEmanufPofManE</v>
      </c>
      <c r="L175" s="350">
        <f t="shared" si="50"/>
        <v>1.51337375017382</v>
      </c>
    </row>
    <row r="176" spans="3:13" x14ac:dyDescent="0.3">
      <c r="C176" t="s">
        <v>1783</v>
      </c>
      <c r="D176" t="str">
        <f t="shared" si="51"/>
        <v>CED</v>
      </c>
      <c r="E176" t="str">
        <f t="shared" si="46"/>
        <v>AWE</v>
      </c>
      <c r="F176" t="str">
        <f t="shared" si="52"/>
        <v>manufPofMan</v>
      </c>
      <c r="G176" s="359">
        <f t="shared" si="47"/>
        <v>10.471667695334705</v>
      </c>
      <c r="H176" t="s">
        <v>139</v>
      </c>
      <c r="I176" t="str">
        <f t="shared" si="48"/>
        <v>\newcommand{\CEDAWEmanufPofManF}{10,5}%BOS</v>
      </c>
      <c r="J176" t="str">
        <f t="shared" si="49"/>
        <v>\CEDAWEmanufPofManF</v>
      </c>
      <c r="L176" s="350">
        <f t="shared" si="50"/>
        <v>10.471667695334705</v>
      </c>
    </row>
    <row r="177" spans="1:13" x14ac:dyDescent="0.3">
      <c r="C177" t="s">
        <v>1782</v>
      </c>
      <c r="D177" t="str">
        <f t="shared" si="51"/>
        <v>CED</v>
      </c>
      <c r="E177" t="str">
        <f t="shared" si="46"/>
        <v>AWE</v>
      </c>
      <c r="F177" t="str">
        <f t="shared" si="52"/>
        <v>manufPofMan</v>
      </c>
      <c r="G177" s="359">
        <f t="shared" si="47"/>
        <v>99.999999999999986</v>
      </c>
      <c r="H177" t="s">
        <v>191</v>
      </c>
      <c r="I177" t="str">
        <f t="shared" si="48"/>
        <v>\newcommand{\CEDAWEmanufPofManG}{100,0}%Total</v>
      </c>
      <c r="J177" t="str">
        <f t="shared" si="49"/>
        <v>\CEDAWEmanufPofManG</v>
      </c>
      <c r="L177" s="350">
        <f t="shared" si="50"/>
        <v>99.999999999999986</v>
      </c>
    </row>
    <row r="178" spans="1:13" x14ac:dyDescent="0.3">
      <c r="M178">
        <f>G151</f>
        <v>6.3215972714951443</v>
      </c>
    </row>
    <row r="179" spans="1:13" x14ac:dyDescent="0.3">
      <c r="C179" s="42" t="s">
        <v>720</v>
      </c>
      <c r="D179" s="42" t="s">
        <v>32</v>
      </c>
      <c r="E179" t="str">
        <f>E177</f>
        <v>AWE</v>
      </c>
      <c r="F179" t="str">
        <f>F177</f>
        <v>manufPofMan</v>
      </c>
      <c r="G179" s="359">
        <f t="shared" ref="G179:G185" si="53">L179</f>
        <v>1.0154781040291443</v>
      </c>
      <c r="H179" t="s">
        <v>1182</v>
      </c>
      <c r="I179" t="str">
        <f t="shared" ref="I179:I185" si="54">"\newcommand{"&amp;J179&amp;"}{"&amp;TEXT(G179,$H$13)&amp;"}%"&amp;H179</f>
        <v>\newcommand{\GWPAWEmanufPofManA}{1,0}%Tether/Tower</v>
      </c>
      <c r="J179" t="str">
        <f t="shared" ref="J179:J185" si="55">"\"&amp;D179&amp;E179&amp;F179&amp;C179</f>
        <v>\GWPAWEmanufPofManA</v>
      </c>
      <c r="L179" s="350">
        <f t="shared" ref="L179:L185" si="56">100*L145/$M$178</f>
        <v>1.0154781040291443</v>
      </c>
    </row>
    <row r="180" spans="1:13" x14ac:dyDescent="0.3">
      <c r="C180" t="s">
        <v>788</v>
      </c>
      <c r="D180" t="str">
        <f t="shared" ref="D180:F185" si="57">D179</f>
        <v>GWP</v>
      </c>
      <c r="E180" t="str">
        <f t="shared" si="57"/>
        <v>AWE</v>
      </c>
      <c r="F180" t="str">
        <f t="shared" si="57"/>
        <v>manufPofMan</v>
      </c>
      <c r="G180" s="359">
        <f t="shared" si="53"/>
        <v>14.114071414136992</v>
      </c>
      <c r="H180" t="s">
        <v>1183</v>
      </c>
      <c r="I180" t="str">
        <f t="shared" si="54"/>
        <v>\newcommand{\GWPAWEmanufPofManB}{14,1}%Aircraft/Rotor</v>
      </c>
      <c r="J180" t="str">
        <f t="shared" si="55"/>
        <v>\GWPAWEmanufPofManB</v>
      </c>
      <c r="L180" s="350">
        <f t="shared" si="56"/>
        <v>14.114071414136992</v>
      </c>
    </row>
    <row r="181" spans="1:13" x14ac:dyDescent="0.3">
      <c r="C181" t="s">
        <v>790</v>
      </c>
      <c r="D181" t="str">
        <f t="shared" si="57"/>
        <v>GWP</v>
      </c>
      <c r="E181" t="str">
        <f t="shared" si="57"/>
        <v>AWE</v>
      </c>
      <c r="F181" t="str">
        <f t="shared" si="57"/>
        <v>manufPofMan</v>
      </c>
      <c r="G181" s="359">
        <f t="shared" si="53"/>
        <v>41.979401920548938</v>
      </c>
      <c r="H181" t="s">
        <v>1763</v>
      </c>
      <c r="I181" t="str">
        <f t="shared" si="54"/>
        <v>\newcommand{\GWPAWEmanufPofManC}{42,0}%PGA/Nacelle</v>
      </c>
      <c r="J181" t="str">
        <f t="shared" si="55"/>
        <v>\GWPAWEmanufPofManC</v>
      </c>
      <c r="L181" s="350">
        <f t="shared" si="56"/>
        <v>41.979401920548938</v>
      </c>
    </row>
    <row r="182" spans="1:13" x14ac:dyDescent="0.3">
      <c r="C182" t="s">
        <v>1786</v>
      </c>
      <c r="D182" t="str">
        <f t="shared" si="57"/>
        <v>GWP</v>
      </c>
      <c r="E182" t="str">
        <f t="shared" si="57"/>
        <v>AWE</v>
      </c>
      <c r="F182" t="str">
        <f t="shared" si="57"/>
        <v>manufPofMan</v>
      </c>
      <c r="G182" s="359">
        <f t="shared" si="53"/>
        <v>29.93283888019808</v>
      </c>
      <c r="H182" t="s">
        <v>16</v>
      </c>
      <c r="I182" t="str">
        <f t="shared" si="54"/>
        <v>\newcommand{\GWPAWEmanufPofManD}{29,9}%LLA</v>
      </c>
      <c r="J182" t="str">
        <f t="shared" si="55"/>
        <v>\GWPAWEmanufPofManD</v>
      </c>
      <c r="L182" s="350">
        <f t="shared" si="56"/>
        <v>29.93283888019808</v>
      </c>
    </row>
    <row r="183" spans="1:13" x14ac:dyDescent="0.3">
      <c r="C183" t="s">
        <v>1784</v>
      </c>
      <c r="D183" t="str">
        <f t="shared" si="57"/>
        <v>GWP</v>
      </c>
      <c r="E183" t="str">
        <f t="shared" si="57"/>
        <v>AWE</v>
      </c>
      <c r="F183" t="str">
        <f t="shared" si="57"/>
        <v>manufPofMan</v>
      </c>
      <c r="G183" s="359">
        <f t="shared" si="53"/>
        <v>2.5692429709787712</v>
      </c>
      <c r="H183" t="s">
        <v>50</v>
      </c>
      <c r="I183" t="str">
        <f t="shared" si="54"/>
        <v>\newcommand{\GWPAWEmanufPofManE}{2,6}%Foundation</v>
      </c>
      <c r="J183" t="str">
        <f t="shared" si="55"/>
        <v>\GWPAWEmanufPofManE</v>
      </c>
      <c r="L183" s="350">
        <f t="shared" si="56"/>
        <v>2.5692429709787712</v>
      </c>
    </row>
    <row r="184" spans="1:13" x14ac:dyDescent="0.3">
      <c r="C184" t="s">
        <v>1783</v>
      </c>
      <c r="D184" t="str">
        <f t="shared" si="57"/>
        <v>GWP</v>
      </c>
      <c r="E184" t="str">
        <f t="shared" si="57"/>
        <v>AWE</v>
      </c>
      <c r="F184" t="str">
        <f t="shared" si="57"/>
        <v>manufPofMan</v>
      </c>
      <c r="G184" s="359">
        <f t="shared" si="53"/>
        <v>10.388966710108082</v>
      </c>
      <c r="H184" t="s">
        <v>139</v>
      </c>
      <c r="I184" t="str">
        <f t="shared" si="54"/>
        <v>\newcommand{\GWPAWEmanufPofManF}{10,4}%BOS</v>
      </c>
      <c r="J184" t="str">
        <f t="shared" si="55"/>
        <v>\GWPAWEmanufPofManF</v>
      </c>
      <c r="L184" s="350">
        <f t="shared" si="56"/>
        <v>10.388966710108082</v>
      </c>
    </row>
    <row r="185" spans="1:13" x14ac:dyDescent="0.3">
      <c r="C185" t="s">
        <v>1782</v>
      </c>
      <c r="D185" t="str">
        <f t="shared" si="57"/>
        <v>GWP</v>
      </c>
      <c r="E185" t="str">
        <f t="shared" si="57"/>
        <v>AWE</v>
      </c>
      <c r="F185" t="str">
        <f t="shared" si="57"/>
        <v>manufPofMan</v>
      </c>
      <c r="G185" s="359">
        <f t="shared" si="53"/>
        <v>100</v>
      </c>
      <c r="H185" t="s">
        <v>191</v>
      </c>
      <c r="I185" t="str">
        <f t="shared" si="54"/>
        <v>\newcommand{\GWPAWEmanufPofManG}{100,0}%Total</v>
      </c>
      <c r="J185" t="str">
        <f t="shared" si="55"/>
        <v>\GWPAWEmanufPofManG</v>
      </c>
      <c r="L185" s="350">
        <f t="shared" si="56"/>
        <v>100</v>
      </c>
    </row>
    <row r="189" spans="1:13" x14ac:dyDescent="0.3">
      <c r="A189" s="70"/>
      <c r="B189" s="336"/>
      <c r="C189" s="336" t="s">
        <v>1817</v>
      </c>
      <c r="D189" s="336"/>
      <c r="E189" s="336"/>
      <c r="F189" s="47"/>
      <c r="G189" s="361"/>
      <c r="H189" s="70"/>
      <c r="I189" s="70"/>
      <c r="J189" s="70"/>
      <c r="K189" s="70"/>
    </row>
    <row r="191" spans="1:13" x14ac:dyDescent="0.3">
      <c r="C191" s="42"/>
      <c r="D191" s="42"/>
      <c r="E191" s="42" t="s">
        <v>1142</v>
      </c>
      <c r="F191" s="42" t="s">
        <v>1817</v>
      </c>
      <c r="H191" s="42" t="s">
        <v>1791</v>
      </c>
      <c r="I191" s="42" t="str">
        <f>"%" &amp;F191 &amp;H191 &amp;D191 &amp;H191  &amp;E191</f>
        <v>%Manufacturing impacts ..HAWT</v>
      </c>
      <c r="J191" s="42" t="str">
        <f>"\"&amp;D191&amp;E191&amp;F191</f>
        <v xml:space="preserve">\HAWTManufacturing impacts </v>
      </c>
      <c r="K191" s="42"/>
    </row>
    <row r="192" spans="1:13" x14ac:dyDescent="0.3">
      <c r="C192" s="42" t="s">
        <v>720</v>
      </c>
      <c r="D192" s="42" t="s">
        <v>162</v>
      </c>
      <c r="E192" t="str">
        <f t="shared" ref="E192:E198" si="58">E191</f>
        <v>HAWT</v>
      </c>
      <c r="F192" t="s">
        <v>783</v>
      </c>
      <c r="G192" s="359">
        <f t="shared" ref="G192:G198" si="59">L192</f>
        <v>63.183633737484676</v>
      </c>
      <c r="H192" t="s">
        <v>1182</v>
      </c>
      <c r="I192" t="str">
        <f t="shared" ref="I192:I198" si="60">"\newcommand{"&amp;J192&amp;"}{"&amp;TEXT(G192,$H$13)&amp;"}%"&amp;H192</f>
        <v>\newcommand{\CEDHAWTmanufA}{63,2}%Tether/Tower</v>
      </c>
      <c r="J192" t="str">
        <f t="shared" ref="J192:J198" si="61">"\"&amp;D192&amp;E192&amp;F192&amp;C192</f>
        <v>\CEDHAWTmanufA</v>
      </c>
      <c r="L192" s="350">
        <f>HAWT!R449</f>
        <v>63.183633737484676</v>
      </c>
    </row>
    <row r="193" spans="3:13" x14ac:dyDescent="0.3">
      <c r="C193" t="s">
        <v>788</v>
      </c>
      <c r="D193" t="str">
        <f t="shared" ref="D193:D198" si="62">D192</f>
        <v>CED</v>
      </c>
      <c r="E193" t="str">
        <f t="shared" si="58"/>
        <v>HAWT</v>
      </c>
      <c r="F193" t="s">
        <v>783</v>
      </c>
      <c r="G193" s="359">
        <f t="shared" si="59"/>
        <v>51.634565239059953</v>
      </c>
      <c r="H193" t="s">
        <v>1183</v>
      </c>
      <c r="I193" t="str">
        <f t="shared" si="60"/>
        <v>\newcommand{\CEDHAWTmanufB}{51,6}%Aircraft/Rotor</v>
      </c>
      <c r="J193" t="str">
        <f t="shared" si="61"/>
        <v>\CEDHAWTmanufB</v>
      </c>
      <c r="L193" s="350">
        <f>HAWT!R450</f>
        <v>51.634565239059953</v>
      </c>
    </row>
    <row r="194" spans="3:13" x14ac:dyDescent="0.3">
      <c r="C194" t="s">
        <v>790</v>
      </c>
      <c r="D194" t="str">
        <f t="shared" si="62"/>
        <v>CED</v>
      </c>
      <c r="E194" t="str">
        <f t="shared" si="58"/>
        <v>HAWT</v>
      </c>
      <c r="F194" t="s">
        <v>783</v>
      </c>
      <c r="G194" s="359">
        <f t="shared" si="59"/>
        <v>35.147250945705572</v>
      </c>
      <c r="H194" t="s">
        <v>1763</v>
      </c>
      <c r="I194" t="str">
        <f t="shared" si="60"/>
        <v>\newcommand{\CEDHAWTmanufC}{35,1}%PGA/Nacelle</v>
      </c>
      <c r="J194" t="str">
        <f t="shared" si="61"/>
        <v>\CEDHAWTmanufC</v>
      </c>
      <c r="L194" s="350">
        <f>HAWT!R451</f>
        <v>35.147250945705572</v>
      </c>
    </row>
    <row r="195" spans="3:13" x14ac:dyDescent="0.3">
      <c r="C195" t="s">
        <v>1786</v>
      </c>
      <c r="D195" t="str">
        <f t="shared" si="62"/>
        <v>CED</v>
      </c>
      <c r="E195" t="str">
        <f t="shared" si="58"/>
        <v>HAWT</v>
      </c>
      <c r="F195" t="s">
        <v>783</v>
      </c>
      <c r="G195" s="359">
        <f t="shared" si="59"/>
        <v>0</v>
      </c>
      <c r="H195" t="s">
        <v>16</v>
      </c>
      <c r="I195" t="str">
        <f t="shared" si="60"/>
        <v>\newcommand{\CEDHAWTmanufD}{0,0}%LLA</v>
      </c>
      <c r="J195" t="str">
        <f t="shared" si="61"/>
        <v>\CEDHAWTmanufD</v>
      </c>
      <c r="L195" s="350">
        <f>HAWT!R452</f>
        <v>0</v>
      </c>
    </row>
    <row r="196" spans="3:13" x14ac:dyDescent="0.3">
      <c r="C196" t="s">
        <v>1784</v>
      </c>
      <c r="D196" t="str">
        <f t="shared" si="62"/>
        <v>CED</v>
      </c>
      <c r="E196" t="str">
        <f t="shared" si="58"/>
        <v>HAWT</v>
      </c>
      <c r="F196" t="s">
        <v>783</v>
      </c>
      <c r="G196" s="359">
        <f t="shared" si="59"/>
        <v>9.9770965773956988</v>
      </c>
      <c r="H196" t="s">
        <v>50</v>
      </c>
      <c r="I196" t="str">
        <f t="shared" si="60"/>
        <v>\newcommand{\CEDHAWTmanufE}{10,0}%Foundation</v>
      </c>
      <c r="J196" t="str">
        <f t="shared" si="61"/>
        <v>\CEDHAWTmanufE</v>
      </c>
      <c r="L196" s="350">
        <f>HAWT!R453</f>
        <v>9.9770965773956988</v>
      </c>
    </row>
    <row r="197" spans="3:13" x14ac:dyDescent="0.3">
      <c r="C197" t="s">
        <v>1783</v>
      </c>
      <c r="D197" t="str">
        <f t="shared" si="62"/>
        <v>CED</v>
      </c>
      <c r="E197" t="str">
        <f t="shared" si="58"/>
        <v>HAWT</v>
      </c>
      <c r="F197" t="s">
        <v>783</v>
      </c>
      <c r="G197" s="359">
        <f t="shared" si="59"/>
        <v>11.332986817964082</v>
      </c>
      <c r="H197" t="s">
        <v>139</v>
      </c>
      <c r="I197" t="str">
        <f t="shared" si="60"/>
        <v>\newcommand{\CEDHAWTmanufF}{11,3}%BOS</v>
      </c>
      <c r="J197" t="str">
        <f t="shared" si="61"/>
        <v>\CEDHAWTmanufF</v>
      </c>
      <c r="L197" s="350">
        <f>HAWT!R454</f>
        <v>11.332986817964082</v>
      </c>
    </row>
    <row r="198" spans="3:13" x14ac:dyDescent="0.3">
      <c r="C198" t="s">
        <v>1782</v>
      </c>
      <c r="D198" t="str">
        <f t="shared" si="62"/>
        <v>CED</v>
      </c>
      <c r="E198" t="str">
        <f t="shared" si="58"/>
        <v>HAWT</v>
      </c>
      <c r="F198" t="s">
        <v>783</v>
      </c>
      <c r="G198" s="359">
        <f t="shared" si="59"/>
        <v>171.27553331760998</v>
      </c>
      <c r="H198" t="s">
        <v>191</v>
      </c>
      <c r="I198" t="str">
        <f t="shared" si="60"/>
        <v>\newcommand{\CEDHAWTmanufG}{171,3}%Total</v>
      </c>
      <c r="J198" t="str">
        <f t="shared" si="61"/>
        <v>\CEDHAWTmanufG</v>
      </c>
      <c r="L198">
        <f>SUM(L192:L197)</f>
        <v>171.27553331760998</v>
      </c>
    </row>
    <row r="200" spans="3:13" x14ac:dyDescent="0.3">
      <c r="C200" s="42" t="s">
        <v>720</v>
      </c>
      <c r="D200" s="42" t="s">
        <v>32</v>
      </c>
      <c r="E200" t="str">
        <f>E198</f>
        <v>HAWT</v>
      </c>
      <c r="F200" t="s">
        <v>783</v>
      </c>
      <c r="G200" s="359">
        <f t="shared" ref="G200:G206" si="63">L200</f>
        <v>4.4366640225996186</v>
      </c>
      <c r="H200" t="s">
        <v>1182</v>
      </c>
      <c r="I200" t="str">
        <f t="shared" ref="I200:I206" si="64">"\newcommand{"&amp;J200&amp;"}{"&amp;TEXT(G200,$H$13)&amp;"}%"&amp;H200</f>
        <v>\newcommand{\GWPHAWTmanufA}{4,4}%Tether/Tower</v>
      </c>
      <c r="J200" t="str">
        <f t="shared" ref="J200:J206" si="65">"\"&amp;D200&amp;E200&amp;F200&amp;C200</f>
        <v>\GWPHAWTmanufA</v>
      </c>
      <c r="L200" s="350">
        <f>HAWT!Q449</f>
        <v>4.4366640225996186</v>
      </c>
    </row>
    <row r="201" spans="3:13" x14ac:dyDescent="0.3">
      <c r="C201" t="s">
        <v>788</v>
      </c>
      <c r="D201" t="str">
        <f t="shared" ref="D201:E206" si="66">D200</f>
        <v>GWP</v>
      </c>
      <c r="E201" t="str">
        <f t="shared" si="66"/>
        <v>HAWT</v>
      </c>
      <c r="F201" t="s">
        <v>783</v>
      </c>
      <c r="G201" s="359">
        <f t="shared" si="63"/>
        <v>2.6729859537173737</v>
      </c>
      <c r="H201" t="s">
        <v>1183</v>
      </c>
      <c r="I201" t="str">
        <f t="shared" si="64"/>
        <v>\newcommand{\GWPHAWTmanufB}{2,7}%Aircraft/Rotor</v>
      </c>
      <c r="J201" t="str">
        <f t="shared" si="65"/>
        <v>\GWPHAWTmanufB</v>
      </c>
      <c r="L201" s="350">
        <f>HAWT!Q450</f>
        <v>2.6729859537173737</v>
      </c>
    </row>
    <row r="202" spans="3:13" x14ac:dyDescent="0.3">
      <c r="C202" t="s">
        <v>790</v>
      </c>
      <c r="D202" t="str">
        <f t="shared" si="66"/>
        <v>GWP</v>
      </c>
      <c r="E202" t="str">
        <f t="shared" si="66"/>
        <v>HAWT</v>
      </c>
      <c r="F202" t="s">
        <v>783</v>
      </c>
      <c r="G202" s="359">
        <f t="shared" si="63"/>
        <v>2.2766164712812915</v>
      </c>
      <c r="H202" t="s">
        <v>1763</v>
      </c>
      <c r="I202" t="str">
        <f t="shared" si="64"/>
        <v>\newcommand{\GWPHAWTmanufC}{2,3}%PGA/Nacelle</v>
      </c>
      <c r="J202" t="str">
        <f t="shared" si="65"/>
        <v>\GWPHAWTmanufC</v>
      </c>
      <c r="L202" s="350">
        <f>HAWT!Q451</f>
        <v>2.2766164712812915</v>
      </c>
    </row>
    <row r="203" spans="3:13" x14ac:dyDescent="0.3">
      <c r="C203" t="s">
        <v>1786</v>
      </c>
      <c r="D203" t="str">
        <f t="shared" si="66"/>
        <v>GWP</v>
      </c>
      <c r="E203" t="str">
        <f t="shared" si="66"/>
        <v>HAWT</v>
      </c>
      <c r="F203" t="s">
        <v>783</v>
      </c>
      <c r="G203" s="359">
        <f t="shared" si="63"/>
        <v>0</v>
      </c>
      <c r="H203" t="s">
        <v>16</v>
      </c>
      <c r="I203" t="str">
        <f t="shared" si="64"/>
        <v>\newcommand{\GWPHAWTmanufD}{0,0}%LLA</v>
      </c>
      <c r="J203" t="str">
        <f t="shared" si="65"/>
        <v>\GWPHAWTmanufD</v>
      </c>
      <c r="L203" s="350">
        <f>HAWT!Q452</f>
        <v>0</v>
      </c>
    </row>
    <row r="204" spans="3:13" x14ac:dyDescent="0.3">
      <c r="C204" t="s">
        <v>1784</v>
      </c>
      <c r="D204" t="str">
        <f t="shared" si="66"/>
        <v>GWP</v>
      </c>
      <c r="E204" t="str">
        <f t="shared" si="66"/>
        <v>HAWT</v>
      </c>
      <c r="F204" t="s">
        <v>783</v>
      </c>
      <c r="G204" s="359">
        <f t="shared" si="63"/>
        <v>1.0470725989414846</v>
      </c>
      <c r="H204" t="s">
        <v>50</v>
      </c>
      <c r="I204" t="str">
        <f t="shared" si="64"/>
        <v>\newcommand{\GWPHAWTmanufE}{1,0}%Foundation</v>
      </c>
      <c r="J204" t="str">
        <f t="shared" si="65"/>
        <v>\GWPHAWTmanufE</v>
      </c>
      <c r="L204" s="350">
        <f>HAWT!Q453</f>
        <v>1.0470725989414846</v>
      </c>
    </row>
    <row r="205" spans="3:13" x14ac:dyDescent="0.3">
      <c r="C205" t="s">
        <v>1783</v>
      </c>
      <c r="D205" t="str">
        <f t="shared" si="66"/>
        <v>GWP</v>
      </c>
      <c r="E205" t="str">
        <f t="shared" si="66"/>
        <v>HAWT</v>
      </c>
      <c r="F205" t="s">
        <v>783</v>
      </c>
      <c r="G205" s="359">
        <f t="shared" si="63"/>
        <v>0.7119447848828484</v>
      </c>
      <c r="H205" t="s">
        <v>139</v>
      </c>
      <c r="I205" t="str">
        <f t="shared" si="64"/>
        <v>\newcommand{\GWPHAWTmanufF}{0,7}%BOS</v>
      </c>
      <c r="J205" t="str">
        <f t="shared" si="65"/>
        <v>\GWPHAWTmanufF</v>
      </c>
      <c r="L205" s="350">
        <f>HAWT!Q454</f>
        <v>0.7119447848828484</v>
      </c>
    </row>
    <row r="206" spans="3:13" x14ac:dyDescent="0.3">
      <c r="C206" t="s">
        <v>1782</v>
      </c>
      <c r="D206" t="str">
        <f t="shared" si="66"/>
        <v>GWP</v>
      </c>
      <c r="E206" t="str">
        <f t="shared" si="66"/>
        <v>HAWT</v>
      </c>
      <c r="F206" t="s">
        <v>783</v>
      </c>
      <c r="G206" s="359">
        <f t="shared" si="63"/>
        <v>11.145283831422617</v>
      </c>
      <c r="H206" t="s">
        <v>191</v>
      </c>
      <c r="I206" t="str">
        <f t="shared" si="64"/>
        <v>\newcommand{\GWPHAWTmanufG}{11,1}%Total</v>
      </c>
      <c r="J206" t="str">
        <f t="shared" si="65"/>
        <v>\GWPHAWTmanufG</v>
      </c>
      <c r="L206">
        <f>SUM(L200:L205)</f>
        <v>11.145283831422617</v>
      </c>
    </row>
    <row r="208" spans="3:13" x14ac:dyDescent="0.3">
      <c r="C208" s="42"/>
      <c r="D208" s="42"/>
      <c r="E208" s="42" t="s">
        <v>1142</v>
      </c>
      <c r="F208" s="42" t="s">
        <v>1816</v>
      </c>
      <c r="H208" s="42" t="s">
        <v>1791</v>
      </c>
      <c r="I208" s="42" t="str">
        <f>"%" &amp;F208 &amp;H208 &amp;D208 &amp;H208  &amp;E208</f>
        <v>%Percentages of Manufacturing impacts over all impacts..HAWT</v>
      </c>
      <c r="J208" s="42" t="str">
        <f>"\"&amp;D208&amp;E208&amp;F208</f>
        <v>\HAWTPercentages of Manufacturing impacts over all impacts</v>
      </c>
      <c r="K208" s="42"/>
      <c r="M208">
        <f>G77</f>
        <v>195.01445049283734</v>
      </c>
    </row>
    <row r="209" spans="3:13" x14ac:dyDescent="0.3">
      <c r="C209" s="42" t="s">
        <v>720</v>
      </c>
      <c r="D209" s="42" t="s">
        <v>162</v>
      </c>
      <c r="E209" t="str">
        <f t="shared" ref="E209:E215" si="67">E208</f>
        <v>HAWT</v>
      </c>
      <c r="F209" t="s">
        <v>1815</v>
      </c>
      <c r="G209" s="359">
        <f t="shared" ref="G209:G215" si="68">L209</f>
        <v>32.399462489988835</v>
      </c>
      <c r="H209" t="s">
        <v>1182</v>
      </c>
      <c r="I209" t="str">
        <f t="shared" ref="I209:I215" si="69">"\newcommand{"&amp;J209&amp;"}{"&amp;TEXT(G209,$H$13)&amp;"}%"&amp;H209</f>
        <v>\newcommand{\CEDHAWTmanufPofAllA}{32,4}%Tether/Tower</v>
      </c>
      <c r="J209" t="str">
        <f t="shared" ref="J209:J215" si="70">"\"&amp;D209&amp;E209&amp;F209&amp;C209</f>
        <v>\CEDHAWTmanufPofAllA</v>
      </c>
      <c r="L209" s="350">
        <f t="shared" ref="L209:L215" si="71">100*L192/$M$208</f>
        <v>32.399462489988835</v>
      </c>
    </row>
    <row r="210" spans="3:13" x14ac:dyDescent="0.3">
      <c r="C210" t="s">
        <v>788</v>
      </c>
      <c r="D210" t="str">
        <f t="shared" ref="D210:D215" si="72">D209</f>
        <v>CED</v>
      </c>
      <c r="E210" t="str">
        <f t="shared" si="67"/>
        <v>HAWT</v>
      </c>
      <c r="F210" t="str">
        <f t="shared" ref="F210:F215" si="73">F209</f>
        <v>manufPofAll</v>
      </c>
      <c r="G210" s="359">
        <f t="shared" si="68"/>
        <v>26.477302122263211</v>
      </c>
      <c r="H210" t="s">
        <v>1183</v>
      </c>
      <c r="I210" t="str">
        <f t="shared" si="69"/>
        <v>\newcommand{\CEDHAWTmanufPofAllB}{26,5}%Aircraft/Rotor</v>
      </c>
      <c r="J210" t="str">
        <f t="shared" si="70"/>
        <v>\CEDHAWTmanufPofAllB</v>
      </c>
      <c r="L210" s="350">
        <f t="shared" si="71"/>
        <v>26.477302122263211</v>
      </c>
    </row>
    <row r="211" spans="3:13" x14ac:dyDescent="0.3">
      <c r="C211" t="s">
        <v>790</v>
      </c>
      <c r="D211" t="str">
        <f t="shared" si="72"/>
        <v>CED</v>
      </c>
      <c r="E211" t="str">
        <f t="shared" si="67"/>
        <v>HAWT</v>
      </c>
      <c r="F211" t="str">
        <f t="shared" si="73"/>
        <v>manufPofAll</v>
      </c>
      <c r="G211" s="359">
        <f t="shared" si="68"/>
        <v>18.02289566587605</v>
      </c>
      <c r="H211" t="s">
        <v>1763</v>
      </c>
      <c r="I211" t="str">
        <f t="shared" si="69"/>
        <v>\newcommand{\CEDHAWTmanufPofAllC}{18,0}%PGA/Nacelle</v>
      </c>
      <c r="J211" t="str">
        <f t="shared" si="70"/>
        <v>\CEDHAWTmanufPofAllC</v>
      </c>
      <c r="L211" s="350">
        <f t="shared" si="71"/>
        <v>18.02289566587605</v>
      </c>
    </row>
    <row r="212" spans="3:13" x14ac:dyDescent="0.3">
      <c r="C212" t="s">
        <v>1786</v>
      </c>
      <c r="D212" t="str">
        <f t="shared" si="72"/>
        <v>CED</v>
      </c>
      <c r="E212" t="str">
        <f t="shared" si="67"/>
        <v>HAWT</v>
      </c>
      <c r="F212" t="str">
        <f t="shared" si="73"/>
        <v>manufPofAll</v>
      </c>
      <c r="G212" s="359">
        <f t="shared" si="68"/>
        <v>0</v>
      </c>
      <c r="H212" t="s">
        <v>16</v>
      </c>
      <c r="I212" t="str">
        <f t="shared" si="69"/>
        <v>\newcommand{\CEDHAWTmanufPofAllD}{0,0}%LLA</v>
      </c>
      <c r="J212" t="str">
        <f t="shared" si="70"/>
        <v>\CEDHAWTmanufPofAllD</v>
      </c>
      <c r="L212" s="350">
        <f t="shared" si="71"/>
        <v>0</v>
      </c>
    </row>
    <row r="213" spans="3:13" x14ac:dyDescent="0.3">
      <c r="C213" t="s">
        <v>1784</v>
      </c>
      <c r="D213" t="str">
        <f t="shared" si="72"/>
        <v>CED</v>
      </c>
      <c r="E213" t="str">
        <f t="shared" si="67"/>
        <v>HAWT</v>
      </c>
      <c r="F213" t="str">
        <f t="shared" si="73"/>
        <v>manufPofAll</v>
      </c>
      <c r="G213" s="359">
        <f t="shared" si="68"/>
        <v>5.1160806556548719</v>
      </c>
      <c r="H213" t="s">
        <v>50</v>
      </c>
      <c r="I213" t="str">
        <f t="shared" si="69"/>
        <v>\newcommand{\CEDHAWTmanufPofAllE}{5,1}%Foundation</v>
      </c>
      <c r="J213" t="str">
        <f t="shared" si="70"/>
        <v>\CEDHAWTmanufPofAllE</v>
      </c>
      <c r="L213" s="350">
        <f t="shared" si="71"/>
        <v>5.1160806556548719</v>
      </c>
    </row>
    <row r="214" spans="3:13" x14ac:dyDescent="0.3">
      <c r="C214" t="s">
        <v>1783</v>
      </c>
      <c r="D214" t="str">
        <f t="shared" si="72"/>
        <v>CED</v>
      </c>
      <c r="E214" t="str">
        <f t="shared" si="67"/>
        <v>HAWT</v>
      </c>
      <c r="F214" t="str">
        <f t="shared" si="73"/>
        <v>manufPofAll</v>
      </c>
      <c r="G214" s="359">
        <f t="shared" si="68"/>
        <v>5.8113574606002487</v>
      </c>
      <c r="H214" t="s">
        <v>139</v>
      </c>
      <c r="I214" t="str">
        <f t="shared" si="69"/>
        <v>\newcommand{\CEDHAWTmanufPofAllF}{5,8}%BOS</v>
      </c>
      <c r="J214" t="str">
        <f t="shared" si="70"/>
        <v>\CEDHAWTmanufPofAllF</v>
      </c>
      <c r="L214" s="350">
        <f t="shared" si="71"/>
        <v>5.8113574606002487</v>
      </c>
    </row>
    <row r="215" spans="3:13" x14ac:dyDescent="0.3">
      <c r="C215" t="s">
        <v>1782</v>
      </c>
      <c r="D215" t="str">
        <f t="shared" si="72"/>
        <v>CED</v>
      </c>
      <c r="E215" t="str">
        <f t="shared" si="67"/>
        <v>HAWT</v>
      </c>
      <c r="F215" t="str">
        <f t="shared" si="73"/>
        <v>manufPofAll</v>
      </c>
      <c r="G215" s="359">
        <f t="shared" si="68"/>
        <v>87.827098394383214</v>
      </c>
      <c r="H215" t="s">
        <v>191</v>
      </c>
      <c r="I215" t="str">
        <f t="shared" si="69"/>
        <v>\newcommand{\CEDHAWTmanufPofAllG}{87,8}%Total</v>
      </c>
      <c r="J215" t="str">
        <f t="shared" si="70"/>
        <v>\CEDHAWTmanufPofAllG</v>
      </c>
      <c r="L215" s="350">
        <f t="shared" si="71"/>
        <v>87.827098394383214</v>
      </c>
    </row>
    <row r="216" spans="3:13" x14ac:dyDescent="0.3">
      <c r="M216">
        <f>G83</f>
        <v>12.978117802421346</v>
      </c>
    </row>
    <row r="217" spans="3:13" x14ac:dyDescent="0.3">
      <c r="C217" s="42" t="s">
        <v>720</v>
      </c>
      <c r="D217" s="42" t="s">
        <v>32</v>
      </c>
      <c r="E217" t="str">
        <f>E215</f>
        <v>HAWT</v>
      </c>
      <c r="F217" t="s">
        <v>1815</v>
      </c>
      <c r="G217" s="359">
        <f t="shared" ref="G217:G223" si="74">L217</f>
        <v>34.185727777658663</v>
      </c>
      <c r="H217" t="s">
        <v>1182</v>
      </c>
      <c r="I217" t="str">
        <f t="shared" ref="I217:I223" si="75">"\newcommand{"&amp;J217&amp;"}{"&amp;TEXT(G217,$H$13)&amp;"}%"&amp;H217</f>
        <v>\newcommand{\GWPHAWTmanufPofAllA}{34,2}%Tether/Tower</v>
      </c>
      <c r="J217" t="str">
        <f t="shared" ref="J217:J223" si="76">"\"&amp;D217&amp;E217&amp;F217&amp;C217</f>
        <v>\GWPHAWTmanufPofAllA</v>
      </c>
      <c r="L217" s="350">
        <f t="shared" ref="L217:L223" si="77">100*L200/$M$216</f>
        <v>34.185727777658663</v>
      </c>
    </row>
    <row r="218" spans="3:13" x14ac:dyDescent="0.3">
      <c r="C218" t="s">
        <v>788</v>
      </c>
      <c r="D218" t="str">
        <f t="shared" ref="D218:F223" si="78">D217</f>
        <v>GWP</v>
      </c>
      <c r="E218" t="str">
        <f t="shared" si="78"/>
        <v>HAWT</v>
      </c>
      <c r="F218" t="str">
        <f t="shared" si="78"/>
        <v>manufPofAll</v>
      </c>
      <c r="G218" s="359">
        <f t="shared" si="74"/>
        <v>20.596098713317819</v>
      </c>
      <c r="H218" t="s">
        <v>1183</v>
      </c>
      <c r="I218" t="str">
        <f t="shared" si="75"/>
        <v>\newcommand{\GWPHAWTmanufPofAllB}{20,6}%Aircraft/Rotor</v>
      </c>
      <c r="J218" t="str">
        <f t="shared" si="76"/>
        <v>\GWPHAWTmanufPofAllB</v>
      </c>
      <c r="L218" s="350">
        <f t="shared" si="77"/>
        <v>20.596098713317819</v>
      </c>
    </row>
    <row r="219" spans="3:13" x14ac:dyDescent="0.3">
      <c r="C219" t="s">
        <v>790</v>
      </c>
      <c r="D219" t="str">
        <f t="shared" si="78"/>
        <v>GWP</v>
      </c>
      <c r="E219" t="str">
        <f t="shared" si="78"/>
        <v>HAWT</v>
      </c>
      <c r="F219" t="str">
        <f t="shared" si="78"/>
        <v>manufPofAll</v>
      </c>
      <c r="G219" s="359">
        <f t="shared" si="74"/>
        <v>17.541961830987077</v>
      </c>
      <c r="H219" t="s">
        <v>1763</v>
      </c>
      <c r="I219" t="str">
        <f t="shared" si="75"/>
        <v>\newcommand{\GWPHAWTmanufPofAllC}{17,5}%PGA/Nacelle</v>
      </c>
      <c r="J219" t="str">
        <f t="shared" si="76"/>
        <v>\GWPHAWTmanufPofAllC</v>
      </c>
      <c r="L219" s="350">
        <f t="shared" si="77"/>
        <v>17.541961830987077</v>
      </c>
    </row>
    <row r="220" spans="3:13" x14ac:dyDescent="0.3">
      <c r="C220" t="s">
        <v>1786</v>
      </c>
      <c r="D220" t="str">
        <f t="shared" si="78"/>
        <v>GWP</v>
      </c>
      <c r="E220" t="str">
        <f t="shared" si="78"/>
        <v>HAWT</v>
      </c>
      <c r="F220" t="str">
        <f t="shared" si="78"/>
        <v>manufPofAll</v>
      </c>
      <c r="G220" s="359">
        <f t="shared" si="74"/>
        <v>0</v>
      </c>
      <c r="H220" t="s">
        <v>16</v>
      </c>
      <c r="I220" t="str">
        <f t="shared" si="75"/>
        <v>\newcommand{\GWPHAWTmanufPofAllD}{0,0}%LLA</v>
      </c>
      <c r="J220" t="str">
        <f t="shared" si="76"/>
        <v>\GWPHAWTmanufPofAllD</v>
      </c>
      <c r="L220" s="350">
        <f t="shared" si="77"/>
        <v>0</v>
      </c>
    </row>
    <row r="221" spans="3:13" x14ac:dyDescent="0.3">
      <c r="C221" t="s">
        <v>1784</v>
      </c>
      <c r="D221" t="str">
        <f t="shared" si="78"/>
        <v>GWP</v>
      </c>
      <c r="E221" t="str">
        <f t="shared" si="78"/>
        <v>HAWT</v>
      </c>
      <c r="F221" t="str">
        <f t="shared" si="78"/>
        <v>manufPofAll</v>
      </c>
      <c r="G221" s="359">
        <f t="shared" si="74"/>
        <v>8.067985010477642</v>
      </c>
      <c r="H221" t="s">
        <v>50</v>
      </c>
      <c r="I221" t="str">
        <f t="shared" si="75"/>
        <v>\newcommand{\GWPHAWTmanufPofAllE}{8,1}%Foundation</v>
      </c>
      <c r="J221" t="str">
        <f t="shared" si="76"/>
        <v>\GWPHAWTmanufPofAllE</v>
      </c>
      <c r="L221" s="350">
        <f t="shared" si="77"/>
        <v>8.067985010477642</v>
      </c>
    </row>
    <row r="222" spans="3:13" x14ac:dyDescent="0.3">
      <c r="C222" t="s">
        <v>1783</v>
      </c>
      <c r="D222" t="str">
        <f t="shared" si="78"/>
        <v>GWP</v>
      </c>
      <c r="E222" t="str">
        <f t="shared" si="78"/>
        <v>HAWT</v>
      </c>
      <c r="F222" t="str">
        <f t="shared" si="78"/>
        <v>manufPofAll</v>
      </c>
      <c r="G222" s="359">
        <f t="shared" si="74"/>
        <v>5.4857321818270126</v>
      </c>
      <c r="H222" t="s">
        <v>139</v>
      </c>
      <c r="I222" t="str">
        <f t="shared" si="75"/>
        <v>\newcommand{\GWPHAWTmanufPofAllF}{5,5}%BOS</v>
      </c>
      <c r="J222" t="str">
        <f t="shared" si="76"/>
        <v>\GWPHAWTmanufPofAllF</v>
      </c>
      <c r="L222" s="350">
        <f t="shared" si="77"/>
        <v>5.4857321818270126</v>
      </c>
    </row>
    <row r="223" spans="3:13" x14ac:dyDescent="0.3">
      <c r="C223" t="s">
        <v>1782</v>
      </c>
      <c r="D223" t="str">
        <f t="shared" si="78"/>
        <v>GWP</v>
      </c>
      <c r="E223" t="str">
        <f t="shared" si="78"/>
        <v>HAWT</v>
      </c>
      <c r="F223" t="str">
        <f t="shared" si="78"/>
        <v>manufPofAll</v>
      </c>
      <c r="G223" s="359">
        <f t="shared" si="74"/>
        <v>85.877505514268208</v>
      </c>
      <c r="H223" t="s">
        <v>191</v>
      </c>
      <c r="I223" t="str">
        <f t="shared" si="75"/>
        <v>\newcommand{\GWPHAWTmanufPofAllG}{85,9}%Total</v>
      </c>
      <c r="J223" t="str">
        <f t="shared" si="76"/>
        <v>\GWPHAWTmanufPofAllG</v>
      </c>
      <c r="L223" s="350">
        <f t="shared" si="77"/>
        <v>85.877505514268208</v>
      </c>
    </row>
    <row r="225" spans="3:13" x14ac:dyDescent="0.3">
      <c r="C225" s="42"/>
      <c r="D225" s="42"/>
      <c r="E225" s="42" t="s">
        <v>1142</v>
      </c>
      <c r="F225" s="42" t="s">
        <v>1814</v>
      </c>
      <c r="H225" s="42" t="s">
        <v>1791</v>
      </c>
      <c r="I225" s="42" t="str">
        <f>"%" &amp;F225 &amp;H225 &amp;D225 &amp;H225  &amp;E225</f>
        <v>%Percentages of impacts within manufacturing..HAWT</v>
      </c>
      <c r="J225" s="42" t="str">
        <f>"\"&amp;D225&amp;E225&amp;F225</f>
        <v>\HAWTPercentages of impacts within manufacturing</v>
      </c>
      <c r="K225" s="42"/>
      <c r="M225">
        <f>G198</f>
        <v>171.27553331760998</v>
      </c>
    </row>
    <row r="226" spans="3:13" x14ac:dyDescent="0.3">
      <c r="C226" s="42" t="s">
        <v>720</v>
      </c>
      <c r="D226" s="42" t="s">
        <v>162</v>
      </c>
      <c r="E226" t="str">
        <f t="shared" ref="E226:E232" si="79">E225</f>
        <v>HAWT</v>
      </c>
      <c r="F226" t="s">
        <v>1813</v>
      </c>
      <c r="G226" s="359">
        <f t="shared" ref="G226:G232" si="80">L226</f>
        <v>36.890052253008136</v>
      </c>
      <c r="H226" t="s">
        <v>1182</v>
      </c>
      <c r="I226" t="str">
        <f t="shared" ref="I226:I232" si="81">"\newcommand{"&amp;J226&amp;"}{"&amp;TEXT(G226,$H$13)&amp;"}%"&amp;H226</f>
        <v>\newcommand{\CEDHAWTmanufPofManA}{36,9}%Tether/Tower</v>
      </c>
      <c r="J226" t="str">
        <f t="shared" ref="J226:J232" si="82">"\"&amp;D226&amp;E226&amp;F226&amp;C226</f>
        <v>\CEDHAWTmanufPofManA</v>
      </c>
      <c r="L226" s="350">
        <f t="shared" ref="L226:L232" si="83">100*L192/$M$225</f>
        <v>36.890052253008136</v>
      </c>
    </row>
    <row r="227" spans="3:13" x14ac:dyDescent="0.3">
      <c r="C227" t="s">
        <v>788</v>
      </c>
      <c r="D227" t="str">
        <f t="shared" ref="D227:D232" si="84">D226</f>
        <v>CED</v>
      </c>
      <c r="E227" t="str">
        <f t="shared" si="79"/>
        <v>HAWT</v>
      </c>
      <c r="F227" t="str">
        <f t="shared" ref="F227:F232" si="85">F226</f>
        <v>manufPofMan</v>
      </c>
      <c r="G227" s="359">
        <f t="shared" si="80"/>
        <v>30.14707602358466</v>
      </c>
      <c r="H227" t="s">
        <v>1183</v>
      </c>
      <c r="I227" t="str">
        <f t="shared" si="81"/>
        <v>\newcommand{\CEDHAWTmanufPofManB}{30,1}%Aircraft/Rotor</v>
      </c>
      <c r="J227" t="str">
        <f t="shared" si="82"/>
        <v>\CEDHAWTmanufPofManB</v>
      </c>
      <c r="L227" s="350">
        <f t="shared" si="83"/>
        <v>30.14707602358466</v>
      </c>
    </row>
    <row r="228" spans="3:13" x14ac:dyDescent="0.3">
      <c r="C228" t="s">
        <v>790</v>
      </c>
      <c r="D228" t="str">
        <f t="shared" si="84"/>
        <v>CED</v>
      </c>
      <c r="E228" t="str">
        <f t="shared" si="79"/>
        <v>HAWT</v>
      </c>
      <c r="F228" t="str">
        <f t="shared" si="85"/>
        <v>manufPofMan</v>
      </c>
      <c r="G228" s="359">
        <f t="shared" si="80"/>
        <v>20.520882501372338</v>
      </c>
      <c r="H228" t="s">
        <v>1763</v>
      </c>
      <c r="I228" t="str">
        <f t="shared" si="81"/>
        <v>\newcommand{\CEDHAWTmanufPofManC}{20,5}%PGA/Nacelle</v>
      </c>
      <c r="J228" t="str">
        <f t="shared" si="82"/>
        <v>\CEDHAWTmanufPofManC</v>
      </c>
      <c r="L228" s="350">
        <f t="shared" si="83"/>
        <v>20.520882501372338</v>
      </c>
    </row>
    <row r="229" spans="3:13" x14ac:dyDescent="0.3">
      <c r="C229" t="s">
        <v>1786</v>
      </c>
      <c r="D229" t="str">
        <f t="shared" si="84"/>
        <v>CED</v>
      </c>
      <c r="E229" t="str">
        <f t="shared" si="79"/>
        <v>HAWT</v>
      </c>
      <c r="F229" t="str">
        <f t="shared" si="85"/>
        <v>manufPofMan</v>
      </c>
      <c r="G229" s="359">
        <f t="shared" si="80"/>
        <v>0</v>
      </c>
      <c r="H229" t="s">
        <v>16</v>
      </c>
      <c r="I229" t="str">
        <f t="shared" si="81"/>
        <v>\newcommand{\CEDHAWTmanufPofManD}{0,0}%LLA</v>
      </c>
      <c r="J229" t="str">
        <f t="shared" si="82"/>
        <v>\CEDHAWTmanufPofManD</v>
      </c>
      <c r="L229" s="350">
        <f t="shared" si="83"/>
        <v>0</v>
      </c>
    </row>
    <row r="230" spans="3:13" x14ac:dyDescent="0.3">
      <c r="C230" t="s">
        <v>1784</v>
      </c>
      <c r="D230" t="str">
        <f t="shared" si="84"/>
        <v>CED</v>
      </c>
      <c r="E230" t="str">
        <f t="shared" si="79"/>
        <v>HAWT</v>
      </c>
      <c r="F230" t="str">
        <f t="shared" si="85"/>
        <v>manufPofMan</v>
      </c>
      <c r="G230" s="359">
        <f t="shared" si="80"/>
        <v>5.8251732656376358</v>
      </c>
      <c r="H230" t="s">
        <v>50</v>
      </c>
      <c r="I230" t="str">
        <f t="shared" si="81"/>
        <v>\newcommand{\CEDHAWTmanufPofManE}{5,8}%Foundation</v>
      </c>
      <c r="J230" t="str">
        <f t="shared" si="82"/>
        <v>\CEDHAWTmanufPofManE</v>
      </c>
      <c r="L230" s="350">
        <f t="shared" si="83"/>
        <v>5.8251732656376358</v>
      </c>
    </row>
    <row r="231" spans="3:13" x14ac:dyDescent="0.3">
      <c r="C231" t="s">
        <v>1783</v>
      </c>
      <c r="D231" t="str">
        <f t="shared" si="84"/>
        <v>CED</v>
      </c>
      <c r="E231" t="str">
        <f t="shared" si="79"/>
        <v>HAWT</v>
      </c>
      <c r="F231" t="str">
        <f t="shared" si="85"/>
        <v>manufPofMan</v>
      </c>
      <c r="G231" s="359">
        <f t="shared" si="80"/>
        <v>6.616815956397236</v>
      </c>
      <c r="H231" t="s">
        <v>139</v>
      </c>
      <c r="I231" t="str">
        <f t="shared" si="81"/>
        <v>\newcommand{\CEDHAWTmanufPofManF}{6,6}%BOS</v>
      </c>
      <c r="J231" t="str">
        <f t="shared" si="82"/>
        <v>\CEDHAWTmanufPofManF</v>
      </c>
      <c r="L231" s="350">
        <f t="shared" si="83"/>
        <v>6.616815956397236</v>
      </c>
    </row>
    <row r="232" spans="3:13" x14ac:dyDescent="0.3">
      <c r="C232" t="s">
        <v>1782</v>
      </c>
      <c r="D232" t="str">
        <f t="shared" si="84"/>
        <v>CED</v>
      </c>
      <c r="E232" t="str">
        <f t="shared" si="79"/>
        <v>HAWT</v>
      </c>
      <c r="F232" t="str">
        <f t="shared" si="85"/>
        <v>manufPofMan</v>
      </c>
      <c r="G232" s="359">
        <f t="shared" si="80"/>
        <v>100</v>
      </c>
      <c r="H232" t="s">
        <v>191</v>
      </c>
      <c r="I232" t="str">
        <f t="shared" si="81"/>
        <v>\newcommand{\CEDHAWTmanufPofManG}{100,0}%Total</v>
      </c>
      <c r="J232" t="str">
        <f t="shared" si="82"/>
        <v>\CEDHAWTmanufPofManG</v>
      </c>
      <c r="L232" s="350">
        <f t="shared" si="83"/>
        <v>100</v>
      </c>
    </row>
    <row r="233" spans="3:13" x14ac:dyDescent="0.3">
      <c r="M233">
        <f>G206</f>
        <v>11.145283831422617</v>
      </c>
    </row>
    <row r="234" spans="3:13" x14ac:dyDescent="0.3">
      <c r="C234" s="42" t="s">
        <v>720</v>
      </c>
      <c r="D234" s="42" t="s">
        <v>32</v>
      </c>
      <c r="E234" t="str">
        <f>E232</f>
        <v>HAWT</v>
      </c>
      <c r="F234" t="str">
        <f>F232</f>
        <v>manufPofMan</v>
      </c>
      <c r="G234" s="359">
        <f t="shared" ref="G234:G240" si="86">L234</f>
        <v>39.807546310225369</v>
      </c>
      <c r="H234" t="s">
        <v>1182</v>
      </c>
      <c r="I234" t="str">
        <f t="shared" ref="I234:I240" si="87">"\newcommand{"&amp;J234&amp;"}{"&amp;TEXT(G234,$H$13)&amp;"}%"&amp;H234</f>
        <v>\newcommand{\GWPHAWTmanufPofManA}{39,8}%Tether/Tower</v>
      </c>
      <c r="J234" t="str">
        <f t="shared" ref="J234:J240" si="88">"\"&amp;D234&amp;E234&amp;F234&amp;C234</f>
        <v>\GWPHAWTmanufPofManA</v>
      </c>
      <c r="L234" s="350">
        <f t="shared" ref="L234:L240" si="89">100*L200/$M$233</f>
        <v>39.807546310225369</v>
      </c>
    </row>
    <row r="235" spans="3:13" x14ac:dyDescent="0.3">
      <c r="C235" t="s">
        <v>788</v>
      </c>
      <c r="D235" t="str">
        <f t="shared" ref="D235:F240" si="90">D234</f>
        <v>GWP</v>
      </c>
      <c r="E235" t="str">
        <f t="shared" si="90"/>
        <v>HAWT</v>
      </c>
      <c r="F235" t="str">
        <f t="shared" si="90"/>
        <v>manufPofMan</v>
      </c>
      <c r="G235" s="359">
        <f t="shared" si="86"/>
        <v>23.983112446012832</v>
      </c>
      <c r="H235" t="s">
        <v>1183</v>
      </c>
      <c r="I235" t="str">
        <f t="shared" si="87"/>
        <v>\newcommand{\GWPHAWTmanufPofManB}{24,0}%Aircraft/Rotor</v>
      </c>
      <c r="J235" t="str">
        <f t="shared" si="88"/>
        <v>\GWPHAWTmanufPofManB</v>
      </c>
      <c r="L235" s="350">
        <f t="shared" si="89"/>
        <v>23.983112446012832</v>
      </c>
    </row>
    <row r="236" spans="3:13" x14ac:dyDescent="0.3">
      <c r="C236" t="s">
        <v>790</v>
      </c>
      <c r="D236" t="str">
        <f t="shared" si="90"/>
        <v>GWP</v>
      </c>
      <c r="E236" t="str">
        <f t="shared" si="90"/>
        <v>HAWT</v>
      </c>
      <c r="F236" t="str">
        <f t="shared" si="90"/>
        <v>manufPofMan</v>
      </c>
      <c r="G236" s="359">
        <f t="shared" si="86"/>
        <v>20.426724933309281</v>
      </c>
      <c r="H236" t="s">
        <v>1763</v>
      </c>
      <c r="I236" t="str">
        <f t="shared" si="87"/>
        <v>\newcommand{\GWPHAWTmanufPofManC}{20,4}%PGA/Nacelle</v>
      </c>
      <c r="J236" t="str">
        <f t="shared" si="88"/>
        <v>\GWPHAWTmanufPofManC</v>
      </c>
      <c r="L236" s="350">
        <f t="shared" si="89"/>
        <v>20.426724933309281</v>
      </c>
    </row>
    <row r="237" spans="3:13" x14ac:dyDescent="0.3">
      <c r="C237" t="s">
        <v>1786</v>
      </c>
      <c r="D237" t="str">
        <f t="shared" si="90"/>
        <v>GWP</v>
      </c>
      <c r="E237" t="str">
        <f t="shared" si="90"/>
        <v>HAWT</v>
      </c>
      <c r="F237" t="str">
        <f t="shared" si="90"/>
        <v>manufPofMan</v>
      </c>
      <c r="G237" s="359">
        <f t="shared" si="86"/>
        <v>0</v>
      </c>
      <c r="H237" t="s">
        <v>16</v>
      </c>
      <c r="I237" t="str">
        <f t="shared" si="87"/>
        <v>\newcommand{\GWPHAWTmanufPofManD}{0,0}%LLA</v>
      </c>
      <c r="J237" t="str">
        <f t="shared" si="88"/>
        <v>\GWPHAWTmanufPofManD</v>
      </c>
      <c r="L237" s="350">
        <f t="shared" si="89"/>
        <v>0</v>
      </c>
    </row>
    <row r="238" spans="3:13" x14ac:dyDescent="0.3">
      <c r="C238" t="s">
        <v>1784</v>
      </c>
      <c r="D238" t="str">
        <f t="shared" si="90"/>
        <v>GWP</v>
      </c>
      <c r="E238" t="str">
        <f t="shared" si="90"/>
        <v>HAWT</v>
      </c>
      <c r="F238" t="str">
        <f t="shared" si="90"/>
        <v>manufPofMan</v>
      </c>
      <c r="G238" s="359">
        <f t="shared" si="86"/>
        <v>9.3947593868305574</v>
      </c>
      <c r="H238" t="s">
        <v>50</v>
      </c>
      <c r="I238" t="str">
        <f t="shared" si="87"/>
        <v>\newcommand{\GWPHAWTmanufPofManE}{9,4}%Foundation</v>
      </c>
      <c r="J238" t="str">
        <f t="shared" si="88"/>
        <v>\GWPHAWTmanufPofManE</v>
      </c>
      <c r="L238" s="350">
        <f t="shared" si="89"/>
        <v>9.3947593868305574</v>
      </c>
    </row>
    <row r="239" spans="3:13" x14ac:dyDescent="0.3">
      <c r="C239" t="s">
        <v>1783</v>
      </c>
      <c r="D239" t="str">
        <f t="shared" si="90"/>
        <v>GWP</v>
      </c>
      <c r="E239" t="str">
        <f t="shared" si="90"/>
        <v>HAWT</v>
      </c>
      <c r="F239" t="str">
        <f t="shared" si="90"/>
        <v>manufPofMan</v>
      </c>
      <c r="G239" s="359">
        <f t="shared" si="86"/>
        <v>6.3878569236219596</v>
      </c>
      <c r="H239" t="s">
        <v>139</v>
      </c>
      <c r="I239" t="str">
        <f t="shared" si="87"/>
        <v>\newcommand{\GWPHAWTmanufPofManF}{6,4}%BOS</v>
      </c>
      <c r="J239" t="str">
        <f t="shared" si="88"/>
        <v>\GWPHAWTmanufPofManF</v>
      </c>
      <c r="L239" s="350">
        <f t="shared" si="89"/>
        <v>6.3878569236219596</v>
      </c>
    </row>
    <row r="240" spans="3:13" x14ac:dyDescent="0.3">
      <c r="C240" t="s">
        <v>1782</v>
      </c>
      <c r="D240" t="str">
        <f t="shared" si="90"/>
        <v>GWP</v>
      </c>
      <c r="E240" t="str">
        <f t="shared" si="90"/>
        <v>HAWT</v>
      </c>
      <c r="F240" t="str">
        <f t="shared" si="90"/>
        <v>manufPofMan</v>
      </c>
      <c r="G240" s="359">
        <f t="shared" si="86"/>
        <v>100</v>
      </c>
      <c r="H240" t="s">
        <v>191</v>
      </c>
      <c r="I240" t="str">
        <f t="shared" si="87"/>
        <v>\newcommand{\GWPHAWTmanufPofManG}{100,0}%Total</v>
      </c>
      <c r="J240" t="str">
        <f t="shared" si="88"/>
        <v>\GWPHAWTmanufPofManG</v>
      </c>
      <c r="L240" s="350">
        <f t="shared" si="89"/>
        <v>100</v>
      </c>
    </row>
    <row r="249" spans="1:14" x14ac:dyDescent="0.3">
      <c r="A249" s="70"/>
      <c r="B249" s="70"/>
      <c r="C249" s="70"/>
      <c r="D249" s="70"/>
      <c r="E249" s="70"/>
      <c r="F249" s="70"/>
      <c r="G249" s="361"/>
      <c r="H249" s="70"/>
      <c r="I249" s="70"/>
      <c r="J249" s="70"/>
      <c r="K249" s="70"/>
    </row>
    <row r="250" spans="1:14" x14ac:dyDescent="0.3">
      <c r="A250" s="70"/>
      <c r="B250" s="336" t="s">
        <v>1181</v>
      </c>
      <c r="C250" s="47"/>
      <c r="D250" s="70"/>
      <c r="E250" s="70"/>
      <c r="F250" s="70"/>
      <c r="G250" s="361"/>
      <c r="H250" s="70"/>
      <c r="I250" s="70"/>
      <c r="J250" s="70"/>
      <c r="K250" s="70"/>
    </row>
    <row r="252" spans="1:14" x14ac:dyDescent="0.3">
      <c r="C252" s="42"/>
      <c r="D252" s="42"/>
      <c r="E252" s="42" t="s">
        <v>1172</v>
      </c>
      <c r="F252" s="42" t="s">
        <v>1811</v>
      </c>
      <c r="H252" s="42" t="s">
        <v>1791</v>
      </c>
      <c r="I252" s="42" t="str">
        <f>"%" &amp;F252 &amp;H252 &amp;D252 &amp;H252  &amp;E252</f>
        <v>%Masses of the initially installed system..AWE</v>
      </c>
      <c r="J252" s="42" t="str">
        <f>"\"&amp;D252&amp;E252&amp;F252</f>
        <v>\AWEMasses of the initially installed system</v>
      </c>
      <c r="K252" s="42"/>
    </row>
    <row r="253" spans="1:14" x14ac:dyDescent="0.3">
      <c r="C253" s="42" t="s">
        <v>720</v>
      </c>
      <c r="D253" s="42" t="s">
        <v>1809</v>
      </c>
      <c r="E253" t="str">
        <f t="shared" ref="E253:E259" si="91">E252</f>
        <v>AWE</v>
      </c>
      <c r="F253" t="s">
        <v>1790</v>
      </c>
      <c r="G253" s="359">
        <f t="shared" ref="G253:G259" si="92">L253</f>
        <v>3.1879335131987854</v>
      </c>
      <c r="H253" t="s">
        <v>1182</v>
      </c>
      <c r="I253" t="str">
        <f t="shared" ref="I253:I259" si="93">"\newcommand{"&amp;J253&amp;"}{"&amp;TEXT(G253,$H$13)&amp;"}%"&amp;H253</f>
        <v>\newcommand{\MassSubAWETotA}{3,2}%Tether/Tower</v>
      </c>
      <c r="J253" t="str">
        <f t="shared" ref="J253:J259" si="94">"\"&amp;D253&amp;E253&amp;F253&amp;C253</f>
        <v>\MassSubAWETotA</v>
      </c>
      <c r="L253">
        <f t="shared" ref="L253:L259" si="95">N253/1000</f>
        <v>3.1879335131987854</v>
      </c>
      <c r="N253" s="347">
        <f>'For Graphics1'!$E$227+'For Graphics1'!$E$228</f>
        <v>3187.9335131987855</v>
      </c>
    </row>
    <row r="254" spans="1:14" x14ac:dyDescent="0.3">
      <c r="C254" t="s">
        <v>788</v>
      </c>
      <c r="D254" t="str">
        <f t="shared" ref="D254:D259" si="96">D253</f>
        <v>MassSub</v>
      </c>
      <c r="E254" t="str">
        <f t="shared" si="91"/>
        <v>AWE</v>
      </c>
      <c r="F254" t="s">
        <v>1790</v>
      </c>
      <c r="G254" s="359">
        <f t="shared" si="92"/>
        <v>20</v>
      </c>
      <c r="H254" t="s">
        <v>1183</v>
      </c>
      <c r="I254" t="str">
        <f t="shared" si="93"/>
        <v>\newcommand{\MassSubAWETotB}{20,0}%Aircraft/Rotor</v>
      </c>
      <c r="J254" t="str">
        <f t="shared" si="94"/>
        <v>\MassSubAWETotB</v>
      </c>
      <c r="L254">
        <f t="shared" si="95"/>
        <v>20</v>
      </c>
      <c r="N254" s="347">
        <f>'For Graphics1'!$E$229</f>
        <v>20000</v>
      </c>
    </row>
    <row r="255" spans="1:14" x14ac:dyDescent="0.3">
      <c r="C255" t="s">
        <v>790</v>
      </c>
      <c r="D255" t="str">
        <f t="shared" si="96"/>
        <v>MassSub</v>
      </c>
      <c r="E255" t="str">
        <f t="shared" si="91"/>
        <v>AWE</v>
      </c>
      <c r="F255" t="s">
        <v>1790</v>
      </c>
      <c r="G255" s="359">
        <f t="shared" si="92"/>
        <v>238.73552666666666</v>
      </c>
      <c r="H255" t="s">
        <v>1763</v>
      </c>
      <c r="I255" t="str">
        <f t="shared" si="93"/>
        <v>\newcommand{\MassSubAWETotC}{238,7}%PGA/Nacelle</v>
      </c>
      <c r="J255" t="str">
        <f t="shared" si="94"/>
        <v>\MassSubAWETotC</v>
      </c>
      <c r="L255">
        <f t="shared" si="95"/>
        <v>238.73552666666666</v>
      </c>
      <c r="N255" s="347">
        <f>'For Graphics1'!Q234</f>
        <v>238735.52666666667</v>
      </c>
    </row>
    <row r="256" spans="1:14" x14ac:dyDescent="0.3">
      <c r="C256" t="s">
        <v>1786</v>
      </c>
      <c r="D256" t="str">
        <f t="shared" si="96"/>
        <v>MassSub</v>
      </c>
      <c r="E256" t="str">
        <f t="shared" si="91"/>
        <v>AWE</v>
      </c>
      <c r="F256" t="s">
        <v>1790</v>
      </c>
      <c r="G256" s="359">
        <f t="shared" si="92"/>
        <v>228.06669859521227</v>
      </c>
      <c r="H256" t="s">
        <v>16</v>
      </c>
      <c r="I256" t="str">
        <f t="shared" si="93"/>
        <v>\newcommand{\MassSubAWETotD}{228,1}%LLA</v>
      </c>
      <c r="J256" t="str">
        <f t="shared" si="94"/>
        <v>\MassSubAWETotD</v>
      </c>
      <c r="L256">
        <f t="shared" si="95"/>
        <v>228.06669859521227</v>
      </c>
      <c r="N256" s="347">
        <f>'For Graphics1'!Q235</f>
        <v>228066.69859521228</v>
      </c>
    </row>
    <row r="257" spans="3:14" x14ac:dyDescent="0.3">
      <c r="C257" t="s">
        <v>1784</v>
      </c>
      <c r="D257" t="str">
        <f t="shared" si="96"/>
        <v>MassSub</v>
      </c>
      <c r="E257" t="str">
        <f t="shared" si="91"/>
        <v>AWE</v>
      </c>
      <c r="F257" t="s">
        <v>1790</v>
      </c>
      <c r="G257" s="359">
        <f t="shared" si="92"/>
        <v>338.16522844337413</v>
      </c>
      <c r="H257" t="s">
        <v>50</v>
      </c>
      <c r="I257" t="str">
        <f t="shared" si="93"/>
        <v>\newcommand{\MassSubAWETotE}{338,2}%Foundation</v>
      </c>
      <c r="J257" t="str">
        <f t="shared" si="94"/>
        <v>\MassSubAWETotE</v>
      </c>
      <c r="L257">
        <f t="shared" si="95"/>
        <v>338.16522844337413</v>
      </c>
      <c r="N257" s="347">
        <f>'For Graphics1'!Q236</f>
        <v>338165.22844337416</v>
      </c>
    </row>
    <row r="258" spans="3:14" x14ac:dyDescent="0.3">
      <c r="C258" t="s">
        <v>1783</v>
      </c>
      <c r="D258" t="str">
        <f t="shared" si="96"/>
        <v>MassSub</v>
      </c>
      <c r="E258" t="str">
        <f t="shared" si="91"/>
        <v>AWE</v>
      </c>
      <c r="F258" t="s">
        <v>1790</v>
      </c>
      <c r="G258" s="359">
        <f t="shared" si="92"/>
        <v>45.579480000000004</v>
      </c>
      <c r="H258" t="s">
        <v>139</v>
      </c>
      <c r="I258" t="str">
        <f t="shared" si="93"/>
        <v>\newcommand{\MassSubAWETotF}{45,6}%BOS</v>
      </c>
      <c r="J258" t="str">
        <f t="shared" si="94"/>
        <v>\MassSubAWETotF</v>
      </c>
      <c r="L258">
        <f t="shared" si="95"/>
        <v>45.579480000000004</v>
      </c>
      <c r="N258" s="347">
        <f>'For Graphics1'!Q237</f>
        <v>45579.48</v>
      </c>
    </row>
    <row r="259" spans="3:14" x14ac:dyDescent="0.3">
      <c r="C259" t="s">
        <v>1782</v>
      </c>
      <c r="D259" t="str">
        <f t="shared" si="96"/>
        <v>MassSub</v>
      </c>
      <c r="E259" t="str">
        <f t="shared" si="91"/>
        <v>AWE</v>
      </c>
      <c r="F259" t="s">
        <v>1790</v>
      </c>
      <c r="G259" s="359">
        <f t="shared" si="92"/>
        <v>873.73486721845177</v>
      </c>
      <c r="H259" t="s">
        <v>191</v>
      </c>
      <c r="I259" t="str">
        <f t="shared" si="93"/>
        <v>\newcommand{\MassSubAWETotG}{873,7}%Total</v>
      </c>
      <c r="J259" t="str">
        <f t="shared" si="94"/>
        <v>\MassSubAWETotG</v>
      </c>
      <c r="L259">
        <f t="shared" si="95"/>
        <v>873.73486721845177</v>
      </c>
      <c r="N259" s="14">
        <f>SUM(N253:N258)</f>
        <v>873734.86721845181</v>
      </c>
    </row>
    <row r="260" spans="3:14" x14ac:dyDescent="0.3">
      <c r="M260">
        <f>E5</f>
        <v>462528</v>
      </c>
      <c r="N260" s="14"/>
    </row>
    <row r="261" spans="3:14" x14ac:dyDescent="0.3">
      <c r="C261" s="42" t="s">
        <v>720</v>
      </c>
      <c r="D261" s="42" t="s">
        <v>1809</v>
      </c>
      <c r="E261" t="str">
        <f>E259</f>
        <v>AWE</v>
      </c>
      <c r="F261" t="s">
        <v>1789</v>
      </c>
      <c r="G261" s="359">
        <f t="shared" ref="G261:G267" si="97">L261</f>
        <v>6.8924119473821807E-3</v>
      </c>
      <c r="H261" t="s">
        <v>1182</v>
      </c>
      <c r="I261" t="str">
        <f t="shared" ref="I261:I267" si="98">"\newcommand{"&amp;J261&amp;"}{"&amp;TEXT(G261,$H$13)&amp;"}%"&amp;H261</f>
        <v>\newcommand{\MassSubAWENormA}{0,0}%Tether/Tower</v>
      </c>
      <c r="J261" t="str">
        <f t="shared" ref="J261:J267" si="99">"\"&amp;D261&amp;E261&amp;F261&amp;C261</f>
        <v>\MassSubAWENormA</v>
      </c>
      <c r="L261">
        <f t="shared" ref="L261:L267" si="100">N253/$M$260</f>
        <v>6.8924119473821807E-3</v>
      </c>
    </row>
    <row r="262" spans="3:14" x14ac:dyDescent="0.3">
      <c r="C262" t="s">
        <v>788</v>
      </c>
      <c r="D262" t="str">
        <f t="shared" ref="D262:E267" si="101">D261</f>
        <v>MassSub</v>
      </c>
      <c r="E262" t="str">
        <f t="shared" si="101"/>
        <v>AWE</v>
      </c>
      <c r="F262" t="s">
        <v>1789</v>
      </c>
      <c r="G262" s="359">
        <f t="shared" si="97"/>
        <v>4.3240625432406254E-2</v>
      </c>
      <c r="H262" t="s">
        <v>1183</v>
      </c>
      <c r="I262" t="str">
        <f t="shared" si="98"/>
        <v>\newcommand{\MassSubAWENormB}{0,0}%Aircraft/Rotor</v>
      </c>
      <c r="J262" t="str">
        <f t="shared" si="99"/>
        <v>\MassSubAWENormB</v>
      </c>
      <c r="L262">
        <f t="shared" si="100"/>
        <v>4.3240625432406254E-2</v>
      </c>
    </row>
    <row r="263" spans="3:14" x14ac:dyDescent="0.3">
      <c r="C263" t="s">
        <v>790</v>
      </c>
      <c r="D263" t="str">
        <f t="shared" si="101"/>
        <v>MassSub</v>
      </c>
      <c r="E263" t="str">
        <f t="shared" si="101"/>
        <v>AWE</v>
      </c>
      <c r="F263" t="s">
        <v>1789</v>
      </c>
      <c r="G263" s="359">
        <f t="shared" si="97"/>
        <v>0.51615367430007841</v>
      </c>
      <c r="H263" t="s">
        <v>1763</v>
      </c>
      <c r="I263" t="str">
        <f t="shared" si="98"/>
        <v>\newcommand{\MassSubAWENormC}{0,5}%PGA/Nacelle</v>
      </c>
      <c r="J263" t="str">
        <f t="shared" si="99"/>
        <v>\MassSubAWENormC</v>
      </c>
      <c r="L263">
        <f t="shared" si="100"/>
        <v>0.51615367430007841</v>
      </c>
    </row>
    <row r="264" spans="3:14" x14ac:dyDescent="0.3">
      <c r="C264" t="s">
        <v>1786</v>
      </c>
      <c r="D264" t="str">
        <f t="shared" si="101"/>
        <v>MassSub</v>
      </c>
      <c r="E264" t="str">
        <f t="shared" si="101"/>
        <v>AWE</v>
      </c>
      <c r="F264" t="s">
        <v>1789</v>
      </c>
      <c r="G264" s="359">
        <f t="shared" si="97"/>
        <v>0.49308733437805341</v>
      </c>
      <c r="H264" t="s">
        <v>16</v>
      </c>
      <c r="I264" t="str">
        <f t="shared" si="98"/>
        <v>\newcommand{\MassSubAWENormD}{0,5}%LLA</v>
      </c>
      <c r="J264" t="str">
        <f t="shared" si="99"/>
        <v>\MassSubAWENormD</v>
      </c>
      <c r="L264">
        <f t="shared" si="100"/>
        <v>0.49308733437805341</v>
      </c>
    </row>
    <row r="265" spans="3:14" x14ac:dyDescent="0.3">
      <c r="C265" t="s">
        <v>1784</v>
      </c>
      <c r="D265" t="str">
        <f t="shared" si="101"/>
        <v>MassSub</v>
      </c>
      <c r="E265" t="str">
        <f t="shared" si="101"/>
        <v>AWE</v>
      </c>
      <c r="F265" t="s">
        <v>1789</v>
      </c>
      <c r="G265" s="359">
        <f t="shared" si="97"/>
        <v>0.73112379886920176</v>
      </c>
      <c r="H265" t="s">
        <v>50</v>
      </c>
      <c r="I265" t="str">
        <f t="shared" si="98"/>
        <v>\newcommand{\MassSubAWENormE}{0,7}%Foundation</v>
      </c>
      <c r="J265" t="str">
        <f t="shared" si="99"/>
        <v>\MassSubAWENormE</v>
      </c>
      <c r="L265">
        <f t="shared" si="100"/>
        <v>0.73112379886920176</v>
      </c>
    </row>
    <row r="266" spans="3:14" x14ac:dyDescent="0.3">
      <c r="C266" t="s">
        <v>1783</v>
      </c>
      <c r="D266" t="str">
        <f t="shared" si="101"/>
        <v>MassSub</v>
      </c>
      <c r="E266" t="str">
        <f t="shared" si="101"/>
        <v>AWE</v>
      </c>
      <c r="F266" t="s">
        <v>1789</v>
      </c>
      <c r="G266" s="359">
        <f t="shared" si="97"/>
        <v>9.8544261104192621E-2</v>
      </c>
      <c r="H266" t="s">
        <v>139</v>
      </c>
      <c r="I266" t="str">
        <f t="shared" si="98"/>
        <v>\newcommand{\MassSubAWENormF}{0,1}%BOS</v>
      </c>
      <c r="J266" t="str">
        <f t="shared" si="99"/>
        <v>\MassSubAWENormF</v>
      </c>
      <c r="L266">
        <f t="shared" si="100"/>
        <v>9.8544261104192621E-2</v>
      </c>
    </row>
    <row r="267" spans="3:14" x14ac:dyDescent="0.3">
      <c r="C267" t="s">
        <v>1782</v>
      </c>
      <c r="D267" t="str">
        <f t="shared" si="101"/>
        <v>MassSub</v>
      </c>
      <c r="E267" t="str">
        <f t="shared" si="101"/>
        <v>AWE</v>
      </c>
      <c r="F267" t="s">
        <v>1789</v>
      </c>
      <c r="G267" s="359">
        <f t="shared" si="97"/>
        <v>1.8890421060313145</v>
      </c>
      <c r="H267" t="s">
        <v>191</v>
      </c>
      <c r="I267" t="str">
        <f t="shared" si="98"/>
        <v>\newcommand{\MassSubAWENormG}{1,9}%Total</v>
      </c>
      <c r="J267" t="str">
        <f t="shared" si="99"/>
        <v>\MassSubAWENormG</v>
      </c>
      <c r="L267">
        <f t="shared" si="100"/>
        <v>1.8890421060313145</v>
      </c>
    </row>
    <row r="269" spans="3:14" x14ac:dyDescent="0.3">
      <c r="C269" s="42" t="s">
        <v>720</v>
      </c>
      <c r="D269" s="42" t="s">
        <v>1809</v>
      </c>
      <c r="E269" t="str">
        <f>E267</f>
        <v>AWE</v>
      </c>
      <c r="F269" t="s">
        <v>1812</v>
      </c>
      <c r="G269" s="359">
        <f t="shared" ref="G269:G275" si="102">L269</f>
        <v>0.36486280138363025</v>
      </c>
      <c r="H269" t="s">
        <v>1182</v>
      </c>
      <c r="I269" t="str">
        <f t="shared" ref="I269:I275" si="103">"\newcommand{"&amp;J269&amp;"}{"&amp;TEXT(G269,$H$13)&amp;"}%"&amp;H269</f>
        <v>\newcommand{\MassSubAWEPercentA}{0,4}%Tether/Tower</v>
      </c>
      <c r="J269" t="str">
        <f t="shared" ref="J269:J275" si="104">"\"&amp;D269&amp;E269&amp;F269&amp;C269</f>
        <v>\MassSubAWEPercentA</v>
      </c>
      <c r="L269">
        <f t="shared" ref="L269:L275" si="105">100*L253/$L$259</f>
        <v>0.36486280138363025</v>
      </c>
    </row>
    <row r="270" spans="3:14" x14ac:dyDescent="0.3">
      <c r="C270" t="s">
        <v>788</v>
      </c>
      <c r="D270" t="str">
        <f t="shared" ref="D270:F275" si="106">D269</f>
        <v>MassSub</v>
      </c>
      <c r="E270" t="str">
        <f t="shared" si="106"/>
        <v>AWE</v>
      </c>
      <c r="F270" t="str">
        <f t="shared" si="106"/>
        <v>Percent</v>
      </c>
      <c r="G270" s="359">
        <f t="shared" si="102"/>
        <v>2.2890239076380579</v>
      </c>
      <c r="H270" t="s">
        <v>1183</v>
      </c>
      <c r="I270" t="str">
        <f t="shared" si="103"/>
        <v>\newcommand{\MassSubAWEPercentB}{2,3}%Aircraft/Rotor</v>
      </c>
      <c r="J270" t="str">
        <f t="shared" si="104"/>
        <v>\MassSubAWEPercentB</v>
      </c>
      <c r="L270">
        <f t="shared" si="105"/>
        <v>2.2890239076380579</v>
      </c>
    </row>
    <row r="271" spans="3:14" x14ac:dyDescent="0.3">
      <c r="C271" t="s">
        <v>790</v>
      </c>
      <c r="D271" t="str">
        <f t="shared" si="106"/>
        <v>MassSub</v>
      </c>
      <c r="E271" t="str">
        <f t="shared" si="106"/>
        <v>AWE</v>
      </c>
      <c r="F271" t="str">
        <f t="shared" si="106"/>
        <v>Percent</v>
      </c>
      <c r="G271" s="359">
        <f t="shared" si="102"/>
        <v>27.323566407128155</v>
      </c>
      <c r="H271" t="s">
        <v>1763</v>
      </c>
      <c r="I271" t="str">
        <f t="shared" si="103"/>
        <v>\newcommand{\MassSubAWEPercentC}{27,3}%PGA/Nacelle</v>
      </c>
      <c r="J271" t="str">
        <f t="shared" si="104"/>
        <v>\MassSubAWEPercentC</v>
      </c>
      <c r="L271">
        <f t="shared" si="105"/>
        <v>27.323566407128155</v>
      </c>
    </row>
    <row r="272" spans="3:14" x14ac:dyDescent="0.3">
      <c r="C272" t="s">
        <v>1786</v>
      </c>
      <c r="D272" t="str">
        <f t="shared" si="106"/>
        <v>MassSub</v>
      </c>
      <c r="E272" t="str">
        <f t="shared" si="106"/>
        <v>AWE</v>
      </c>
      <c r="F272" t="str">
        <f t="shared" si="106"/>
        <v>Percent</v>
      </c>
      <c r="G272" s="359">
        <f t="shared" si="102"/>
        <v>26.102506281026194</v>
      </c>
      <c r="H272" t="s">
        <v>16</v>
      </c>
      <c r="I272" t="str">
        <f t="shared" si="103"/>
        <v>\newcommand{\MassSubAWEPercentD}{26,1}%LLA</v>
      </c>
      <c r="J272" t="str">
        <f t="shared" si="104"/>
        <v>\MassSubAWEPercentD</v>
      </c>
      <c r="L272">
        <f t="shared" si="105"/>
        <v>26.102506281026194</v>
      </c>
    </row>
    <row r="273" spans="1:13" x14ac:dyDescent="0.3">
      <c r="C273" t="s">
        <v>1784</v>
      </c>
      <c r="D273" t="str">
        <f t="shared" si="106"/>
        <v>MassSub</v>
      </c>
      <c r="E273" t="str">
        <f t="shared" si="106"/>
        <v>AWE</v>
      </c>
      <c r="F273" t="str">
        <f t="shared" si="106"/>
        <v>Percent</v>
      </c>
      <c r="G273" s="359">
        <f t="shared" si="102"/>
        <v>38.703414631938436</v>
      </c>
      <c r="H273" t="s">
        <v>50</v>
      </c>
      <c r="I273" t="str">
        <f t="shared" si="103"/>
        <v>\newcommand{\MassSubAWEPercentE}{38,7}%Foundation</v>
      </c>
      <c r="J273" t="str">
        <f t="shared" si="104"/>
        <v>\MassSubAWEPercentE</v>
      </c>
      <c r="L273">
        <f t="shared" si="105"/>
        <v>38.703414631938436</v>
      </c>
    </row>
    <row r="274" spans="1:13" x14ac:dyDescent="0.3">
      <c r="C274" t="s">
        <v>1783</v>
      </c>
      <c r="D274" t="str">
        <f t="shared" si="106"/>
        <v>MassSub</v>
      </c>
      <c r="E274" t="str">
        <f t="shared" si="106"/>
        <v>AWE</v>
      </c>
      <c r="F274" t="str">
        <f t="shared" si="106"/>
        <v>Percent</v>
      </c>
      <c r="G274" s="359">
        <f t="shared" si="102"/>
        <v>5.2166259708855351</v>
      </c>
      <c r="H274" t="s">
        <v>139</v>
      </c>
      <c r="I274" t="str">
        <f t="shared" si="103"/>
        <v>\newcommand{\MassSubAWEPercentF}{5,2}%BOS</v>
      </c>
      <c r="J274" t="str">
        <f t="shared" si="104"/>
        <v>\MassSubAWEPercentF</v>
      </c>
      <c r="L274">
        <f t="shared" si="105"/>
        <v>5.2166259708855351</v>
      </c>
    </row>
    <row r="275" spans="1:13" ht="13.8" customHeight="1" x14ac:dyDescent="0.3">
      <c r="C275" t="s">
        <v>1782</v>
      </c>
      <c r="D275" t="str">
        <f t="shared" si="106"/>
        <v>MassSub</v>
      </c>
      <c r="E275" t="str">
        <f t="shared" si="106"/>
        <v>AWE</v>
      </c>
      <c r="F275" t="str">
        <f t="shared" si="106"/>
        <v>Percent</v>
      </c>
      <c r="G275" s="359">
        <f t="shared" si="102"/>
        <v>100.00000000000001</v>
      </c>
      <c r="H275" t="s">
        <v>191</v>
      </c>
      <c r="I275" t="str">
        <f t="shared" si="103"/>
        <v>\newcommand{\MassSubAWEPercentG}{100,0}%Total</v>
      </c>
      <c r="J275" t="str">
        <f t="shared" si="104"/>
        <v>\MassSubAWEPercentG</v>
      </c>
      <c r="L275">
        <f t="shared" si="105"/>
        <v>100.00000000000001</v>
      </c>
    </row>
    <row r="276" spans="1:13" ht="13.8" customHeight="1" x14ac:dyDescent="0.3">
      <c r="M276">
        <f>L336</f>
        <v>912.96750015394025</v>
      </c>
    </row>
    <row r="277" spans="1:13" x14ac:dyDescent="0.3">
      <c r="C277" s="42" t="s">
        <v>720</v>
      </c>
      <c r="D277" s="42" t="s">
        <v>1809</v>
      </c>
      <c r="E277" t="str">
        <f>E275</f>
        <v>AWE</v>
      </c>
      <c r="F277" t="s">
        <v>1787</v>
      </c>
      <c r="G277" s="359">
        <f t="shared" ref="G277:G283" si="107">L277</f>
        <v>0.34918367988578464</v>
      </c>
      <c r="H277" t="s">
        <v>1182</v>
      </c>
      <c r="I277" t="str">
        <f t="shared" ref="I277:I283" si="108">"\newcommand{"&amp;J277&amp;"}{"&amp;TEXT(G277,$H$13)&amp;"}%"&amp;H277</f>
        <v>\newcommand{\MassSubAWEPofTotA}{0,3}%Tether/Tower</v>
      </c>
      <c r="J277" t="str">
        <f t="shared" ref="J277:J283" si="109">"\"&amp;D277&amp;E277&amp;F277&amp;C277</f>
        <v>\MassSubAWEPofTotA</v>
      </c>
      <c r="L277">
        <f t="shared" ref="L277:L283" si="110">100*L253/$M$276</f>
        <v>0.34918367988578464</v>
      </c>
    </row>
    <row r="278" spans="1:13" x14ac:dyDescent="0.3">
      <c r="C278" t="s">
        <v>788</v>
      </c>
      <c r="D278" t="str">
        <f t="shared" ref="D278:F283" si="111">D277</f>
        <v>MassSub</v>
      </c>
      <c r="E278" t="str">
        <f t="shared" si="111"/>
        <v>AWE</v>
      </c>
      <c r="F278" t="str">
        <f t="shared" si="111"/>
        <v>PofTot</v>
      </c>
      <c r="G278" s="359">
        <f t="shared" si="107"/>
        <v>2.1906584841878485</v>
      </c>
      <c r="H278" t="s">
        <v>1183</v>
      </c>
      <c r="I278" t="str">
        <f t="shared" si="108"/>
        <v>\newcommand{\MassSubAWEPofTotB}{2,2}%Aircraft/Rotor</v>
      </c>
      <c r="J278" t="str">
        <f t="shared" si="109"/>
        <v>\MassSubAWEPofTotB</v>
      </c>
      <c r="L278">
        <f t="shared" si="110"/>
        <v>2.1906584841878485</v>
      </c>
    </row>
    <row r="279" spans="1:13" x14ac:dyDescent="0.3">
      <c r="C279" t="s">
        <v>790</v>
      </c>
      <c r="D279" t="str">
        <f t="shared" si="111"/>
        <v>MassSub</v>
      </c>
      <c r="E279" t="str">
        <f t="shared" si="111"/>
        <v>AWE</v>
      </c>
      <c r="F279" t="str">
        <f t="shared" si="111"/>
        <v>PofTot</v>
      </c>
      <c r="G279" s="359">
        <f t="shared" si="107"/>
        <v>26.149400348469381</v>
      </c>
      <c r="H279" t="s">
        <v>1763</v>
      </c>
      <c r="I279" t="str">
        <f t="shared" si="108"/>
        <v>\newcommand{\MassSubAWEPofTotC}{26,1}%PGA/Nacelle</v>
      </c>
      <c r="J279" t="str">
        <f t="shared" si="109"/>
        <v>\MassSubAWEPofTotC</v>
      </c>
      <c r="L279">
        <f t="shared" si="110"/>
        <v>26.149400348469381</v>
      </c>
    </row>
    <row r="280" spans="1:13" x14ac:dyDescent="0.3">
      <c r="C280" t="s">
        <v>1786</v>
      </c>
      <c r="D280" t="str">
        <f t="shared" si="111"/>
        <v>MassSub</v>
      </c>
      <c r="E280" t="str">
        <f t="shared" si="111"/>
        <v>AWE</v>
      </c>
      <c r="F280" t="str">
        <f t="shared" si="111"/>
        <v>PofTot</v>
      </c>
      <c r="G280" s="359">
        <f t="shared" si="107"/>
        <v>24.980812411915728</v>
      </c>
      <c r="H280" t="s">
        <v>16</v>
      </c>
      <c r="I280" t="str">
        <f t="shared" si="108"/>
        <v>\newcommand{\MassSubAWEPofTotD}{25,0}%LLA</v>
      </c>
      <c r="J280" t="str">
        <f t="shared" si="109"/>
        <v>\MassSubAWEPofTotD</v>
      </c>
      <c r="L280">
        <f t="shared" si="110"/>
        <v>24.980812411915728</v>
      </c>
    </row>
    <row r="281" spans="1:13" x14ac:dyDescent="0.3">
      <c r="C281" t="s">
        <v>1784</v>
      </c>
      <c r="D281" t="str">
        <f t="shared" si="111"/>
        <v>MassSub</v>
      </c>
      <c r="E281" t="str">
        <f t="shared" si="111"/>
        <v>AWE</v>
      </c>
      <c r="F281" t="str">
        <f t="shared" si="111"/>
        <v>PofTot</v>
      </c>
      <c r="G281" s="359">
        <f t="shared" si="107"/>
        <v>37.040226337339973</v>
      </c>
      <c r="H281" t="s">
        <v>50</v>
      </c>
      <c r="I281" t="str">
        <f t="shared" si="108"/>
        <v>\newcommand{\MassSubAWEPofTotE}{37,0}%Foundation</v>
      </c>
      <c r="J281" t="str">
        <f t="shared" si="109"/>
        <v>\MassSubAWEPofTotE</v>
      </c>
      <c r="L281">
        <f t="shared" si="110"/>
        <v>37.040226337339973</v>
      </c>
    </row>
    <row r="282" spans="1:13" x14ac:dyDescent="0.3">
      <c r="C282" t="s">
        <v>1783</v>
      </c>
      <c r="D282" t="str">
        <f t="shared" si="111"/>
        <v>MassSub</v>
      </c>
      <c r="E282" t="str">
        <f t="shared" si="111"/>
        <v>AWE</v>
      </c>
      <c r="F282" t="str">
        <f t="shared" si="111"/>
        <v>PofTot</v>
      </c>
      <c r="G282" s="359">
        <f t="shared" si="107"/>
        <v>4.9924537283435182</v>
      </c>
      <c r="H282" t="s">
        <v>139</v>
      </c>
      <c r="I282" t="str">
        <f t="shared" si="108"/>
        <v>\newcommand{\MassSubAWEPofTotF}{5,0}%BOS</v>
      </c>
      <c r="J282" t="str">
        <f t="shared" si="109"/>
        <v>\MassSubAWEPofTotF</v>
      </c>
      <c r="L282">
        <f t="shared" si="110"/>
        <v>4.9924537283435182</v>
      </c>
    </row>
    <row r="283" spans="1:13" ht="13.8" customHeight="1" x14ac:dyDescent="0.3">
      <c r="C283" t="s">
        <v>1782</v>
      </c>
      <c r="D283" t="str">
        <f t="shared" si="111"/>
        <v>MassSub</v>
      </c>
      <c r="E283" t="str">
        <f t="shared" si="111"/>
        <v>AWE</v>
      </c>
      <c r="F283" t="str">
        <f t="shared" si="111"/>
        <v>PofTot</v>
      </c>
      <c r="G283" s="359">
        <f t="shared" si="107"/>
        <v>95.702734990142233</v>
      </c>
      <c r="H283" t="s">
        <v>191</v>
      </c>
      <c r="I283" t="str">
        <f t="shared" si="108"/>
        <v>\newcommand{\MassSubAWEPofTotG}{95,7}%Total</v>
      </c>
      <c r="J283" t="str">
        <f t="shared" si="109"/>
        <v>\MassSubAWEPofTotG</v>
      </c>
      <c r="L283">
        <f t="shared" si="110"/>
        <v>95.702734990142233</v>
      </c>
    </row>
    <row r="284" spans="1:13" ht="13.8" customHeight="1" x14ac:dyDescent="0.3"/>
    <row r="285" spans="1:13" ht="13.8" customHeight="1" x14ac:dyDescent="0.3"/>
    <row r="286" spans="1:13" ht="13.8" customHeight="1" x14ac:dyDescent="0.3"/>
    <row r="287" spans="1:13" x14ac:dyDescent="0.3">
      <c r="A287" s="70"/>
      <c r="B287" s="336" t="s">
        <v>1181</v>
      </c>
      <c r="C287" s="47"/>
      <c r="D287" s="70"/>
      <c r="E287" s="70"/>
      <c r="F287" s="70"/>
      <c r="G287" s="361"/>
      <c r="H287" s="70"/>
      <c r="I287" s="70"/>
      <c r="J287" s="70"/>
      <c r="K287" s="70"/>
    </row>
    <row r="289" spans="3:26" x14ac:dyDescent="0.3">
      <c r="C289" s="42"/>
      <c r="D289" s="42"/>
      <c r="E289" s="42" t="s">
        <v>1142</v>
      </c>
      <c r="F289" s="42" t="s">
        <v>1811</v>
      </c>
      <c r="H289" s="42" t="s">
        <v>1791</v>
      </c>
      <c r="I289" s="42" t="str">
        <f>"%" &amp;F289 &amp;H289 &amp;D289 &amp;H289  &amp;E289</f>
        <v>%Masses of the initially installed system..HAWT</v>
      </c>
      <c r="J289" s="42" t="str">
        <f>"\"&amp;D289&amp;E289&amp;F289</f>
        <v>\HAWTMasses of the initially installed system</v>
      </c>
      <c r="K289" s="42"/>
    </row>
    <row r="290" spans="3:26" x14ac:dyDescent="0.3">
      <c r="C290" s="42" t="s">
        <v>720</v>
      </c>
      <c r="D290" s="42" t="s">
        <v>1809</v>
      </c>
      <c r="E290" t="str">
        <f t="shared" ref="E290:E296" si="112">E289</f>
        <v>HAWT</v>
      </c>
      <c r="F290" t="s">
        <v>1790</v>
      </c>
      <c r="G290" s="359">
        <f t="shared" ref="G290:G296" si="113">L290</f>
        <v>600</v>
      </c>
      <c r="H290" t="s">
        <v>1182</v>
      </c>
      <c r="I290" t="str">
        <f t="shared" ref="I290:I296" si="114">"\newcommand{"&amp;J290&amp;"}{"&amp;TEXT(G290,$H$13)&amp;"}%"&amp;H290</f>
        <v>\newcommand{\MassSubHAWTTotA}{600,0}%Tether/Tower</v>
      </c>
      <c r="J290" t="str">
        <f t="shared" ref="J290:J296" si="115">"\"&amp;D290&amp;E290&amp;F290&amp;C290</f>
        <v>\MassSubHAWTTotA</v>
      </c>
      <c r="L290">
        <f t="shared" ref="L290:L296" si="116">N290/1000</f>
        <v>600</v>
      </c>
      <c r="N290" s="347">
        <f>'For Graphics1'!R232</f>
        <v>600000</v>
      </c>
    </row>
    <row r="291" spans="3:26" x14ac:dyDescent="0.3">
      <c r="C291" t="s">
        <v>788</v>
      </c>
      <c r="D291" t="str">
        <f t="shared" ref="D291:D296" si="117">D290</f>
        <v>MassSub</v>
      </c>
      <c r="E291" t="str">
        <f t="shared" si="112"/>
        <v>HAWT</v>
      </c>
      <c r="F291" t="s">
        <v>1790</v>
      </c>
      <c r="G291" s="359">
        <f t="shared" si="113"/>
        <v>98.9</v>
      </c>
      <c r="H291" t="s">
        <v>1183</v>
      </c>
      <c r="I291" t="str">
        <f t="shared" si="114"/>
        <v>\newcommand{\MassSubHAWTTotB}{98,9}%Aircraft/Rotor</v>
      </c>
      <c r="J291" t="str">
        <f t="shared" si="115"/>
        <v>\MassSubHAWTTotB</v>
      </c>
      <c r="L291">
        <f t="shared" si="116"/>
        <v>98.9</v>
      </c>
      <c r="N291" s="347">
        <f>'For Graphics1'!R233</f>
        <v>98900</v>
      </c>
    </row>
    <row r="292" spans="3:26" x14ac:dyDescent="0.3">
      <c r="C292" t="s">
        <v>790</v>
      </c>
      <c r="D292" t="str">
        <f t="shared" si="117"/>
        <v>MassSub</v>
      </c>
      <c r="E292" t="str">
        <f t="shared" si="112"/>
        <v>HAWT</v>
      </c>
      <c r="F292" t="s">
        <v>1790</v>
      </c>
      <c r="G292" s="359">
        <f t="shared" si="113"/>
        <v>201.08812499999999</v>
      </c>
      <c r="H292" t="s">
        <v>1763</v>
      </c>
      <c r="I292" t="str">
        <f t="shared" si="114"/>
        <v>\newcommand{\MassSubHAWTTotC}{201,1}%PGA/Nacelle</v>
      </c>
      <c r="J292" t="str">
        <f t="shared" si="115"/>
        <v>\MassSubHAWTTotC</v>
      </c>
      <c r="L292">
        <f t="shared" si="116"/>
        <v>201.08812499999999</v>
      </c>
      <c r="N292" s="347">
        <f>'For Graphics1'!$S$234</f>
        <v>201088.125</v>
      </c>
    </row>
    <row r="293" spans="3:26" x14ac:dyDescent="0.3">
      <c r="C293" t="s">
        <v>1786</v>
      </c>
      <c r="D293" t="str">
        <f t="shared" si="117"/>
        <v>MassSub</v>
      </c>
      <c r="E293" t="str">
        <f t="shared" si="112"/>
        <v>HAWT</v>
      </c>
      <c r="F293" t="s">
        <v>1790</v>
      </c>
      <c r="G293" s="359">
        <f t="shared" si="113"/>
        <v>0</v>
      </c>
      <c r="H293" t="s">
        <v>16</v>
      </c>
      <c r="I293" t="str">
        <f t="shared" si="114"/>
        <v>\newcommand{\MassSubHAWTTotD}{0,0}%LLA</v>
      </c>
      <c r="J293" t="str">
        <f t="shared" si="115"/>
        <v>\MassSubHAWTTotD</v>
      </c>
      <c r="L293">
        <f t="shared" si="116"/>
        <v>0</v>
      </c>
      <c r="N293" s="347">
        <f>'For Graphics1'!R235</f>
        <v>0</v>
      </c>
    </row>
    <row r="294" spans="3:26" x14ac:dyDescent="0.3">
      <c r="C294" t="s">
        <v>1784</v>
      </c>
      <c r="D294" t="str">
        <f t="shared" si="117"/>
        <v>MassSub</v>
      </c>
      <c r="E294" t="str">
        <f t="shared" si="112"/>
        <v>HAWT</v>
      </c>
      <c r="F294" t="s">
        <v>1790</v>
      </c>
      <c r="G294" s="359">
        <f t="shared" si="113"/>
        <v>1715.825</v>
      </c>
      <c r="H294" t="s">
        <v>50</v>
      </c>
      <c r="I294" t="str">
        <f t="shared" si="114"/>
        <v>\newcommand{\MassSubHAWTTotE}{1715,8}%Foundation</v>
      </c>
      <c r="J294" t="str">
        <f t="shared" si="115"/>
        <v>\MassSubHAWTTotE</v>
      </c>
      <c r="L294">
        <f t="shared" si="116"/>
        <v>1715.825</v>
      </c>
      <c r="N294" s="347">
        <f>'For Graphics1'!R236</f>
        <v>1715825</v>
      </c>
    </row>
    <row r="295" spans="3:26" x14ac:dyDescent="0.3">
      <c r="C295" t="s">
        <v>1783</v>
      </c>
      <c r="D295" t="str">
        <f t="shared" si="117"/>
        <v>MassSub</v>
      </c>
      <c r="E295" t="str">
        <f t="shared" si="112"/>
        <v>HAWT</v>
      </c>
      <c r="F295" t="s">
        <v>1790</v>
      </c>
      <c r="G295" s="359">
        <f t="shared" si="113"/>
        <v>43.685265299999998</v>
      </c>
      <c r="H295" t="s">
        <v>139</v>
      </c>
      <c r="I295" t="str">
        <f t="shared" si="114"/>
        <v>\newcommand{\MassSubHAWTTotF}{43,7}%BOS</v>
      </c>
      <c r="J295" t="str">
        <f t="shared" si="115"/>
        <v>\MassSubHAWTTotF</v>
      </c>
      <c r="L295">
        <f t="shared" si="116"/>
        <v>43.685265299999998</v>
      </c>
      <c r="N295" s="347">
        <f>'For Graphics1'!R237</f>
        <v>43685.265299999999</v>
      </c>
    </row>
    <row r="296" spans="3:26" x14ac:dyDescent="0.3">
      <c r="C296" t="s">
        <v>1782</v>
      </c>
      <c r="D296" t="str">
        <f t="shared" si="117"/>
        <v>MassSub</v>
      </c>
      <c r="E296" t="str">
        <f t="shared" si="112"/>
        <v>HAWT</v>
      </c>
      <c r="F296" t="s">
        <v>1790</v>
      </c>
      <c r="G296" s="359">
        <f t="shared" si="113"/>
        <v>2659.4983903000002</v>
      </c>
      <c r="H296" t="s">
        <v>191</v>
      </c>
      <c r="I296" t="str">
        <f t="shared" si="114"/>
        <v>\newcommand{\MassSubHAWTTotG}{2659,5}%Total</v>
      </c>
      <c r="J296" t="str">
        <f t="shared" si="115"/>
        <v>\MassSubHAWTTotG</v>
      </c>
      <c r="L296">
        <f t="shared" si="116"/>
        <v>2659.4983903000002</v>
      </c>
      <c r="N296" s="14">
        <f>SUM(N290:N295)</f>
        <v>2659498.3903000001</v>
      </c>
    </row>
    <row r="297" spans="3:26" x14ac:dyDescent="0.3">
      <c r="M297">
        <f>E6</f>
        <v>410885.60999999993</v>
      </c>
      <c r="N297" s="14"/>
    </row>
    <row r="298" spans="3:26" x14ac:dyDescent="0.3">
      <c r="C298" s="42" t="s">
        <v>720</v>
      </c>
      <c r="D298" s="42" t="s">
        <v>1809</v>
      </c>
      <c r="E298" t="str">
        <f>E296</f>
        <v>HAWT</v>
      </c>
      <c r="F298" t="s">
        <v>1789</v>
      </c>
      <c r="G298" s="359">
        <f t="shared" ref="G298:G304" si="118">L298</f>
        <v>1.4602604359884983</v>
      </c>
      <c r="H298" t="s">
        <v>1182</v>
      </c>
      <c r="I298" t="str">
        <f t="shared" ref="I298:I304" si="119">"\newcommand{"&amp;J298&amp;"}{"&amp;TEXT(G298,$H$13)&amp;"}%"&amp;H298</f>
        <v>\newcommand{\MassSubHAWTNormA}{1,5}%Tether/Tower</v>
      </c>
      <c r="J298" t="str">
        <f t="shared" ref="J298:J304" si="120">"\"&amp;D298&amp;E298&amp;F298&amp;C298</f>
        <v>\MassSubHAWTNormA</v>
      </c>
      <c r="L298">
        <f t="shared" ref="L298:L304" si="121">N290/$M$297</f>
        <v>1.4602604359884983</v>
      </c>
    </row>
    <row r="299" spans="3:26" x14ac:dyDescent="0.3">
      <c r="C299" t="s">
        <v>788</v>
      </c>
      <c r="D299" t="str">
        <f t="shared" ref="D299:E304" si="122">D298</f>
        <v>MassSub</v>
      </c>
      <c r="E299" t="str">
        <f t="shared" si="122"/>
        <v>HAWT</v>
      </c>
      <c r="F299" t="s">
        <v>1789</v>
      </c>
      <c r="G299" s="359">
        <f t="shared" si="118"/>
        <v>0.24069959519877082</v>
      </c>
      <c r="H299" t="s">
        <v>1183</v>
      </c>
      <c r="I299" t="str">
        <f t="shared" si="119"/>
        <v>\newcommand{\MassSubHAWTNormB}{0,2}%Aircraft/Rotor</v>
      </c>
      <c r="J299" t="str">
        <f t="shared" si="120"/>
        <v>\MassSubHAWTNormB</v>
      </c>
      <c r="L299">
        <f t="shared" si="121"/>
        <v>0.24069959519877082</v>
      </c>
    </row>
    <row r="300" spans="3:26" x14ac:dyDescent="0.3">
      <c r="C300" t="s">
        <v>790</v>
      </c>
      <c r="D300" t="str">
        <f t="shared" si="122"/>
        <v>MassSub</v>
      </c>
      <c r="E300" t="str">
        <f t="shared" si="122"/>
        <v>HAWT</v>
      </c>
      <c r="F300" t="s">
        <v>1789</v>
      </c>
      <c r="G300" s="359">
        <f t="shared" si="118"/>
        <v>0.48940172180768277</v>
      </c>
      <c r="H300" t="s">
        <v>1763</v>
      </c>
      <c r="I300" t="str">
        <f t="shared" si="119"/>
        <v>\newcommand{\MassSubHAWTNormC}{0,5}%PGA/Nacelle</v>
      </c>
      <c r="J300" t="str">
        <f t="shared" si="120"/>
        <v>\MassSubHAWTNormC</v>
      </c>
      <c r="L300">
        <f t="shared" si="121"/>
        <v>0.48940172180768277</v>
      </c>
    </row>
    <row r="301" spans="3:26" x14ac:dyDescent="0.3">
      <c r="C301" t="s">
        <v>1786</v>
      </c>
      <c r="D301" t="str">
        <f t="shared" si="122"/>
        <v>MassSub</v>
      </c>
      <c r="E301" t="str">
        <f t="shared" si="122"/>
        <v>HAWT</v>
      </c>
      <c r="F301" t="s">
        <v>1789</v>
      </c>
      <c r="G301" s="359">
        <f t="shared" si="118"/>
        <v>0</v>
      </c>
      <c r="H301" t="s">
        <v>16</v>
      </c>
      <c r="I301" t="str">
        <f t="shared" si="119"/>
        <v>\newcommand{\MassSubHAWTNormD}{0,0}%LLA</v>
      </c>
      <c r="J301" t="str">
        <f t="shared" si="120"/>
        <v>\MassSubHAWTNormD</v>
      </c>
      <c r="L301">
        <f t="shared" si="121"/>
        <v>0</v>
      </c>
      <c r="Y301">
        <f>G256+G253*9</f>
        <v>256.75810021400133</v>
      </c>
    </row>
    <row r="302" spans="3:26" x14ac:dyDescent="0.3">
      <c r="C302" t="s">
        <v>1784</v>
      </c>
      <c r="D302" t="str">
        <f t="shared" si="122"/>
        <v>MassSub</v>
      </c>
      <c r="E302" t="str">
        <f t="shared" si="122"/>
        <v>HAWT</v>
      </c>
      <c r="F302" t="s">
        <v>1789</v>
      </c>
      <c r="G302" s="359">
        <f t="shared" si="118"/>
        <v>4.1759189376332753</v>
      </c>
      <c r="H302" t="s">
        <v>50</v>
      </c>
      <c r="I302" t="str">
        <f t="shared" si="119"/>
        <v>\newcommand{\MassSubHAWTNormE}{4,2}%Foundation</v>
      </c>
      <c r="J302" t="str">
        <f t="shared" si="120"/>
        <v>\MassSubHAWTNormE</v>
      </c>
      <c r="L302">
        <f t="shared" si="121"/>
        <v>4.1759189376332753</v>
      </c>
      <c r="Y302" s="14">
        <f>G290</f>
        <v>600</v>
      </c>
      <c r="Z302" s="14">
        <f>Y302-Y301</f>
        <v>343.24189978599867</v>
      </c>
    </row>
    <row r="303" spans="3:26" x14ac:dyDescent="0.3">
      <c r="C303" t="s">
        <v>1783</v>
      </c>
      <c r="D303" t="str">
        <f t="shared" si="122"/>
        <v>MassSub</v>
      </c>
      <c r="E303" t="str">
        <f t="shared" si="122"/>
        <v>HAWT</v>
      </c>
      <c r="F303" t="s">
        <v>1789</v>
      </c>
      <c r="G303" s="359">
        <f t="shared" si="118"/>
        <v>0.10631977425541869</v>
      </c>
      <c r="H303" t="s">
        <v>139</v>
      </c>
      <c r="I303" t="str">
        <f t="shared" si="119"/>
        <v>\newcommand{\MassSubHAWTNormF}{0,1}%BOS</v>
      </c>
      <c r="J303" t="str">
        <f t="shared" si="120"/>
        <v>\MassSubHAWTNormF</v>
      </c>
      <c r="L303">
        <f t="shared" si="121"/>
        <v>0.10631977425541869</v>
      </c>
      <c r="Y303">
        <f>Y302/Y301</f>
        <v>2.3368298780054664</v>
      </c>
      <c r="Z303">
        <f>Z302/Y302</f>
        <v>0.57206983297666447</v>
      </c>
    </row>
    <row r="304" spans="3:26" x14ac:dyDescent="0.3">
      <c r="C304" t="s">
        <v>1782</v>
      </c>
      <c r="D304" t="str">
        <f t="shared" si="122"/>
        <v>MassSub</v>
      </c>
      <c r="E304" t="str">
        <f t="shared" si="122"/>
        <v>HAWT</v>
      </c>
      <c r="F304" t="s">
        <v>1789</v>
      </c>
      <c r="G304" s="359">
        <f t="shared" si="118"/>
        <v>6.4726004648836462</v>
      </c>
      <c r="H304" t="s">
        <v>191</v>
      </c>
      <c r="I304" t="str">
        <f t="shared" si="119"/>
        <v>\newcommand{\MassSubHAWTNormG}{6,5}%Total</v>
      </c>
      <c r="J304" t="str">
        <f t="shared" si="120"/>
        <v>\MassSubHAWTNormG</v>
      </c>
      <c r="L304">
        <f t="shared" si="121"/>
        <v>6.4726004648836462</v>
      </c>
      <c r="Y304">
        <f>Y301/Y302</f>
        <v>0.42793016702333553</v>
      </c>
    </row>
    <row r="306" spans="3:13" x14ac:dyDescent="0.3">
      <c r="C306" s="42" t="s">
        <v>720</v>
      </c>
      <c r="D306" s="42" t="s">
        <v>1809</v>
      </c>
      <c r="E306" t="str">
        <f>E304</f>
        <v>HAWT</v>
      </c>
      <c r="F306" t="s">
        <v>1810</v>
      </c>
      <c r="G306" s="359">
        <f t="shared" ref="G306:G312" si="123">L306</f>
        <v>22.560645352837309</v>
      </c>
      <c r="H306" t="s">
        <v>1182</v>
      </c>
      <c r="I306" t="str">
        <f t="shared" ref="I306:I312" si="124">"\newcommand{"&amp;J306&amp;"}{"&amp;TEXT(G306,$H$13)&amp;"}%"&amp;H306</f>
        <v>\newcommand{\MassSubHAWTpercentA}{22,6}%Tether/Tower</v>
      </c>
      <c r="J306" t="str">
        <f t="shared" ref="J306:J312" si="125">"\"&amp;D306&amp;E306&amp;F306&amp;C306</f>
        <v>\MassSubHAWTpercentA</v>
      </c>
      <c r="L306">
        <f t="shared" ref="L306:L312" si="126">100*L290/$L$296</f>
        <v>22.560645352837309</v>
      </c>
    </row>
    <row r="307" spans="3:13" x14ac:dyDescent="0.3">
      <c r="C307" t="s">
        <v>788</v>
      </c>
      <c r="D307" t="str">
        <f t="shared" ref="D307:F312" si="127">D306</f>
        <v>MassSub</v>
      </c>
      <c r="E307" t="str">
        <f t="shared" si="127"/>
        <v>HAWT</v>
      </c>
      <c r="F307" t="str">
        <f t="shared" si="127"/>
        <v>percent</v>
      </c>
      <c r="G307" s="359">
        <f t="shared" si="123"/>
        <v>3.7187463756593497</v>
      </c>
      <c r="H307" t="s">
        <v>1183</v>
      </c>
      <c r="I307" t="str">
        <f t="shared" si="124"/>
        <v>\newcommand{\MassSubHAWTpercentB}{3,7}%Aircraft/Rotor</v>
      </c>
      <c r="J307" t="str">
        <f t="shared" si="125"/>
        <v>\MassSubHAWTpercentB</v>
      </c>
      <c r="L307">
        <f t="shared" si="126"/>
        <v>3.7187463756593497</v>
      </c>
    </row>
    <row r="308" spans="3:13" x14ac:dyDescent="0.3">
      <c r="C308" t="s">
        <v>790</v>
      </c>
      <c r="D308" t="str">
        <f t="shared" si="127"/>
        <v>MassSub</v>
      </c>
      <c r="E308" t="str">
        <f t="shared" si="127"/>
        <v>HAWT</v>
      </c>
      <c r="F308" t="str">
        <f t="shared" si="127"/>
        <v>percent</v>
      </c>
      <c r="G308" s="359">
        <f t="shared" si="123"/>
        <v>7.5611297879866957</v>
      </c>
      <c r="H308" t="s">
        <v>1763</v>
      </c>
      <c r="I308" t="str">
        <f t="shared" si="124"/>
        <v>\newcommand{\MassSubHAWTpercentC}{7,6}%PGA/Nacelle</v>
      </c>
      <c r="J308" t="str">
        <f t="shared" si="125"/>
        <v>\MassSubHAWTpercentC</v>
      </c>
      <c r="L308">
        <f t="shared" si="126"/>
        <v>7.5611297879866957</v>
      </c>
    </row>
    <row r="309" spans="3:13" x14ac:dyDescent="0.3">
      <c r="C309" t="s">
        <v>1786</v>
      </c>
      <c r="D309" t="str">
        <f t="shared" si="127"/>
        <v>MassSub</v>
      </c>
      <c r="E309" t="str">
        <f t="shared" si="127"/>
        <v>HAWT</v>
      </c>
      <c r="F309" t="str">
        <f t="shared" si="127"/>
        <v>percent</v>
      </c>
      <c r="G309" s="359">
        <f t="shared" si="123"/>
        <v>0</v>
      </c>
      <c r="H309" t="s">
        <v>16</v>
      </c>
      <c r="I309" t="str">
        <f t="shared" si="124"/>
        <v>\newcommand{\MassSubHAWTpercentD}{0,0}%LLA</v>
      </c>
      <c r="J309" t="str">
        <f t="shared" si="125"/>
        <v>\MassSubHAWTpercentD</v>
      </c>
      <c r="L309">
        <f t="shared" si="126"/>
        <v>0</v>
      </c>
    </row>
    <row r="310" spans="3:13" x14ac:dyDescent="0.3">
      <c r="C310" t="s">
        <v>1784</v>
      </c>
      <c r="D310" t="str">
        <f t="shared" si="127"/>
        <v>MassSub</v>
      </c>
      <c r="E310" t="str">
        <f t="shared" si="127"/>
        <v>HAWT</v>
      </c>
      <c r="F310" t="str">
        <f t="shared" si="127"/>
        <v>percent</v>
      </c>
      <c r="G310" s="359">
        <f t="shared" si="123"/>
        <v>64.516865520886796</v>
      </c>
      <c r="H310" t="s">
        <v>50</v>
      </c>
      <c r="I310" t="str">
        <f t="shared" si="124"/>
        <v>\newcommand{\MassSubHAWTpercentE}{64,5}%Foundation</v>
      </c>
      <c r="J310" t="str">
        <f t="shared" si="125"/>
        <v>\MassSubHAWTpercentE</v>
      </c>
      <c r="L310">
        <f t="shared" si="126"/>
        <v>64.516865520886796</v>
      </c>
    </row>
    <row r="311" spans="3:13" x14ac:dyDescent="0.3">
      <c r="C311" t="s">
        <v>1783</v>
      </c>
      <c r="D311" t="str">
        <f t="shared" si="127"/>
        <v>MassSub</v>
      </c>
      <c r="E311" t="str">
        <f t="shared" si="127"/>
        <v>HAWT</v>
      </c>
      <c r="F311" t="str">
        <f t="shared" si="127"/>
        <v>percent</v>
      </c>
      <c r="G311" s="359">
        <f t="shared" si="123"/>
        <v>1.6426129626298498</v>
      </c>
      <c r="H311" t="s">
        <v>139</v>
      </c>
      <c r="I311" t="str">
        <f t="shared" si="124"/>
        <v>\newcommand{\MassSubHAWTpercentF}{1,6}%BOS</v>
      </c>
      <c r="J311" t="str">
        <f t="shared" si="125"/>
        <v>\MassSubHAWTpercentF</v>
      </c>
      <c r="L311">
        <f t="shared" si="126"/>
        <v>1.6426129626298498</v>
      </c>
    </row>
    <row r="312" spans="3:13" x14ac:dyDescent="0.3">
      <c r="C312" t="s">
        <v>1782</v>
      </c>
      <c r="D312" t="str">
        <f t="shared" si="127"/>
        <v>MassSub</v>
      </c>
      <c r="E312" t="str">
        <f t="shared" si="127"/>
        <v>HAWT</v>
      </c>
      <c r="F312" t="str">
        <f t="shared" si="127"/>
        <v>percent</v>
      </c>
      <c r="G312" s="359">
        <f t="shared" si="123"/>
        <v>100</v>
      </c>
      <c r="H312" t="s">
        <v>191</v>
      </c>
      <c r="I312" t="str">
        <f t="shared" si="124"/>
        <v>\newcommand{\MassSubHAWTpercentG}{100,0}%Total</v>
      </c>
      <c r="J312" t="str">
        <f t="shared" si="125"/>
        <v>\MassSubHAWTpercentG</v>
      </c>
      <c r="L312">
        <f t="shared" si="126"/>
        <v>100</v>
      </c>
    </row>
    <row r="313" spans="3:13" x14ac:dyDescent="0.3">
      <c r="M313">
        <f>L371</f>
        <v>2708.0983903000001</v>
      </c>
    </row>
    <row r="314" spans="3:13" x14ac:dyDescent="0.3">
      <c r="C314" s="42" t="s">
        <v>720</v>
      </c>
      <c r="D314" s="42" t="s">
        <v>1809</v>
      </c>
      <c r="E314" t="str">
        <f>E312</f>
        <v>HAWT</v>
      </c>
      <c r="F314" t="s">
        <v>1787</v>
      </c>
      <c r="G314" s="359">
        <f t="shared" ref="G314:G320" si="128">L314</f>
        <v>22.155768126782597</v>
      </c>
      <c r="H314" t="s">
        <v>1182</v>
      </c>
      <c r="I314" t="str">
        <f t="shared" ref="I314:I320" si="129">"\newcommand{"&amp;J314&amp;"}{"&amp;TEXT(G314,$H$13)&amp;"}%"&amp;H314</f>
        <v>\newcommand{\MassSubHAWTPofTotA}{22,2}%Tether/Tower</v>
      </c>
      <c r="J314" t="str">
        <f t="shared" ref="J314:J320" si="130">"\"&amp;D314&amp;E314&amp;F314&amp;C314</f>
        <v>\MassSubHAWTPofTotA</v>
      </c>
      <c r="L314">
        <f t="shared" ref="L314:L320" si="131">100*L290/$M$313</f>
        <v>22.155768126782597</v>
      </c>
    </row>
    <row r="315" spans="3:13" x14ac:dyDescent="0.3">
      <c r="C315" t="s">
        <v>788</v>
      </c>
      <c r="D315" t="str">
        <f t="shared" ref="D315:F320" si="132">D314</f>
        <v>MassSub</v>
      </c>
      <c r="E315" t="str">
        <f t="shared" si="132"/>
        <v>HAWT</v>
      </c>
      <c r="F315" t="str">
        <f t="shared" si="132"/>
        <v>PofTot</v>
      </c>
      <c r="G315" s="359">
        <f t="shared" si="128"/>
        <v>3.6520091128979981</v>
      </c>
      <c r="H315" t="s">
        <v>1183</v>
      </c>
      <c r="I315" t="str">
        <f t="shared" si="129"/>
        <v>\newcommand{\MassSubHAWTPofTotB}{3,7}%Aircraft/Rotor</v>
      </c>
      <c r="J315" t="str">
        <f t="shared" si="130"/>
        <v>\MassSubHAWTPofTotB</v>
      </c>
      <c r="L315">
        <f t="shared" si="131"/>
        <v>3.6520091128979981</v>
      </c>
    </row>
    <row r="316" spans="3:13" x14ac:dyDescent="0.3">
      <c r="C316" t="s">
        <v>790</v>
      </c>
      <c r="D316" t="str">
        <f t="shared" si="132"/>
        <v>MassSub</v>
      </c>
      <c r="E316" t="str">
        <f t="shared" si="132"/>
        <v>HAWT</v>
      </c>
      <c r="F316" t="str">
        <f t="shared" si="132"/>
        <v>PofTot</v>
      </c>
      <c r="G316" s="359">
        <f t="shared" si="128"/>
        <v>7.4254364509157913</v>
      </c>
      <c r="H316" t="s">
        <v>1763</v>
      </c>
      <c r="I316" t="str">
        <f t="shared" si="129"/>
        <v>\newcommand{\MassSubHAWTPofTotC}{7,4}%PGA/Nacelle</v>
      </c>
      <c r="J316" t="str">
        <f t="shared" si="130"/>
        <v>\MassSubHAWTPofTotC</v>
      </c>
      <c r="L316">
        <f t="shared" si="131"/>
        <v>7.4254364509157913</v>
      </c>
    </row>
    <row r="317" spans="3:13" x14ac:dyDescent="0.3">
      <c r="C317" t="s">
        <v>1786</v>
      </c>
      <c r="D317" t="str">
        <f t="shared" si="132"/>
        <v>MassSub</v>
      </c>
      <c r="E317" t="str">
        <f t="shared" si="132"/>
        <v>HAWT</v>
      </c>
      <c r="F317" t="str">
        <f t="shared" si="132"/>
        <v>PofTot</v>
      </c>
      <c r="G317" s="359">
        <f t="shared" si="128"/>
        <v>0</v>
      </c>
      <c r="H317" t="s">
        <v>16</v>
      </c>
      <c r="I317" t="str">
        <f t="shared" si="129"/>
        <v>\newcommand{\MassSubHAWTPofTotD}{0,0}%LLA</v>
      </c>
      <c r="J317" t="str">
        <f t="shared" si="130"/>
        <v>\MassSubHAWTPofTotD</v>
      </c>
      <c r="L317">
        <f t="shared" si="131"/>
        <v>0</v>
      </c>
    </row>
    <row r="318" spans="3:13" x14ac:dyDescent="0.3">
      <c r="C318" t="s">
        <v>1784</v>
      </c>
      <c r="D318" t="str">
        <f t="shared" si="132"/>
        <v>MassSub</v>
      </c>
      <c r="E318" t="str">
        <f t="shared" si="132"/>
        <v>HAWT</v>
      </c>
      <c r="F318" t="str">
        <f t="shared" si="132"/>
        <v>PofTot</v>
      </c>
      <c r="G318" s="359">
        <f t="shared" si="128"/>
        <v>63.359034743561246</v>
      </c>
      <c r="H318" t="s">
        <v>50</v>
      </c>
      <c r="I318" t="str">
        <f t="shared" si="129"/>
        <v>\newcommand{\MassSubHAWTPofTotE}{63,4}%Foundation</v>
      </c>
      <c r="J318" t="str">
        <f t="shared" si="130"/>
        <v>\MassSubHAWTPofTotE</v>
      </c>
      <c r="L318">
        <f t="shared" si="131"/>
        <v>63.359034743561246</v>
      </c>
    </row>
    <row r="319" spans="3:13" x14ac:dyDescent="0.3">
      <c r="C319" t="s">
        <v>1783</v>
      </c>
      <c r="D319" t="str">
        <f t="shared" si="132"/>
        <v>MassSub</v>
      </c>
      <c r="E319" t="str">
        <f t="shared" si="132"/>
        <v>HAWT</v>
      </c>
      <c r="F319" t="str">
        <f t="shared" si="132"/>
        <v>PofTot</v>
      </c>
      <c r="G319" s="359">
        <f t="shared" si="128"/>
        <v>1.6131343475729696</v>
      </c>
      <c r="H319" t="s">
        <v>139</v>
      </c>
      <c r="I319" t="str">
        <f t="shared" si="129"/>
        <v>\newcommand{\MassSubHAWTPofTotF}{1,6}%BOS</v>
      </c>
      <c r="J319" t="str">
        <f t="shared" si="130"/>
        <v>\MassSubHAWTPofTotF</v>
      </c>
      <c r="L319">
        <f t="shared" si="131"/>
        <v>1.6131343475729696</v>
      </c>
    </row>
    <row r="320" spans="3:13" x14ac:dyDescent="0.3">
      <c r="C320" t="s">
        <v>1782</v>
      </c>
      <c r="D320" t="str">
        <f t="shared" si="132"/>
        <v>MassSub</v>
      </c>
      <c r="E320" t="str">
        <f t="shared" si="132"/>
        <v>HAWT</v>
      </c>
      <c r="F320" t="str">
        <f t="shared" si="132"/>
        <v>PofTot</v>
      </c>
      <c r="G320" s="359">
        <f t="shared" si="128"/>
        <v>98.20538278173062</v>
      </c>
      <c r="H320" t="s">
        <v>191</v>
      </c>
      <c r="I320" t="str">
        <f t="shared" si="129"/>
        <v>\newcommand{\MassSubHAWTPofTotG}{98,2}%Total</v>
      </c>
      <c r="J320" t="str">
        <f t="shared" si="130"/>
        <v>\MassSubHAWTPofTotG</v>
      </c>
      <c r="L320">
        <f t="shared" si="131"/>
        <v>98.20538278173062</v>
      </c>
    </row>
    <row r="325" spans="1:19" x14ac:dyDescent="0.3">
      <c r="A325" s="70"/>
      <c r="B325" s="70"/>
      <c r="C325" s="70"/>
      <c r="D325" s="70"/>
      <c r="E325" s="70"/>
      <c r="F325" s="70"/>
      <c r="G325" s="361"/>
      <c r="H325" s="70"/>
      <c r="I325" s="70"/>
      <c r="J325" s="70"/>
      <c r="K325" s="70"/>
    </row>
    <row r="327" spans="1:19" x14ac:dyDescent="0.3">
      <c r="A327" s="70"/>
      <c r="B327" s="336" t="s">
        <v>1793</v>
      </c>
      <c r="C327" s="47"/>
      <c r="D327" s="70"/>
      <c r="E327" s="70"/>
      <c r="F327" s="70"/>
      <c r="G327" s="361"/>
      <c r="H327" s="70"/>
      <c r="I327" s="70"/>
      <c r="J327" s="70"/>
      <c r="K327" s="70"/>
    </row>
    <row r="329" spans="1:19" x14ac:dyDescent="0.3">
      <c r="C329" s="42"/>
      <c r="D329" s="42"/>
      <c r="E329" s="42" t="s">
        <v>1172</v>
      </c>
      <c r="F329" s="42" t="s">
        <v>1792</v>
      </c>
      <c r="G329" s="362" t="s">
        <v>1791</v>
      </c>
      <c r="H329" s="42"/>
      <c r="I329" s="42" t="str">
        <f>"%" &amp;F329 &amp;G329 &amp;D329 &amp;G329  &amp;E329</f>
        <v>%Masses of replacements and sums..AWE</v>
      </c>
      <c r="J329" s="42" t="str">
        <f>"\"&amp;D329&amp;E329&amp;F329</f>
        <v>\AWEMasses of replacements and sums</v>
      </c>
      <c r="K329" s="42"/>
    </row>
    <row r="330" spans="1:19" x14ac:dyDescent="0.3">
      <c r="C330" s="42" t="s">
        <v>720</v>
      </c>
      <c r="D330" s="42" t="s">
        <v>1788</v>
      </c>
      <c r="E330" t="str">
        <f t="shared" ref="E330:E338" si="133">E329</f>
        <v>AWE</v>
      </c>
      <c r="F330" t="s">
        <v>1790</v>
      </c>
      <c r="G330" s="359">
        <f t="shared" ref="G330:G338" si="134">L330</f>
        <v>30.644766448687268</v>
      </c>
      <c r="H330" t="s">
        <v>1757</v>
      </c>
      <c r="I330" t="str">
        <f t="shared" ref="I330:I338" si="135">"\newcommand{"&amp;J330&amp;"}{"&amp;TEXT(G330,$H$13)&amp;"}%"&amp;H330</f>
        <v>\newcommand{\MassRepAWETotA}{30,6}%Tether total</v>
      </c>
      <c r="J330" t="str">
        <f t="shared" ref="J330:J338" si="136">"\"&amp;D330&amp;E330&amp;F330&amp;C330</f>
        <v>\MassRepAWETotA</v>
      </c>
      <c r="L330">
        <f t="shared" ref="L330:L335" si="137">N330/1000</f>
        <v>30.644766448687268</v>
      </c>
      <c r="N330" s="26">
        <f>'For Graphics1'!$Q$232</f>
        <v>30644.766448687267</v>
      </c>
      <c r="Q330">
        <f>L331/L330</f>
        <v>0.89597135554820495</v>
      </c>
    </row>
    <row r="331" spans="1:19" x14ac:dyDescent="0.3">
      <c r="C331" t="s">
        <v>788</v>
      </c>
      <c r="D331" t="str">
        <f t="shared" ref="D331:D338" si="138">D330</f>
        <v>MassRep</v>
      </c>
      <c r="E331" t="str">
        <f t="shared" si="133"/>
        <v>AWE</v>
      </c>
      <c r="F331" t="s">
        <v>1790</v>
      </c>
      <c r="G331" s="359">
        <f t="shared" si="134"/>
        <v>27.456832935488482</v>
      </c>
      <c r="H331" t="s">
        <v>1804</v>
      </c>
      <c r="I331" t="str">
        <f t="shared" si="135"/>
        <v>\newcommand{\MassRepAWETotB}{27,5}%Tether Replacement</v>
      </c>
      <c r="J331" t="str">
        <f t="shared" si="136"/>
        <v>\MassRepAWETotB</v>
      </c>
      <c r="L331">
        <f t="shared" si="137"/>
        <v>27.456832935488482</v>
      </c>
      <c r="N331" s="26">
        <f>'For Graphics1'!$E$249+'For Graphics1'!$E$250</f>
        <v>27456.832935488481</v>
      </c>
      <c r="Q331">
        <f>100*(1-Q330)</f>
        <v>10.402864445179505</v>
      </c>
    </row>
    <row r="332" spans="1:19" x14ac:dyDescent="0.3">
      <c r="C332" t="s">
        <v>790</v>
      </c>
      <c r="D332" t="str">
        <f t="shared" si="138"/>
        <v>MassRep</v>
      </c>
      <c r="E332" t="str">
        <f t="shared" si="133"/>
        <v>AWE</v>
      </c>
      <c r="F332" t="s">
        <v>1790</v>
      </c>
      <c r="G332" s="359">
        <f t="shared" si="134"/>
        <v>8.4789200000000005</v>
      </c>
      <c r="H332" t="s">
        <v>1803</v>
      </c>
      <c r="I332" t="str">
        <f t="shared" si="135"/>
        <v>\newcommand{\MassRepAWETotC}{8,5}%actuator replacement</v>
      </c>
      <c r="J332" t="str">
        <f t="shared" si="136"/>
        <v>\MassRepAWETotC</v>
      </c>
      <c r="L332">
        <f t="shared" si="137"/>
        <v>8.4789200000000005</v>
      </c>
      <c r="N332" s="26">
        <f>'For Graphics1'!$E$252</f>
        <v>8478.92</v>
      </c>
    </row>
    <row r="333" spans="1:19" x14ac:dyDescent="0.3">
      <c r="C333" t="s">
        <v>1786</v>
      </c>
      <c r="D333" t="str">
        <f t="shared" si="138"/>
        <v>MassRep</v>
      </c>
      <c r="E333" t="str">
        <f t="shared" si="133"/>
        <v>AWE</v>
      </c>
      <c r="F333" t="s">
        <v>1790</v>
      </c>
      <c r="G333" s="359">
        <f t="shared" si="134"/>
        <v>31.7758</v>
      </c>
      <c r="H333" t="s">
        <v>1883</v>
      </c>
      <c r="I333" t="str">
        <f t="shared" si="135"/>
        <v>\newcommand{\MassRepAWETotD}{31,8}%Aircraft total</v>
      </c>
      <c r="J333" t="str">
        <f t="shared" si="136"/>
        <v>\MassRepAWETotD</v>
      </c>
      <c r="L333">
        <f>L332+L335+L254</f>
        <v>31.7758</v>
      </c>
    </row>
    <row r="334" spans="1:19" x14ac:dyDescent="0.3">
      <c r="C334" t="s">
        <v>1784</v>
      </c>
      <c r="D334" t="str">
        <f t="shared" si="138"/>
        <v>MassRep</v>
      </c>
      <c r="E334" t="str">
        <f t="shared" si="133"/>
        <v>AWE</v>
      </c>
      <c r="F334" t="s">
        <v>1790</v>
      </c>
      <c r="G334" s="359">
        <f t="shared" si="134"/>
        <v>11.7758</v>
      </c>
      <c r="H334" t="s">
        <v>1886</v>
      </c>
      <c r="I334" t="str">
        <f t="shared" si="135"/>
        <v>\newcommand{\MassRepAWETotE}{11,8}%battery + actuator repl</v>
      </c>
      <c r="J334" t="str">
        <f t="shared" si="136"/>
        <v>\MassRepAWETotE</v>
      </c>
      <c r="L334">
        <f>L332+L335</f>
        <v>11.7758</v>
      </c>
    </row>
    <row r="335" spans="1:19" x14ac:dyDescent="0.3">
      <c r="C335" t="s">
        <v>1783</v>
      </c>
      <c r="D335" t="str">
        <f t="shared" si="138"/>
        <v>MassRep</v>
      </c>
      <c r="E335" t="str">
        <f t="shared" si="133"/>
        <v>AWE</v>
      </c>
      <c r="F335" t="s">
        <v>1790</v>
      </c>
      <c r="G335" s="359">
        <f t="shared" si="134"/>
        <v>3.2968800000000003</v>
      </c>
      <c r="H335" t="s">
        <v>1800</v>
      </c>
      <c r="I335" t="str">
        <f t="shared" si="135"/>
        <v>\newcommand{\MassRepAWETotF}{3,3}%battery replacement totoal</v>
      </c>
      <c r="J335" t="str">
        <f t="shared" si="136"/>
        <v>\MassRepAWETotF</v>
      </c>
      <c r="L335">
        <f t="shared" si="137"/>
        <v>3.2968800000000003</v>
      </c>
      <c r="N335" s="26">
        <f>'For Graphics1'!$E$251</f>
        <v>3296.88</v>
      </c>
    </row>
    <row r="336" spans="1:19" x14ac:dyDescent="0.3">
      <c r="C336" t="s">
        <v>1782</v>
      </c>
      <c r="D336" t="str">
        <f t="shared" si="138"/>
        <v>MassRep</v>
      </c>
      <c r="E336" t="str">
        <f t="shared" si="133"/>
        <v>AWE</v>
      </c>
      <c r="F336" t="s">
        <v>1790</v>
      </c>
      <c r="G336" s="359">
        <f t="shared" si="134"/>
        <v>912.96750015394025</v>
      </c>
      <c r="H336" t="s">
        <v>1807</v>
      </c>
      <c r="I336" t="str">
        <f t="shared" si="135"/>
        <v>\newcommand{\MassRepAWETotG}{913,0}%Total mass of everything whole life</v>
      </c>
      <c r="J336" t="str">
        <f t="shared" si="136"/>
        <v>\MassRepAWETotG</v>
      </c>
      <c r="L336">
        <f>O336</f>
        <v>912.96750015394025</v>
      </c>
      <c r="O336">
        <f>O337+S336</f>
        <v>912.96750015394025</v>
      </c>
      <c r="P336" t="s">
        <v>1808</v>
      </c>
      <c r="S336">
        <f>G259</f>
        <v>873.73486721845177</v>
      </c>
    </row>
    <row r="337" spans="3:15" x14ac:dyDescent="0.3">
      <c r="C337" t="s">
        <v>1798</v>
      </c>
      <c r="D337" t="str">
        <f t="shared" si="138"/>
        <v>MassRep</v>
      </c>
      <c r="E337" t="str">
        <f t="shared" si="133"/>
        <v>AWE</v>
      </c>
      <c r="F337" t="s">
        <v>1790</v>
      </c>
      <c r="G337" s="359">
        <f t="shared" si="134"/>
        <v>39.232632935488482</v>
      </c>
      <c r="H337" t="s">
        <v>1806</v>
      </c>
      <c r="I337" t="str">
        <f t="shared" si="135"/>
        <v>\newcommand{\MassRepAWETotH}{39,2}%Total mass of replacements</v>
      </c>
      <c r="J337" t="str">
        <f t="shared" si="136"/>
        <v>\MassRepAWETotH</v>
      </c>
      <c r="L337">
        <f>O337</f>
        <v>39.232632935488482</v>
      </c>
      <c r="O337">
        <f>L331+L332+L335</f>
        <v>39.232632935488482</v>
      </c>
    </row>
    <row r="338" spans="3:15" x14ac:dyDescent="0.3">
      <c r="C338" t="s">
        <v>1796</v>
      </c>
      <c r="D338" t="str">
        <f t="shared" si="138"/>
        <v>MassRep</v>
      </c>
      <c r="E338" t="str">
        <f t="shared" si="133"/>
        <v>AWE</v>
      </c>
      <c r="F338" t="s">
        <v>1790</v>
      </c>
      <c r="G338" s="359">
        <f t="shared" si="134"/>
        <v>873.73486721845177</v>
      </c>
      <c r="H338" t="s">
        <v>1805</v>
      </c>
      <c r="I338" t="str">
        <f t="shared" si="135"/>
        <v>\newcommand{\MassRepAWETotI}{873,7}%Total mass initial system</v>
      </c>
      <c r="J338" t="str">
        <f t="shared" si="136"/>
        <v>\MassRepAWETotI</v>
      </c>
      <c r="L338">
        <f>S336</f>
        <v>873.73486721845177</v>
      </c>
    </row>
    <row r="339" spans="3:15" x14ac:dyDescent="0.3">
      <c r="M339">
        <f>E5</f>
        <v>462528</v>
      </c>
    </row>
    <row r="340" spans="3:15" x14ac:dyDescent="0.3">
      <c r="C340" s="42" t="s">
        <v>720</v>
      </c>
      <c r="D340" s="42" t="s">
        <v>1788</v>
      </c>
      <c r="E340" t="str">
        <f>E336</f>
        <v>AWE</v>
      </c>
      <c r="F340" t="s">
        <v>1789</v>
      </c>
      <c r="G340" s="359">
        <f t="shared" ref="G340:G348" si="139">L340</f>
        <v>6.625494337356283E-2</v>
      </c>
      <c r="H340" t="s">
        <v>1757</v>
      </c>
      <c r="I340" t="str">
        <f t="shared" ref="I340:I348" si="140">"\newcommand{"&amp;J340&amp;"}{"&amp;TEXT(G340,$H$13)&amp;"}%"&amp;H340</f>
        <v>\newcommand{\MassRepAWENormA}{0,1}%Tether total</v>
      </c>
      <c r="J340" t="str">
        <f t="shared" ref="J340:J348" si="141">"\"&amp;D340&amp;E340&amp;F340&amp;C340</f>
        <v>\MassRepAWENormA</v>
      </c>
      <c r="L340">
        <f t="shared" ref="L340:L348" si="142">1000*L330/$M$339</f>
        <v>6.625494337356283E-2</v>
      </c>
    </row>
    <row r="341" spans="3:15" x14ac:dyDescent="0.3">
      <c r="C341" t="s">
        <v>788</v>
      </c>
      <c r="D341" t="str">
        <f t="shared" ref="D341:E348" si="143">D340</f>
        <v>MassRep</v>
      </c>
      <c r="E341" t="str">
        <f t="shared" si="143"/>
        <v>AWE</v>
      </c>
      <c r="F341" t="s">
        <v>1789</v>
      </c>
      <c r="G341" s="359">
        <f t="shared" si="139"/>
        <v>5.9362531426180642E-2</v>
      </c>
      <c r="H341" t="s">
        <v>1804</v>
      </c>
      <c r="I341" t="str">
        <f t="shared" si="140"/>
        <v>\newcommand{\MassRepAWENormB}{0,1}%Tether Replacement</v>
      </c>
      <c r="J341" t="str">
        <f t="shared" si="141"/>
        <v>\MassRepAWENormB</v>
      </c>
      <c r="L341">
        <f t="shared" si="142"/>
        <v>5.9362531426180642E-2</v>
      </c>
    </row>
    <row r="342" spans="3:15" x14ac:dyDescent="0.3">
      <c r="C342" t="s">
        <v>790</v>
      </c>
      <c r="D342" t="str">
        <f t="shared" si="143"/>
        <v>MassRep</v>
      </c>
      <c r="E342" t="str">
        <f t="shared" si="143"/>
        <v>AWE</v>
      </c>
      <c r="F342" t="s">
        <v>1789</v>
      </c>
      <c r="G342" s="359">
        <f t="shared" si="139"/>
        <v>1.8331690189566902E-2</v>
      </c>
      <c r="H342" t="s">
        <v>1803</v>
      </c>
      <c r="I342" t="str">
        <f t="shared" si="140"/>
        <v>\newcommand{\MassRepAWENormC}{0,0}%actuator replacement</v>
      </c>
      <c r="J342" t="str">
        <f t="shared" si="141"/>
        <v>\MassRepAWENormC</v>
      </c>
      <c r="L342">
        <f t="shared" si="142"/>
        <v>1.8331690189566902E-2</v>
      </c>
    </row>
    <row r="343" spans="3:15" x14ac:dyDescent="0.3">
      <c r="C343" t="s">
        <v>1786</v>
      </c>
      <c r="D343" t="str">
        <f t="shared" si="143"/>
        <v>MassRep</v>
      </c>
      <c r="E343" t="str">
        <f t="shared" si="143"/>
        <v>AWE</v>
      </c>
      <c r="F343" t="s">
        <v>1789</v>
      </c>
      <c r="G343" s="359">
        <f t="shared" si="139"/>
        <v>6.8700273280752733E-2</v>
      </c>
      <c r="H343" t="s">
        <v>1883</v>
      </c>
      <c r="I343" t="str">
        <f t="shared" si="140"/>
        <v>\newcommand{\MassRepAWENormD}{0,1}%Aircraft total</v>
      </c>
      <c r="J343" t="str">
        <f t="shared" si="141"/>
        <v>\MassRepAWENormD</v>
      </c>
      <c r="L343">
        <f t="shared" si="142"/>
        <v>6.8700273280752733E-2</v>
      </c>
    </row>
    <row r="344" spans="3:15" x14ac:dyDescent="0.3">
      <c r="C344" t="s">
        <v>1784</v>
      </c>
      <c r="D344" t="str">
        <f t="shared" si="143"/>
        <v>MassRep</v>
      </c>
      <c r="E344" t="str">
        <f t="shared" si="143"/>
        <v>AWE</v>
      </c>
      <c r="F344" t="s">
        <v>1789</v>
      </c>
      <c r="G344" s="359">
        <f t="shared" si="139"/>
        <v>2.5459647848346482E-2</v>
      </c>
      <c r="H344" t="s">
        <v>1801</v>
      </c>
      <c r="I344" t="str">
        <f t="shared" si="140"/>
        <v>\newcommand{\MassRepAWENormE}{0,0}%battery actuator repl</v>
      </c>
      <c r="J344" t="str">
        <f t="shared" si="141"/>
        <v>\MassRepAWENormE</v>
      </c>
      <c r="L344">
        <f t="shared" si="142"/>
        <v>2.5459647848346482E-2</v>
      </c>
    </row>
    <row r="345" spans="3:15" x14ac:dyDescent="0.3">
      <c r="C345" t="s">
        <v>1783</v>
      </c>
      <c r="D345" t="str">
        <f t="shared" si="143"/>
        <v>MassRep</v>
      </c>
      <c r="E345" t="str">
        <f t="shared" si="143"/>
        <v>AWE</v>
      </c>
      <c r="F345" t="s">
        <v>1789</v>
      </c>
      <c r="G345" s="359">
        <f t="shared" si="139"/>
        <v>7.1279576587795768E-3</v>
      </c>
      <c r="H345" t="s">
        <v>1800</v>
      </c>
      <c r="I345" t="str">
        <f t="shared" si="140"/>
        <v>\newcommand{\MassRepAWENormF}{0,0}%battery replacement totoal</v>
      </c>
      <c r="J345" t="str">
        <f t="shared" si="141"/>
        <v>\MassRepAWENormF</v>
      </c>
      <c r="L345">
        <f t="shared" si="142"/>
        <v>7.1279576587795768E-3</v>
      </c>
    </row>
    <row r="346" spans="3:15" x14ac:dyDescent="0.3">
      <c r="C346" t="s">
        <v>1782</v>
      </c>
      <c r="D346" t="str">
        <f t="shared" si="143"/>
        <v>MassRep</v>
      </c>
      <c r="E346" t="str">
        <f t="shared" si="143"/>
        <v>AWE</v>
      </c>
      <c r="F346" t="s">
        <v>1789</v>
      </c>
      <c r="G346" s="359">
        <f t="shared" si="139"/>
        <v>1.9738642853058415</v>
      </c>
      <c r="H346" t="s">
        <v>1807</v>
      </c>
      <c r="I346" t="str">
        <f t="shared" si="140"/>
        <v>\newcommand{\MassRepAWENormG}{2,0}%Total mass of everything whole life</v>
      </c>
      <c r="J346" t="str">
        <f t="shared" si="141"/>
        <v>\MassRepAWENormG</v>
      </c>
      <c r="L346">
        <f t="shared" si="142"/>
        <v>1.9738642853058415</v>
      </c>
    </row>
    <row r="347" spans="3:15" x14ac:dyDescent="0.3">
      <c r="C347" t="s">
        <v>1798</v>
      </c>
      <c r="D347" t="str">
        <f t="shared" si="143"/>
        <v>MassRep</v>
      </c>
      <c r="E347" t="str">
        <f t="shared" si="143"/>
        <v>AWE</v>
      </c>
      <c r="F347" t="s">
        <v>1789</v>
      </c>
      <c r="G347" s="359">
        <f t="shared" si="139"/>
        <v>8.4822179274527121E-2</v>
      </c>
      <c r="H347" t="s">
        <v>1806</v>
      </c>
      <c r="I347" t="str">
        <f t="shared" si="140"/>
        <v>\newcommand{\MassRepAWENormH}{0,1}%Total mass of replacements</v>
      </c>
      <c r="J347" t="str">
        <f t="shared" si="141"/>
        <v>\MassRepAWENormH</v>
      </c>
      <c r="L347">
        <f t="shared" si="142"/>
        <v>8.4822179274527121E-2</v>
      </c>
    </row>
    <row r="348" spans="3:15" x14ac:dyDescent="0.3">
      <c r="C348" t="s">
        <v>1796</v>
      </c>
      <c r="D348" t="str">
        <f t="shared" si="143"/>
        <v>MassRep</v>
      </c>
      <c r="E348" t="str">
        <f t="shared" si="143"/>
        <v>AWE</v>
      </c>
      <c r="F348" t="s">
        <v>1789</v>
      </c>
      <c r="G348" s="359">
        <f t="shared" si="139"/>
        <v>1.8890421060313145</v>
      </c>
      <c r="H348" t="s">
        <v>1805</v>
      </c>
      <c r="I348" t="str">
        <f t="shared" si="140"/>
        <v>\newcommand{\MassRepAWENormI}{1,9}%Total mass initial system</v>
      </c>
      <c r="J348" t="str">
        <f t="shared" si="141"/>
        <v>\MassRepAWENormI</v>
      </c>
      <c r="L348">
        <f t="shared" si="142"/>
        <v>1.8890421060313145</v>
      </c>
    </row>
    <row r="351" spans="3:15" x14ac:dyDescent="0.3">
      <c r="C351" s="42" t="s">
        <v>720</v>
      </c>
      <c r="D351" s="42" t="s">
        <v>1788</v>
      </c>
      <c r="E351" t="str">
        <f>E329</f>
        <v>AWE</v>
      </c>
      <c r="F351" t="s">
        <v>1787</v>
      </c>
      <c r="G351" s="359">
        <f t="shared" ref="G351:G360" si="144">L351</f>
        <v>3.3566108808385944</v>
      </c>
      <c r="H351" t="s">
        <v>1757</v>
      </c>
      <c r="I351" t="str">
        <f t="shared" ref="I351:I360" si="145">"\newcommand{"&amp;J351&amp;"}{"&amp;TEXT(G351,$H$13)&amp;"}%"&amp;H351</f>
        <v>\newcommand{\MassRepAWEPofTotA}{3,4}%Tether total</v>
      </c>
      <c r="J351" t="str">
        <f t="shared" ref="J351:J360" si="146">"\"&amp;D351&amp;E351&amp;F351&amp;C351</f>
        <v>\MassRepAWEPofTotA</v>
      </c>
      <c r="L351">
        <f t="shared" ref="L351:L359" si="147">100*L330/$L$336</f>
        <v>3.3566108808385944</v>
      </c>
      <c r="N351" s="26"/>
    </row>
    <row r="352" spans="3:15" x14ac:dyDescent="0.3">
      <c r="C352" t="s">
        <v>788</v>
      </c>
      <c r="D352" t="str">
        <f t="shared" ref="D352:D360" si="148">D351</f>
        <v>MassRep</v>
      </c>
      <c r="E352" t="str">
        <f t="shared" ref="E352:E360" si="149">E351</f>
        <v>AWE</v>
      </c>
      <c r="F352" t="str">
        <f t="shared" ref="F352:F360" si="150">F351</f>
        <v>PofTot</v>
      </c>
      <c r="G352" s="359">
        <f t="shared" si="144"/>
        <v>3.0074272009528094</v>
      </c>
      <c r="H352" t="s">
        <v>1804</v>
      </c>
      <c r="I352" t="str">
        <f t="shared" si="145"/>
        <v>\newcommand{\MassRepAWEPofTotB}{3,0}%Tether Replacement</v>
      </c>
      <c r="J352" t="str">
        <f t="shared" si="146"/>
        <v>\MassRepAWEPofTotB</v>
      </c>
      <c r="L352">
        <f t="shared" si="147"/>
        <v>3.0074272009528094</v>
      </c>
      <c r="N352" s="26"/>
    </row>
    <row r="353" spans="1:21" x14ac:dyDescent="0.3">
      <c r="C353" t="s">
        <v>790</v>
      </c>
      <c r="D353" t="str">
        <f t="shared" si="148"/>
        <v>MassRep</v>
      </c>
      <c r="E353" t="str">
        <f t="shared" si="149"/>
        <v>AWE</v>
      </c>
      <c r="F353" t="str">
        <f t="shared" si="150"/>
        <v>PofTot</v>
      </c>
      <c r="G353" s="359">
        <f t="shared" si="144"/>
        <v>0.92872090173750166</v>
      </c>
      <c r="H353" t="s">
        <v>1803</v>
      </c>
      <c r="I353" t="str">
        <f t="shared" si="145"/>
        <v>\newcommand{\MassRepAWEPofTotC}{0,9}%actuator replacement</v>
      </c>
      <c r="J353" t="str">
        <f t="shared" si="146"/>
        <v>\MassRepAWEPofTotC</v>
      </c>
      <c r="L353">
        <f t="shared" si="147"/>
        <v>0.92872090173750166</v>
      </c>
      <c r="N353" s="26"/>
    </row>
    <row r="354" spans="1:21" x14ac:dyDescent="0.3">
      <c r="C354" t="s">
        <v>1786</v>
      </c>
      <c r="D354" t="str">
        <f t="shared" si="148"/>
        <v>MassRep</v>
      </c>
      <c r="E354" t="str">
        <f t="shared" si="149"/>
        <v>AWE</v>
      </c>
      <c r="F354" t="str">
        <f t="shared" si="150"/>
        <v>PofTot</v>
      </c>
      <c r="G354" s="359">
        <f t="shared" si="144"/>
        <v>3.4804962930928114</v>
      </c>
      <c r="H354" t="s">
        <v>1883</v>
      </c>
      <c r="I354" t="str">
        <f t="shared" si="145"/>
        <v>\newcommand{\MassRepAWEPofTotD}{3,5}%Aircraft total</v>
      </c>
      <c r="J354" t="str">
        <f t="shared" si="146"/>
        <v>\MassRepAWEPofTotD</v>
      </c>
      <c r="L354">
        <f t="shared" si="147"/>
        <v>3.4804962930928114</v>
      </c>
    </row>
    <row r="355" spans="1:21" x14ac:dyDescent="0.3">
      <c r="C355" t="s">
        <v>1784</v>
      </c>
      <c r="D355" t="str">
        <f t="shared" si="148"/>
        <v>MassRep</v>
      </c>
      <c r="E355" t="str">
        <f t="shared" si="149"/>
        <v>AWE</v>
      </c>
      <c r="F355" t="str">
        <f t="shared" si="150"/>
        <v>PofTot</v>
      </c>
      <c r="G355" s="359">
        <f t="shared" si="144"/>
        <v>1.2898378089049631</v>
      </c>
      <c r="H355" t="s">
        <v>1801</v>
      </c>
      <c r="I355" t="str">
        <f t="shared" si="145"/>
        <v>\newcommand{\MassRepAWEPofTotE}{1,3}%battery actuator repl</v>
      </c>
      <c r="J355" t="str">
        <f t="shared" si="146"/>
        <v>\MassRepAWEPofTotE</v>
      </c>
      <c r="L355">
        <f t="shared" si="147"/>
        <v>1.2898378089049631</v>
      </c>
    </row>
    <row r="356" spans="1:21" x14ac:dyDescent="0.3">
      <c r="C356" t="s">
        <v>1783</v>
      </c>
      <c r="D356" t="str">
        <f t="shared" si="148"/>
        <v>MassRep</v>
      </c>
      <c r="E356" t="str">
        <f t="shared" si="149"/>
        <v>AWE</v>
      </c>
      <c r="F356" t="str">
        <f t="shared" si="150"/>
        <v>PofTot</v>
      </c>
      <c r="G356" s="359">
        <f t="shared" si="144"/>
        <v>0.36111690716746175</v>
      </c>
      <c r="H356" t="s">
        <v>1800</v>
      </c>
      <c r="I356" t="str">
        <f t="shared" si="145"/>
        <v>\newcommand{\MassRepAWEPofTotF}{0,4}%battery replacement totoal</v>
      </c>
      <c r="J356" t="str">
        <f t="shared" si="146"/>
        <v>\MassRepAWEPofTotF</v>
      </c>
      <c r="L356">
        <f t="shared" si="147"/>
        <v>0.36111690716746175</v>
      </c>
      <c r="N356" s="26"/>
    </row>
    <row r="357" spans="1:21" x14ac:dyDescent="0.3">
      <c r="C357" t="s">
        <v>1782</v>
      </c>
      <c r="D357" t="str">
        <f t="shared" si="148"/>
        <v>MassRep</v>
      </c>
      <c r="E357" t="str">
        <f t="shared" si="149"/>
        <v>AWE</v>
      </c>
      <c r="F357" t="str">
        <f t="shared" si="150"/>
        <v>PofTot</v>
      </c>
      <c r="G357" s="359">
        <f t="shared" si="144"/>
        <v>100</v>
      </c>
      <c r="H357" t="s">
        <v>1799</v>
      </c>
      <c r="I357" t="str">
        <f t="shared" si="145"/>
        <v>\newcommand{\MassRepAWEPofTotG}{100,0}%Total mass of everything</v>
      </c>
      <c r="J357" t="str">
        <f t="shared" si="146"/>
        <v>\MassRepAWEPofTotG</v>
      </c>
      <c r="L357">
        <f t="shared" si="147"/>
        <v>100</v>
      </c>
    </row>
    <row r="358" spans="1:21" x14ac:dyDescent="0.3">
      <c r="C358" t="s">
        <v>1798</v>
      </c>
      <c r="D358" t="str">
        <f t="shared" si="148"/>
        <v>MassRep</v>
      </c>
      <c r="E358" t="str">
        <f t="shared" si="149"/>
        <v>AWE</v>
      </c>
      <c r="F358" t="str">
        <f t="shared" si="150"/>
        <v>PofTot</v>
      </c>
      <c r="G358" s="359">
        <f t="shared" si="144"/>
        <v>4.2972650098577727</v>
      </c>
      <c r="H358" t="s">
        <v>1797</v>
      </c>
      <c r="I358" t="str">
        <f t="shared" si="145"/>
        <v>\newcommand{\MassRepAWEPofTotH}{4,3}%Total mass repl</v>
      </c>
      <c r="J358" t="str">
        <f t="shared" si="146"/>
        <v>\MassRepAWEPofTotH</v>
      </c>
      <c r="L358">
        <f t="shared" si="147"/>
        <v>4.2972650098577727</v>
      </c>
    </row>
    <row r="359" spans="1:21" x14ac:dyDescent="0.3">
      <c r="C359" t="s">
        <v>1796</v>
      </c>
      <c r="D359" t="str">
        <f t="shared" si="148"/>
        <v>MassRep</v>
      </c>
      <c r="E359" t="str">
        <f t="shared" si="149"/>
        <v>AWE</v>
      </c>
      <c r="F359" t="str">
        <f t="shared" si="150"/>
        <v>PofTot</v>
      </c>
      <c r="G359" s="359">
        <f t="shared" si="144"/>
        <v>95.702734990142233</v>
      </c>
      <c r="H359" t="s">
        <v>1795</v>
      </c>
      <c r="I359" t="str">
        <f t="shared" si="145"/>
        <v>\newcommand{\MassRepAWEPofTotI}{95,7}%Initial system</v>
      </c>
      <c r="J359" t="str">
        <f t="shared" si="146"/>
        <v>\MassRepAWEPofTotI</v>
      </c>
      <c r="L359">
        <f t="shared" si="147"/>
        <v>95.702734990142233</v>
      </c>
    </row>
    <row r="360" spans="1:21" x14ac:dyDescent="0.3">
      <c r="C360" t="s">
        <v>1794</v>
      </c>
      <c r="D360" t="str">
        <f t="shared" si="148"/>
        <v>MassRep</v>
      </c>
      <c r="E360" t="str">
        <f t="shared" si="149"/>
        <v>AWE</v>
      </c>
      <c r="F360" t="str">
        <f t="shared" si="150"/>
        <v>PofTot</v>
      </c>
      <c r="G360" s="359">
        <f t="shared" si="144"/>
        <v>0</v>
      </c>
      <c r="I360" t="str">
        <f t="shared" si="145"/>
        <v>\newcommand{\MassRepAWEPofTotJ}{0,0}%</v>
      </c>
      <c r="J360" t="str">
        <f t="shared" si="146"/>
        <v>\MassRepAWEPofTotJ</v>
      </c>
      <c r="L360">
        <f>N360/1000</f>
        <v>0</v>
      </c>
    </row>
    <row r="363" spans="1:21" x14ac:dyDescent="0.3">
      <c r="A363" s="70"/>
      <c r="B363" s="70"/>
      <c r="C363" s="70"/>
      <c r="D363" s="70"/>
      <c r="E363" s="70"/>
      <c r="F363" s="70"/>
      <c r="G363" s="361"/>
      <c r="H363" s="70"/>
      <c r="I363" s="70"/>
      <c r="J363" s="70"/>
      <c r="K363" s="70"/>
    </row>
    <row r="365" spans="1:21" x14ac:dyDescent="0.3">
      <c r="A365" s="70"/>
      <c r="B365" s="336" t="s">
        <v>1793</v>
      </c>
      <c r="C365" s="47"/>
      <c r="D365" s="70"/>
      <c r="E365" s="70"/>
      <c r="F365" s="70"/>
      <c r="G365" s="361"/>
      <c r="H365" s="70"/>
      <c r="I365" s="70"/>
      <c r="J365" s="70"/>
      <c r="K365" s="70"/>
    </row>
    <row r="367" spans="1:21" x14ac:dyDescent="0.3">
      <c r="C367" s="42"/>
      <c r="D367" s="42"/>
      <c r="E367" s="42" t="s">
        <v>1142</v>
      </c>
      <c r="F367" s="42" t="s">
        <v>1792</v>
      </c>
      <c r="G367" s="362" t="s">
        <v>1791</v>
      </c>
      <c r="H367" s="42"/>
      <c r="I367" s="42" t="str">
        <f>"%" &amp;F367 &amp;G367 &amp;D367 &amp;G367  &amp;E367</f>
        <v>%Masses of replacements and sums..HAWT</v>
      </c>
      <c r="J367" s="42" t="str">
        <f>"\"&amp;D367&amp;E367&amp;F367</f>
        <v>\HAWTMasses of replacements and sums</v>
      </c>
      <c r="K367" s="42"/>
    </row>
    <row r="368" spans="1:21" x14ac:dyDescent="0.3">
      <c r="C368" s="42" t="s">
        <v>720</v>
      </c>
      <c r="D368" s="42" t="s">
        <v>1788</v>
      </c>
      <c r="E368" t="str">
        <f t="shared" ref="E368:E374" si="151">E367</f>
        <v>HAWT</v>
      </c>
      <c r="F368" t="s">
        <v>1790</v>
      </c>
      <c r="G368" s="359">
        <f>L368</f>
        <v>97.2</v>
      </c>
      <c r="H368" t="s">
        <v>1755</v>
      </c>
      <c r="I368" t="str">
        <f t="shared" ref="I368:I374" si="152">"\newcommand{"&amp;J368&amp;"}{"&amp;TEXT(G368,$H$13)&amp;"}%"&amp;H368</f>
        <v>\newcommand{\MassRepHAWTTotA}{97,2}%Gearbox total</v>
      </c>
      <c r="J368" t="str">
        <f t="shared" ref="J368:J374" si="153">"\"&amp;D368&amp;E368&amp;F368&amp;C368</f>
        <v>\MassRepHAWTTotA</v>
      </c>
      <c r="L368">
        <f>N368/1000</f>
        <v>97.2</v>
      </c>
      <c r="N368" s="26">
        <f>'For Graphics1'!$K$233+'For Graphics1'!$K$249</f>
        <v>97200</v>
      </c>
      <c r="T368">
        <v>128</v>
      </c>
      <c r="U368">
        <v>7.88</v>
      </c>
    </row>
    <row r="369" spans="3:25" x14ac:dyDescent="0.3">
      <c r="C369" t="s">
        <v>788</v>
      </c>
      <c r="D369" t="str">
        <f t="shared" ref="D369:D374" si="154">D368</f>
        <v>MassRep</v>
      </c>
      <c r="E369" t="str">
        <f t="shared" si="151"/>
        <v>HAWT</v>
      </c>
      <c r="F369" t="s">
        <v>1790</v>
      </c>
      <c r="G369" s="359">
        <f>L369</f>
        <v>48.6</v>
      </c>
      <c r="H369" t="s">
        <v>1770</v>
      </c>
      <c r="I369" t="str">
        <f t="shared" si="152"/>
        <v>\newcommand{\MassRepHAWTTotB}{48,6}%Gearbox replacement</v>
      </c>
      <c r="J369" t="str">
        <f t="shared" si="153"/>
        <v>\MassRepHAWTTotB</v>
      </c>
      <c r="L369">
        <f>N369/1000</f>
        <v>48.6</v>
      </c>
      <c r="N369" s="26">
        <f>'For Graphics1'!$K$249</f>
        <v>48600</v>
      </c>
      <c r="T369">
        <v>213</v>
      </c>
      <c r="U369">
        <v>14.26</v>
      </c>
    </row>
    <row r="370" spans="3:25" x14ac:dyDescent="0.3">
      <c r="C370" t="s">
        <v>790</v>
      </c>
      <c r="D370" t="str">
        <f t="shared" si="154"/>
        <v>MassRep</v>
      </c>
      <c r="E370" t="str">
        <f t="shared" si="151"/>
        <v>HAWT</v>
      </c>
      <c r="F370" t="s">
        <v>1790</v>
      </c>
      <c r="G370" s="359">
        <f>L370</f>
        <v>2659.4983903000002</v>
      </c>
      <c r="H370" t="s">
        <v>1151</v>
      </c>
      <c r="I370" t="str">
        <f t="shared" si="152"/>
        <v>\newcommand{\MassRepHAWTTotC}{2659,5}%initial system</v>
      </c>
      <c r="J370" t="str">
        <f t="shared" si="153"/>
        <v>\MassRepHAWTTotC</v>
      </c>
      <c r="L370">
        <f>G296</f>
        <v>2659.4983903000002</v>
      </c>
      <c r="T370">
        <f>T368/T369</f>
        <v>0.60093896713615025</v>
      </c>
      <c r="U370">
        <f>U368/U369</f>
        <v>0.55259467040673216</v>
      </c>
    </row>
    <row r="371" spans="3:25" x14ac:dyDescent="0.3">
      <c r="C371" t="s">
        <v>1786</v>
      </c>
      <c r="D371" t="str">
        <f t="shared" si="154"/>
        <v>MassRep</v>
      </c>
      <c r="E371" t="str">
        <f t="shared" si="151"/>
        <v>HAWT</v>
      </c>
      <c r="F371" t="s">
        <v>1790</v>
      </c>
      <c r="G371" s="359">
        <f>L371</f>
        <v>2708.0983903000001</v>
      </c>
      <c r="H371" t="s">
        <v>1785</v>
      </c>
      <c r="I371" t="str">
        <f t="shared" si="152"/>
        <v>\newcommand{\MassRepHAWTTotD}{2708,1}%Total life system</v>
      </c>
      <c r="J371" t="str">
        <f t="shared" si="153"/>
        <v>\MassRepHAWTTotD</v>
      </c>
      <c r="L371">
        <f>L370+L369</f>
        <v>2708.0983903000001</v>
      </c>
    </row>
    <row r="372" spans="3:25" x14ac:dyDescent="0.3">
      <c r="C372" t="s">
        <v>1784</v>
      </c>
      <c r="D372" t="str">
        <f t="shared" si="154"/>
        <v>MassRep</v>
      </c>
      <c r="E372" t="str">
        <f t="shared" si="151"/>
        <v>HAWT</v>
      </c>
      <c r="F372" t="s">
        <v>1790</v>
      </c>
      <c r="G372" s="359">
        <f>L372</f>
        <v>249.68812499999999</v>
      </c>
      <c r="H372" t="s">
        <v>1884</v>
      </c>
      <c r="I372" t="str">
        <f t="shared" si="152"/>
        <v>\newcommand{\MassRepHAWTTotE}{249,7}%Nacelle total</v>
      </c>
      <c r="J372" t="str">
        <f t="shared" si="153"/>
        <v>\MassRepHAWTTotE</v>
      </c>
      <c r="L372">
        <f>L369+L292</f>
        <v>249.68812499999999</v>
      </c>
    </row>
    <row r="373" spans="3:25" x14ac:dyDescent="0.3">
      <c r="C373" t="s">
        <v>1783</v>
      </c>
      <c r="D373" t="str">
        <f t="shared" si="154"/>
        <v>MassRep</v>
      </c>
      <c r="E373" t="str">
        <f t="shared" si="151"/>
        <v>HAWT</v>
      </c>
      <c r="F373" t="s">
        <v>1790</v>
      </c>
      <c r="I373" t="str">
        <f t="shared" si="152"/>
        <v>\newcommand{\MassRepHAWTTotF}{0,0}%</v>
      </c>
      <c r="J373" t="str">
        <f t="shared" si="153"/>
        <v>\MassRepHAWTTotF</v>
      </c>
    </row>
    <row r="374" spans="3:25" x14ac:dyDescent="0.3">
      <c r="C374" t="s">
        <v>1782</v>
      </c>
      <c r="D374" t="str">
        <f t="shared" si="154"/>
        <v>MassRep</v>
      </c>
      <c r="E374" t="str">
        <f t="shared" si="151"/>
        <v>HAWT</v>
      </c>
      <c r="F374" t="s">
        <v>1790</v>
      </c>
      <c r="I374" t="str">
        <f t="shared" si="152"/>
        <v>\newcommand{\MassRepHAWTTotG}{0,0}%</v>
      </c>
      <c r="J374" t="str">
        <f t="shared" si="153"/>
        <v>\MassRepHAWTTotG</v>
      </c>
    </row>
    <row r="375" spans="3:25" x14ac:dyDescent="0.3">
      <c r="M375">
        <f>E6</f>
        <v>410885.60999999993</v>
      </c>
    </row>
    <row r="376" spans="3:25" x14ac:dyDescent="0.3">
      <c r="C376" s="42" t="s">
        <v>720</v>
      </c>
      <c r="D376" s="42" t="s">
        <v>1788</v>
      </c>
      <c r="E376" t="str">
        <f>E374</f>
        <v>HAWT</v>
      </c>
      <c r="F376" t="s">
        <v>1789</v>
      </c>
      <c r="G376" s="359">
        <f>L376</f>
        <v>0.23656219063013673</v>
      </c>
      <c r="H376" t="s">
        <v>1755</v>
      </c>
      <c r="I376" t="str">
        <f t="shared" ref="I376:I382" si="155">"\newcommand{"&amp;J376&amp;"}{"&amp;TEXT(G376,$H$13)&amp;"}%"&amp;H376</f>
        <v>\newcommand{\MassRepHAWTNormA}{0,2}%Gearbox total</v>
      </c>
      <c r="J376" t="str">
        <f t="shared" ref="J376:J382" si="156">"\"&amp;D376&amp;E376&amp;F376&amp;C376</f>
        <v>\MassRepHAWTNormA</v>
      </c>
      <c r="L376">
        <f>1000*L368/$M$375</f>
        <v>0.23656219063013673</v>
      </c>
    </row>
    <row r="377" spans="3:25" x14ac:dyDescent="0.3">
      <c r="C377" t="s">
        <v>788</v>
      </c>
      <c r="D377" t="str">
        <f t="shared" ref="D377:E382" si="157">D376</f>
        <v>MassRep</v>
      </c>
      <c r="E377" t="str">
        <f t="shared" si="157"/>
        <v>HAWT</v>
      </c>
      <c r="F377" t="s">
        <v>1789</v>
      </c>
      <c r="G377" s="359">
        <f>L377</f>
        <v>0.11828109531506836</v>
      </c>
      <c r="H377" t="s">
        <v>1770</v>
      </c>
      <c r="I377" t="str">
        <f t="shared" si="155"/>
        <v>\newcommand{\MassRepHAWTNormB}{0,1}%Gearbox replacement</v>
      </c>
      <c r="J377" t="str">
        <f t="shared" si="156"/>
        <v>\MassRepHAWTNormB</v>
      </c>
      <c r="L377">
        <f>1000*L369/$M$375</f>
        <v>0.11828109531506836</v>
      </c>
    </row>
    <row r="378" spans="3:25" x14ac:dyDescent="0.3">
      <c r="C378" t="s">
        <v>790</v>
      </c>
      <c r="D378" t="str">
        <f t="shared" si="157"/>
        <v>MassRep</v>
      </c>
      <c r="E378" t="str">
        <f t="shared" si="157"/>
        <v>HAWT</v>
      </c>
      <c r="F378" t="s">
        <v>1789</v>
      </c>
      <c r="G378" s="359">
        <f>L378</f>
        <v>6.4726004648836462</v>
      </c>
      <c r="H378" t="s">
        <v>1151</v>
      </c>
      <c r="I378" t="str">
        <f t="shared" si="155"/>
        <v>\newcommand{\MassRepHAWTNormC}{6,5}%initial system</v>
      </c>
      <c r="J378" t="str">
        <f t="shared" si="156"/>
        <v>\MassRepHAWTNormC</v>
      </c>
      <c r="L378">
        <f>1000*L370/$M$375</f>
        <v>6.4726004648836462</v>
      </c>
    </row>
    <row r="379" spans="3:25" x14ac:dyDescent="0.3">
      <c r="C379" t="s">
        <v>1786</v>
      </c>
      <c r="D379" t="str">
        <f t="shared" si="157"/>
        <v>MassRep</v>
      </c>
      <c r="E379" t="str">
        <f t="shared" si="157"/>
        <v>HAWT</v>
      </c>
      <c r="F379" t="s">
        <v>1789</v>
      </c>
      <c r="G379" s="359">
        <f>L379</f>
        <v>6.5908815601987145</v>
      </c>
      <c r="H379" t="s">
        <v>1785</v>
      </c>
      <c r="I379" t="str">
        <f t="shared" si="155"/>
        <v>\newcommand{\MassRepHAWTNormD}{6,6}%Total life system</v>
      </c>
      <c r="J379" t="str">
        <f t="shared" si="156"/>
        <v>\MassRepHAWTNormD</v>
      </c>
      <c r="L379">
        <f>1000*L371/$M$375</f>
        <v>6.5908815601987145</v>
      </c>
    </row>
    <row r="380" spans="3:25" x14ac:dyDescent="0.3">
      <c r="C380" t="s">
        <v>1784</v>
      </c>
      <c r="D380" t="str">
        <f t="shared" si="157"/>
        <v>MassRep</v>
      </c>
      <c r="E380" t="str">
        <f t="shared" si="157"/>
        <v>HAWT</v>
      </c>
      <c r="F380" t="s">
        <v>1789</v>
      </c>
      <c r="G380" s="359">
        <f>L380</f>
        <v>0.60768281712275107</v>
      </c>
      <c r="H380" t="str">
        <f>H372</f>
        <v>Nacelle total</v>
      </c>
      <c r="I380" t="str">
        <f t="shared" si="155"/>
        <v>\newcommand{\MassRepHAWTNormE}{0,6}%Nacelle total</v>
      </c>
      <c r="J380" t="str">
        <f t="shared" si="156"/>
        <v>\MassRepHAWTNormE</v>
      </c>
      <c r="L380">
        <f>1000*L372/$M$375</f>
        <v>0.60768281712275107</v>
      </c>
    </row>
    <row r="381" spans="3:25" x14ac:dyDescent="0.3">
      <c r="C381" t="s">
        <v>1783</v>
      </c>
      <c r="D381" t="str">
        <f t="shared" si="157"/>
        <v>MassRep</v>
      </c>
      <c r="E381" t="str">
        <f t="shared" si="157"/>
        <v>HAWT</v>
      </c>
      <c r="F381" t="s">
        <v>1789</v>
      </c>
      <c r="I381" t="str">
        <f t="shared" si="155"/>
        <v>\newcommand{\MassRepHAWTNormF}{0,0}%</v>
      </c>
      <c r="J381" t="str">
        <f t="shared" si="156"/>
        <v>\MassRepHAWTNormF</v>
      </c>
    </row>
    <row r="382" spans="3:25" x14ac:dyDescent="0.3">
      <c r="C382" t="s">
        <v>1782</v>
      </c>
      <c r="D382" t="str">
        <f t="shared" si="157"/>
        <v>MassRep</v>
      </c>
      <c r="E382" t="str">
        <f t="shared" si="157"/>
        <v>HAWT</v>
      </c>
      <c r="F382" t="s">
        <v>1789</v>
      </c>
      <c r="I382" t="str">
        <f t="shared" si="155"/>
        <v>\newcommand{\MassRepHAWTNormG}{0,0}%</v>
      </c>
      <c r="J382" t="str">
        <f t="shared" si="156"/>
        <v>\MassRepHAWTNormG</v>
      </c>
    </row>
    <row r="383" spans="3:25" x14ac:dyDescent="0.3">
      <c r="X383" s="14">
        <f>G346</f>
        <v>1.9738642853058415</v>
      </c>
      <c r="Y383" s="14">
        <f>X384-X383</f>
        <v>4.6170172748928735</v>
      </c>
    </row>
    <row r="384" spans="3:25" x14ac:dyDescent="0.3">
      <c r="C384" s="42" t="s">
        <v>720</v>
      </c>
      <c r="D384" s="42" t="s">
        <v>1788</v>
      </c>
      <c r="E384" t="str">
        <f>E382</f>
        <v>HAWT</v>
      </c>
      <c r="F384" t="s">
        <v>1787</v>
      </c>
      <c r="G384" s="359">
        <f>L384</f>
        <v>3.5892344365387809</v>
      </c>
      <c r="H384" t="s">
        <v>1755</v>
      </c>
      <c r="I384" t="str">
        <f t="shared" ref="I384:I390" si="158">"\newcommand{"&amp;J384&amp;"}{"&amp;TEXT(G384,$H$13)&amp;"}%"&amp;H384</f>
        <v>\newcommand{\MassRepHAWTPofTotA}{3,6}%Gearbox total</v>
      </c>
      <c r="J384" t="str">
        <f t="shared" ref="J384:J390" si="159">"\"&amp;D384&amp;E384&amp;F384&amp;C384</f>
        <v>\MassRepHAWTPofTotA</v>
      </c>
      <c r="L384">
        <f>100*L368/$L$371</f>
        <v>3.5892344365387809</v>
      </c>
      <c r="X384" s="14">
        <f>G379</f>
        <v>6.5908815601987145</v>
      </c>
      <c r="Y384">
        <f>Y383/X384</f>
        <v>0.70051589195204278</v>
      </c>
    </row>
    <row r="385" spans="1:20" x14ac:dyDescent="0.3">
      <c r="C385" t="s">
        <v>788</v>
      </c>
      <c r="D385" t="str">
        <f t="shared" ref="D385:F390" si="160">D384</f>
        <v>MassRep</v>
      </c>
      <c r="E385" t="str">
        <f t="shared" si="160"/>
        <v>HAWT</v>
      </c>
      <c r="F385" t="str">
        <f t="shared" si="160"/>
        <v>PofTot</v>
      </c>
      <c r="G385" s="359">
        <f>L385</f>
        <v>1.7946172182693905</v>
      </c>
      <c r="H385" t="s">
        <v>1770</v>
      </c>
      <c r="I385" t="str">
        <f t="shared" si="158"/>
        <v>\newcommand{\MassRepHAWTPofTotB}{1,8}%Gearbox replacement</v>
      </c>
      <c r="J385" t="str">
        <f t="shared" si="159"/>
        <v>\MassRepHAWTPofTotB</v>
      </c>
      <c r="L385">
        <f>100*L369/$L$371</f>
        <v>1.7946172182693905</v>
      </c>
    </row>
    <row r="386" spans="1:20" x14ac:dyDescent="0.3">
      <c r="C386" t="s">
        <v>790</v>
      </c>
      <c r="D386" t="str">
        <f t="shared" si="160"/>
        <v>MassRep</v>
      </c>
      <c r="E386" t="str">
        <f t="shared" si="160"/>
        <v>HAWT</v>
      </c>
      <c r="F386" t="str">
        <f t="shared" si="160"/>
        <v>PofTot</v>
      </c>
      <c r="G386" s="359">
        <f>L386</f>
        <v>98.20538278173062</v>
      </c>
      <c r="H386" t="s">
        <v>1151</v>
      </c>
      <c r="I386" t="str">
        <f t="shared" si="158"/>
        <v>\newcommand{\MassRepHAWTPofTotC}{98,2}%initial system</v>
      </c>
      <c r="J386" t="str">
        <f t="shared" si="159"/>
        <v>\MassRepHAWTPofTotC</v>
      </c>
      <c r="L386">
        <f>100*L370/$L$371</f>
        <v>98.20538278173062</v>
      </c>
    </row>
    <row r="387" spans="1:20" x14ac:dyDescent="0.3">
      <c r="C387" t="s">
        <v>1786</v>
      </c>
      <c r="D387" t="str">
        <f t="shared" si="160"/>
        <v>MassRep</v>
      </c>
      <c r="E387" t="str">
        <f t="shared" si="160"/>
        <v>HAWT</v>
      </c>
      <c r="F387" t="str">
        <f t="shared" si="160"/>
        <v>PofTot</v>
      </c>
      <c r="G387" s="359">
        <f>L387</f>
        <v>100.00000000000001</v>
      </c>
      <c r="H387" t="s">
        <v>1785</v>
      </c>
      <c r="I387" t="str">
        <f t="shared" si="158"/>
        <v>\newcommand{\MassRepHAWTPofTotD}{100,0}%Total life system</v>
      </c>
      <c r="J387" t="str">
        <f t="shared" si="159"/>
        <v>\MassRepHAWTPofTotD</v>
      </c>
      <c r="L387">
        <f>100*L371/$L$371</f>
        <v>100.00000000000001</v>
      </c>
    </row>
    <row r="388" spans="1:20" x14ac:dyDescent="0.3">
      <c r="C388" t="s">
        <v>1784</v>
      </c>
      <c r="D388" t="str">
        <f t="shared" si="160"/>
        <v>MassRep</v>
      </c>
      <c r="E388" t="str">
        <f t="shared" si="160"/>
        <v>HAWT</v>
      </c>
      <c r="F388" t="str">
        <f t="shared" si="160"/>
        <v>PofTot</v>
      </c>
      <c r="G388" s="359">
        <f>L388</f>
        <v>9.220053669185182</v>
      </c>
      <c r="H388" t="str">
        <f>H372</f>
        <v>Nacelle total</v>
      </c>
      <c r="I388" t="str">
        <f t="shared" si="158"/>
        <v>\newcommand{\MassRepHAWTPofTotE}{9,2}%Nacelle total</v>
      </c>
      <c r="J388" t="str">
        <f t="shared" si="159"/>
        <v>\MassRepHAWTPofTotE</v>
      </c>
      <c r="L388">
        <f>100*L372/$L$371</f>
        <v>9.220053669185182</v>
      </c>
    </row>
    <row r="389" spans="1:20" x14ac:dyDescent="0.3">
      <c r="C389" t="s">
        <v>1783</v>
      </c>
      <c r="D389" t="str">
        <f t="shared" si="160"/>
        <v>MassRep</v>
      </c>
      <c r="E389" t="str">
        <f t="shared" si="160"/>
        <v>HAWT</v>
      </c>
      <c r="F389" t="str">
        <f t="shared" si="160"/>
        <v>PofTot</v>
      </c>
      <c r="I389" t="str">
        <f t="shared" si="158"/>
        <v>\newcommand{\MassRepHAWTPofTotF}{0,0}%</v>
      </c>
      <c r="J389" t="str">
        <f t="shared" si="159"/>
        <v>\MassRepHAWTPofTotF</v>
      </c>
    </row>
    <row r="390" spans="1:20" x14ac:dyDescent="0.3">
      <c r="C390" t="s">
        <v>1782</v>
      </c>
      <c r="D390" t="str">
        <f t="shared" si="160"/>
        <v>MassRep</v>
      </c>
      <c r="E390" t="str">
        <f t="shared" si="160"/>
        <v>HAWT</v>
      </c>
      <c r="F390" t="str">
        <f t="shared" si="160"/>
        <v>PofTot</v>
      </c>
      <c r="I390" t="str">
        <f t="shared" si="158"/>
        <v>\newcommand{\MassRepHAWTPofTotG}{0,0}%</v>
      </c>
      <c r="J390" t="str">
        <f t="shared" si="159"/>
        <v>\MassRepHAWTPofTotG</v>
      </c>
    </row>
    <row r="394" spans="1:20" x14ac:dyDescent="0.3">
      <c r="A394" s="70"/>
      <c r="B394" s="336" t="s">
        <v>1878</v>
      </c>
      <c r="C394" s="47"/>
      <c r="D394" s="47"/>
      <c r="E394" s="47"/>
      <c r="F394" s="47"/>
      <c r="G394" s="361"/>
      <c r="H394" s="70"/>
      <c r="I394" s="70"/>
      <c r="J394" s="70"/>
      <c r="K394" s="70"/>
    </row>
    <row r="396" spans="1:20" x14ac:dyDescent="0.3">
      <c r="B396" s="42" t="s">
        <v>1879</v>
      </c>
      <c r="C396" s="42"/>
      <c r="E396" s="42" t="s">
        <v>1172</v>
      </c>
      <c r="F396" s="42" t="s">
        <v>1776</v>
      </c>
      <c r="G396" s="362" t="s">
        <v>1791</v>
      </c>
      <c r="H396" s="42"/>
      <c r="I396" s="42" t="str">
        <f>"%" &amp;F396 &amp;G396 &amp;B396 &amp;G396  &amp;E396</f>
        <v>%Impacts of replacements.Actual impacts.AWE</v>
      </c>
      <c r="J396" s="42" t="str">
        <f>"\"&amp;B396&amp;E396&amp;F396</f>
        <v>\Actual impactsAWEImpacts of replacements</v>
      </c>
      <c r="K396" s="42"/>
      <c r="S396" t="s">
        <v>32</v>
      </c>
      <c r="T396" t="s">
        <v>162</v>
      </c>
    </row>
    <row r="397" spans="1:20" x14ac:dyDescent="0.3">
      <c r="C397" s="42" t="s">
        <v>720</v>
      </c>
      <c r="D397" s="42" t="s">
        <v>1857</v>
      </c>
      <c r="E397" t="str">
        <f t="shared" ref="E397:E406" si="161">E396</f>
        <v>AWE</v>
      </c>
      <c r="F397" t="s">
        <v>32</v>
      </c>
      <c r="G397" s="359">
        <f t="shared" ref="G397:G407" si="162">L397</f>
        <v>0.61708423151359548</v>
      </c>
      <c r="H397" t="s">
        <v>1757</v>
      </c>
      <c r="I397" t="str">
        <f t="shared" ref="I397:I407" si="163">"\newcommand{"&amp;J397&amp;"}{"&amp;TEXT(G397,$H$13)&amp;"}%"&amp;H397</f>
        <v>\newcommand{\ImpRepAWEGWPA}{0,6}%Tether total</v>
      </c>
      <c r="J397" t="str">
        <f t="shared" ref="J397:J407" si="164">"\"&amp;D397&amp;E397&amp;F397&amp;C397</f>
        <v>\ImpRepAWEGWPA</v>
      </c>
      <c r="L397">
        <f>L398+S397</f>
        <v>0.61708423151359548</v>
      </c>
      <c r="P397" t="s">
        <v>1862</v>
      </c>
      <c r="S397">
        <f>G145</f>
        <v>6.4194436116937009E-2</v>
      </c>
      <c r="T397">
        <f>G137</f>
        <v>2.0777024182320742</v>
      </c>
    </row>
    <row r="398" spans="1:20" x14ac:dyDescent="0.3">
      <c r="C398" t="s">
        <v>788</v>
      </c>
      <c r="D398" t="str">
        <f t="shared" ref="D398:D406" si="165">D397</f>
        <v>ImpRep</v>
      </c>
      <c r="E398" t="str">
        <f t="shared" si="161"/>
        <v>AWE</v>
      </c>
      <c r="F398" t="str">
        <f t="shared" ref="F398:F406" si="166">F397</f>
        <v>GWP</v>
      </c>
      <c r="G398" s="359">
        <f t="shared" si="162"/>
        <v>0.5528897953966585</v>
      </c>
      <c r="H398" t="s">
        <v>1804</v>
      </c>
      <c r="I398" t="str">
        <f t="shared" si="163"/>
        <v>\newcommand{\ImpRepAWEGWPB}{0,6}%Tether Replacement</v>
      </c>
      <c r="J398" t="str">
        <f t="shared" si="164"/>
        <v>\ImpRepAWEGWPB</v>
      </c>
      <c r="L398">
        <f>T402/S400</f>
        <v>0.5528897953966585</v>
      </c>
    </row>
    <row r="399" spans="1:20" x14ac:dyDescent="0.3">
      <c r="C399" t="s">
        <v>790</v>
      </c>
      <c r="D399" t="str">
        <f t="shared" si="165"/>
        <v>ImpRep</v>
      </c>
      <c r="E399" t="str">
        <f t="shared" si="161"/>
        <v>AWE</v>
      </c>
      <c r="F399" t="str">
        <f t="shared" si="166"/>
        <v>GWP</v>
      </c>
      <c r="G399" s="359">
        <f t="shared" si="162"/>
        <v>0.14592025390895255</v>
      </c>
      <c r="H399" t="s">
        <v>1803</v>
      </c>
      <c r="I399" t="str">
        <f t="shared" si="163"/>
        <v>\newcommand{\ImpRepAWEGWPC}{0,1}%actuator replacement</v>
      </c>
      <c r="J399" t="str">
        <f t="shared" si="164"/>
        <v>\ImpRepAWEGWPC</v>
      </c>
      <c r="L399">
        <f>T403/S400</f>
        <v>0.14592025390895255</v>
      </c>
    </row>
    <row r="400" spans="1:20" x14ac:dyDescent="0.3">
      <c r="C400" t="s">
        <v>1786</v>
      </c>
      <c r="D400" t="str">
        <f t="shared" si="165"/>
        <v>ImpRep</v>
      </c>
      <c r="E400" t="str">
        <f t="shared" si="161"/>
        <v>AWE</v>
      </c>
      <c r="F400" t="str">
        <f t="shared" si="166"/>
        <v>GWP</v>
      </c>
      <c r="G400" s="359">
        <f t="shared" si="162"/>
        <v>0</v>
      </c>
      <c r="H400" t="s">
        <v>1802</v>
      </c>
      <c r="I400" t="str">
        <f t="shared" si="163"/>
        <v>\newcommand{\ImpRepAWEGWPD}{0,0}%battery propulsion repl</v>
      </c>
      <c r="J400" t="str">
        <f t="shared" si="164"/>
        <v>\ImpRepAWEGWPD</v>
      </c>
      <c r="S400">
        <f>'Communication to latex'!L21</f>
        <v>462528</v>
      </c>
      <c r="T400" t="s">
        <v>1861</v>
      </c>
    </row>
    <row r="401" spans="3:20" x14ac:dyDescent="0.3">
      <c r="C401" t="s">
        <v>1784</v>
      </c>
      <c r="D401" t="str">
        <f t="shared" si="165"/>
        <v>ImpRep</v>
      </c>
      <c r="E401" t="str">
        <f t="shared" si="161"/>
        <v>AWE</v>
      </c>
      <c r="F401" t="str">
        <f t="shared" si="166"/>
        <v>GWP</v>
      </c>
      <c r="G401" s="359">
        <f t="shared" si="162"/>
        <v>0.20094808703473088</v>
      </c>
      <c r="H401" t="s">
        <v>1886</v>
      </c>
      <c r="I401" t="str">
        <f t="shared" si="163"/>
        <v>\newcommand{\ImpRepAWEGWPE}{0,2}%battery + actuator repl</v>
      </c>
      <c r="J401" t="str">
        <f t="shared" si="164"/>
        <v>\ImpRepAWEGWPE</v>
      </c>
      <c r="L401">
        <f>L399+L402</f>
        <v>0.20094808703473088</v>
      </c>
      <c r="S401" s="349" t="s">
        <v>162</v>
      </c>
      <c r="T401" s="349" t="s">
        <v>32</v>
      </c>
    </row>
    <row r="402" spans="3:20" x14ac:dyDescent="0.3">
      <c r="C402" t="s">
        <v>1783</v>
      </c>
      <c r="D402" t="str">
        <f t="shared" si="165"/>
        <v>ImpRep</v>
      </c>
      <c r="E402" t="str">
        <f t="shared" si="161"/>
        <v>AWE</v>
      </c>
      <c r="F402" t="str">
        <f t="shared" si="166"/>
        <v>GWP</v>
      </c>
      <c r="G402" s="359">
        <f t="shared" si="162"/>
        <v>5.502783312577833E-2</v>
      </c>
      <c r="H402" t="s">
        <v>1800</v>
      </c>
      <c r="I402" t="str">
        <f t="shared" si="163"/>
        <v>\newcommand{\ImpRepAWEGWPF}{0,1}%battery replacement totoal</v>
      </c>
      <c r="J402" t="str">
        <f t="shared" si="164"/>
        <v>\ImpRepAWEGWPF</v>
      </c>
      <c r="L402">
        <f>T405/S400</f>
        <v>5.502783312577833E-2</v>
      </c>
      <c r="Q402" t="s">
        <v>1860</v>
      </c>
      <c r="S402" s="348">
        <f>AWE!$H$674</f>
        <v>8276801.8833705448</v>
      </c>
      <c r="T402" s="348">
        <f>AWE!$F$674</f>
        <v>255727.01128522566</v>
      </c>
    </row>
    <row r="403" spans="3:20" x14ac:dyDescent="0.3">
      <c r="C403" t="s">
        <v>1782</v>
      </c>
      <c r="D403" t="str">
        <f t="shared" si="165"/>
        <v>ImpRep</v>
      </c>
      <c r="E403" t="str">
        <f t="shared" si="161"/>
        <v>AWE</v>
      </c>
      <c r="F403" t="str">
        <f t="shared" si="166"/>
        <v>GWP</v>
      </c>
      <c r="G403" s="359">
        <f t="shared" si="162"/>
        <v>0.75383788243138938</v>
      </c>
      <c r="H403" t="s">
        <v>1777</v>
      </c>
      <c r="I403" t="str">
        <f t="shared" si="163"/>
        <v>\newcommand{\ImpRepAWEGWPG}{0,8}%Total replacements</v>
      </c>
      <c r="J403" t="str">
        <f t="shared" si="164"/>
        <v>\ImpRepAWEGWPG</v>
      </c>
      <c r="L403">
        <f>L402+L398+L399</f>
        <v>0.75383788243138938</v>
      </c>
      <c r="Q403" t="s">
        <v>1491</v>
      </c>
      <c r="S403" s="348">
        <f>AWE!$H$676</f>
        <v>915723.36</v>
      </c>
      <c r="T403" s="348">
        <f>AWE!$F$676</f>
        <v>67492.203200000004</v>
      </c>
    </row>
    <row r="404" spans="3:20" x14ac:dyDescent="0.3">
      <c r="C404" t="s">
        <v>1798</v>
      </c>
      <c r="D404" t="str">
        <f t="shared" si="165"/>
        <v>ImpRep</v>
      </c>
      <c r="E404" t="str">
        <f t="shared" si="161"/>
        <v>AWE</v>
      </c>
      <c r="F404" t="str">
        <f t="shared" si="166"/>
        <v>GWP</v>
      </c>
      <c r="G404" s="359">
        <f t="shared" si="162"/>
        <v>5.4180503666805034E-3</v>
      </c>
      <c r="H404" t="s">
        <v>276</v>
      </c>
      <c r="I404" t="str">
        <f t="shared" si="163"/>
        <v>\newcommand{\ImpRepAWEGWPH}{0,0}%consumables</v>
      </c>
      <c r="J404" t="str">
        <f t="shared" si="164"/>
        <v>\ImpRepAWEGWPH</v>
      </c>
      <c r="L404">
        <f>T406/S400</f>
        <v>5.4180503666805034E-3</v>
      </c>
      <c r="S404" s="348"/>
      <c r="T404" s="348"/>
    </row>
    <row r="405" spans="3:20" x14ac:dyDescent="0.3">
      <c r="C405" t="s">
        <v>1796</v>
      </c>
      <c r="D405" t="str">
        <f t="shared" si="165"/>
        <v>ImpRep</v>
      </c>
      <c r="E405" t="str">
        <f t="shared" si="161"/>
        <v>AWE</v>
      </c>
      <c r="F405" t="str">
        <f t="shared" si="166"/>
        <v>GWP</v>
      </c>
      <c r="G405" s="359">
        <f t="shared" si="162"/>
        <v>0.12114342848632519</v>
      </c>
      <c r="H405" t="s">
        <v>4</v>
      </c>
      <c r="I405" t="str">
        <f t="shared" si="163"/>
        <v>\newcommand{\ImpRepAWEGWPI}{0,1}%transport</v>
      </c>
      <c r="J405" t="str">
        <f t="shared" si="164"/>
        <v>\ImpRepAWEGWPI</v>
      </c>
      <c r="L405">
        <f>T407/S400</f>
        <v>0.12114342848632519</v>
      </c>
      <c r="Q405" t="s">
        <v>1859</v>
      </c>
      <c r="S405" s="348">
        <f>AWE!$H$675</f>
        <v>405516.24</v>
      </c>
      <c r="T405" s="348">
        <f>AWE!$F$675</f>
        <v>25451.9136</v>
      </c>
    </row>
    <row r="406" spans="3:20" x14ac:dyDescent="0.3">
      <c r="C406" t="s">
        <v>1794</v>
      </c>
      <c r="D406" t="str">
        <f t="shared" si="165"/>
        <v>ImpRep</v>
      </c>
      <c r="E406" t="str">
        <f t="shared" si="161"/>
        <v>AWE</v>
      </c>
      <c r="F406" t="str">
        <f t="shared" si="166"/>
        <v>GWP</v>
      </c>
      <c r="G406" s="359">
        <f t="shared" si="162"/>
        <v>7.7982924830457243</v>
      </c>
      <c r="H406" t="s">
        <v>1858</v>
      </c>
      <c r="I406" t="str">
        <f t="shared" si="163"/>
        <v>\newcommand{\ImpRepAWEGWPJ}{7,8}%Total 20 years</v>
      </c>
      <c r="J406" t="str">
        <f t="shared" si="164"/>
        <v>\ImpRepAWEGWPJ</v>
      </c>
      <c r="L406">
        <f>G112</f>
        <v>7.7982924830457243</v>
      </c>
      <c r="Q406" t="s">
        <v>1852</v>
      </c>
      <c r="S406">
        <f>AWE!$H$662</f>
        <v>116100</v>
      </c>
      <c r="T406">
        <f>AWE!$F$662</f>
        <v>2506</v>
      </c>
    </row>
    <row r="407" spans="3:20" x14ac:dyDescent="0.3">
      <c r="C407" t="s">
        <v>1826</v>
      </c>
      <c r="D407" t="str">
        <f t="shared" ref="D407:F408" si="167">D406</f>
        <v>ImpRep</v>
      </c>
      <c r="E407" t="str">
        <f t="shared" si="167"/>
        <v>AWE</v>
      </c>
      <c r="F407" t="str">
        <f t="shared" si="167"/>
        <v>GWP</v>
      </c>
      <c r="G407" s="359">
        <f t="shared" si="162"/>
        <v>0.88039936128439511</v>
      </c>
      <c r="H407" t="s">
        <v>1850</v>
      </c>
      <c r="I407" t="str">
        <f t="shared" si="163"/>
        <v>\newcommand{\ImpRepAWEGWPK}{0,9}%Total OenM</v>
      </c>
      <c r="J407" t="str">
        <f t="shared" si="164"/>
        <v>\ImpRepAWEGWPK</v>
      </c>
      <c r="L407">
        <f>L405+L404+L403</f>
        <v>0.88039936128439511</v>
      </c>
      <c r="Q407" t="s">
        <v>43</v>
      </c>
      <c r="S407">
        <f>AWE!$H$661</f>
        <v>284861.89983743674</v>
      </c>
      <c r="T407">
        <f>AWE!$F$661</f>
        <v>56032.227690923013</v>
      </c>
    </row>
    <row r="408" spans="3:20" x14ac:dyDescent="0.3">
      <c r="C408" t="s">
        <v>1882</v>
      </c>
      <c r="D408" t="str">
        <f t="shared" si="167"/>
        <v>ImpRep</v>
      </c>
      <c r="E408" t="str">
        <f t="shared" si="167"/>
        <v>AWE</v>
      </c>
      <c r="F408" t="str">
        <f t="shared" si="167"/>
        <v>GWP</v>
      </c>
      <c r="G408" s="359">
        <f t="shared" ref="G408" si="168">L408</f>
        <v>1.0931828404476911</v>
      </c>
      <c r="H408" t="s">
        <v>1887</v>
      </c>
      <c r="I408" t="str">
        <f t="shared" ref="I408" si="169">"\newcommand{"&amp;J408&amp;"}{"&amp;TEXT(G408,$H$13)&amp;"}%"&amp;H408</f>
        <v>\newcommand{\ImpRepAWEGWPL}{1,1}%Total aircraft ( initial + replacements</v>
      </c>
      <c r="J408" t="str">
        <f t="shared" ref="J408" si="170">"\"&amp;D408&amp;E408&amp;F408&amp;C408</f>
        <v>\ImpRepAWEGWPL</v>
      </c>
      <c r="L408">
        <f>L401+L146</f>
        <v>1.0931828404476911</v>
      </c>
    </row>
    <row r="411" spans="3:20" x14ac:dyDescent="0.3">
      <c r="C411" s="42" t="s">
        <v>720</v>
      </c>
      <c r="D411" s="42" t="str">
        <f>D397</f>
        <v>ImpRep</v>
      </c>
      <c r="E411" t="str">
        <f>E403</f>
        <v>AWE</v>
      </c>
      <c r="F411" t="s">
        <v>162</v>
      </c>
      <c r="G411" s="359">
        <f t="shared" ref="G411:G422" si="171">L411</f>
        <v>19.972406919085092</v>
      </c>
      <c r="H411" t="str">
        <f>H397</f>
        <v>Tether total</v>
      </c>
      <c r="I411" t="str">
        <f t="shared" ref="I411:I422" si="172">"\newcommand{"&amp;J411&amp;"}{"&amp;TEXT(G411,$H$13)&amp;"}%"&amp;H411</f>
        <v>\newcommand{\ImpRepAWECEDA}{20,0}%Tether total</v>
      </c>
      <c r="J411" t="str">
        <f>"\"&amp;D411&amp;E411&amp;F411&amp;C411</f>
        <v>\ImpRepAWECEDA</v>
      </c>
      <c r="L411">
        <f>L412+T397</f>
        <v>19.972406919085092</v>
      </c>
    </row>
    <row r="412" spans="3:20" x14ac:dyDescent="0.3">
      <c r="C412" t="s">
        <v>788</v>
      </c>
      <c r="D412" t="str">
        <f t="shared" ref="D412:F419" si="173">D411</f>
        <v>ImpRep</v>
      </c>
      <c r="E412" t="str">
        <f t="shared" si="173"/>
        <v>AWE</v>
      </c>
      <c r="F412" t="str">
        <f t="shared" si="173"/>
        <v>CED</v>
      </c>
      <c r="G412" s="359">
        <f t="shared" si="171"/>
        <v>17.894704500853017</v>
      </c>
      <c r="H412" t="str">
        <f t="shared" ref="H412:H422" si="174">H398</f>
        <v>Tether Replacement</v>
      </c>
      <c r="I412" t="str">
        <f t="shared" si="172"/>
        <v>\newcommand{\ImpRepAWECEDB}{17,9}%Tether Replacement</v>
      </c>
      <c r="J412" t="str">
        <f t="shared" ref="J412:J422" si="175">"\"&amp;D412&amp;E412&amp;F412&amp;C412</f>
        <v>\ImpRepAWECEDB</v>
      </c>
      <c r="L412">
        <f>S402/S400</f>
        <v>17.894704500853017</v>
      </c>
    </row>
    <row r="413" spans="3:20" x14ac:dyDescent="0.3">
      <c r="C413" t="s">
        <v>790</v>
      </c>
      <c r="D413" t="str">
        <f t="shared" si="173"/>
        <v>ImpRep</v>
      </c>
      <c r="E413" t="str">
        <f t="shared" si="173"/>
        <v>AWE</v>
      </c>
      <c r="F413" t="str">
        <f t="shared" si="173"/>
        <v>CED</v>
      </c>
      <c r="G413" s="359">
        <f t="shared" si="171"/>
        <v>1.9798225404732255</v>
      </c>
      <c r="H413" t="str">
        <f t="shared" si="174"/>
        <v>actuator replacement</v>
      </c>
      <c r="I413" t="str">
        <f t="shared" si="172"/>
        <v>\newcommand{\ImpRepAWECEDC}{2,0}%actuator replacement</v>
      </c>
      <c r="J413" t="str">
        <f t="shared" si="175"/>
        <v>\ImpRepAWECEDC</v>
      </c>
      <c r="L413">
        <f>S403/S400</f>
        <v>1.9798225404732255</v>
      </c>
    </row>
    <row r="414" spans="3:20" x14ac:dyDescent="0.3">
      <c r="C414" t="s">
        <v>1786</v>
      </c>
      <c r="D414" t="str">
        <f t="shared" si="173"/>
        <v>ImpRep</v>
      </c>
      <c r="E414" t="str">
        <f t="shared" si="173"/>
        <v>AWE</v>
      </c>
      <c r="F414" t="str">
        <f t="shared" si="173"/>
        <v>CED</v>
      </c>
      <c r="G414" s="359">
        <f t="shared" si="171"/>
        <v>0</v>
      </c>
      <c r="H414" t="str">
        <f t="shared" si="174"/>
        <v>battery propulsion repl</v>
      </c>
      <c r="I414" t="str">
        <f t="shared" si="172"/>
        <v>\newcommand{\ImpRepAWECEDD}{0,0}%battery propulsion repl</v>
      </c>
      <c r="J414" t="str">
        <f t="shared" si="175"/>
        <v>\ImpRepAWECEDD</v>
      </c>
    </row>
    <row r="415" spans="3:20" x14ac:dyDescent="0.3">
      <c r="C415" t="s">
        <v>1784</v>
      </c>
      <c r="D415" t="str">
        <f t="shared" si="173"/>
        <v>ImpRep</v>
      </c>
      <c r="E415" t="str">
        <f t="shared" si="173"/>
        <v>AWE</v>
      </c>
      <c r="F415" t="str">
        <f t="shared" si="173"/>
        <v>CED</v>
      </c>
      <c r="G415" s="359">
        <f t="shared" si="171"/>
        <v>2.8565613325031132</v>
      </c>
      <c r="H415" t="str">
        <f t="shared" si="174"/>
        <v>battery + actuator repl</v>
      </c>
      <c r="I415" t="str">
        <f t="shared" si="172"/>
        <v>\newcommand{\ImpRepAWECEDE}{2,9}%battery + actuator repl</v>
      </c>
      <c r="J415" t="str">
        <f t="shared" si="175"/>
        <v>\ImpRepAWECEDE</v>
      </c>
      <c r="L415">
        <f>L413+L416</f>
        <v>2.8565613325031132</v>
      </c>
    </row>
    <row r="416" spans="3:20" x14ac:dyDescent="0.3">
      <c r="C416" t="s">
        <v>1783</v>
      </c>
      <c r="D416" t="str">
        <f t="shared" si="173"/>
        <v>ImpRep</v>
      </c>
      <c r="E416" t="str">
        <f t="shared" si="173"/>
        <v>AWE</v>
      </c>
      <c r="F416" t="str">
        <f t="shared" si="173"/>
        <v>CED</v>
      </c>
      <c r="G416" s="359">
        <f t="shared" si="171"/>
        <v>0.87673879202988791</v>
      </c>
      <c r="H416" t="str">
        <f t="shared" si="174"/>
        <v>battery replacement totoal</v>
      </c>
      <c r="I416" t="str">
        <f t="shared" si="172"/>
        <v>\newcommand{\ImpRepAWECEDF}{0,9}%battery replacement totoal</v>
      </c>
      <c r="J416" t="str">
        <f t="shared" si="175"/>
        <v>\ImpRepAWECEDF</v>
      </c>
      <c r="L416">
        <f>S405/S400</f>
        <v>0.87673879202988791</v>
      </c>
      <c r="S416">
        <f>'Communication to latex'!L35</f>
        <v>410885.60999999993</v>
      </c>
    </row>
    <row r="417" spans="2:12" x14ac:dyDescent="0.3">
      <c r="C417" t="s">
        <v>1782</v>
      </c>
      <c r="D417" t="str">
        <f t="shared" si="173"/>
        <v>ImpRep</v>
      </c>
      <c r="E417" t="str">
        <f t="shared" si="173"/>
        <v>AWE</v>
      </c>
      <c r="F417" t="str">
        <f t="shared" si="173"/>
        <v>CED</v>
      </c>
      <c r="G417" s="359">
        <f t="shared" si="171"/>
        <v>20.751265833356129</v>
      </c>
      <c r="H417" t="str">
        <f t="shared" si="174"/>
        <v>Total replacements</v>
      </c>
      <c r="I417" t="str">
        <f t="shared" si="172"/>
        <v>\newcommand{\ImpRepAWECEDG}{20,8}%Total replacements</v>
      </c>
      <c r="J417" t="str">
        <f t="shared" si="175"/>
        <v>\ImpRepAWECEDG</v>
      </c>
      <c r="L417">
        <f>L416+L412+L413</f>
        <v>20.751265833356129</v>
      </c>
    </row>
    <row r="418" spans="2:12" x14ac:dyDescent="0.3">
      <c r="C418" t="s">
        <v>1798</v>
      </c>
      <c r="D418" t="str">
        <f t="shared" si="173"/>
        <v>ImpRep</v>
      </c>
      <c r="E418" t="str">
        <f t="shared" si="173"/>
        <v>AWE</v>
      </c>
      <c r="F418" t="str">
        <f t="shared" si="173"/>
        <v>CED</v>
      </c>
      <c r="G418" s="359">
        <f t="shared" si="171"/>
        <v>0.25101183063511828</v>
      </c>
      <c r="H418" t="str">
        <f t="shared" si="174"/>
        <v>consumables</v>
      </c>
      <c r="I418" t="str">
        <f t="shared" si="172"/>
        <v>\newcommand{\ImpRepAWECEDH}{0,3}%consumables</v>
      </c>
      <c r="J418" t="str">
        <f t="shared" si="175"/>
        <v>\ImpRepAWECEDH</v>
      </c>
      <c r="L418">
        <f>S406/S400</f>
        <v>0.25101183063511828</v>
      </c>
    </row>
    <row r="419" spans="2:12" x14ac:dyDescent="0.3">
      <c r="C419" t="s">
        <v>1796</v>
      </c>
      <c r="D419" t="str">
        <f t="shared" si="173"/>
        <v>ImpRep</v>
      </c>
      <c r="E419" t="str">
        <f t="shared" si="173"/>
        <v>AWE</v>
      </c>
      <c r="F419" t="str">
        <f t="shared" si="173"/>
        <v>CED</v>
      </c>
      <c r="G419" s="359">
        <f t="shared" si="171"/>
        <v>0.61588033554171151</v>
      </c>
      <c r="H419" t="str">
        <f t="shared" si="174"/>
        <v>transport</v>
      </c>
      <c r="I419" t="str">
        <f t="shared" si="172"/>
        <v>\newcommand{\ImpRepAWECEDI}{0,6}%transport</v>
      </c>
      <c r="J419" t="str">
        <f t="shared" si="175"/>
        <v>\ImpRepAWECEDI</v>
      </c>
      <c r="L419">
        <f>S407/S400</f>
        <v>0.61588033554171151</v>
      </c>
    </row>
    <row r="420" spans="2:12" x14ac:dyDescent="0.3">
      <c r="C420" t="s">
        <v>1794</v>
      </c>
      <c r="D420" t="str">
        <f t="shared" ref="D420:F422" si="176">D419</f>
        <v>ImpRep</v>
      </c>
      <c r="E420" t="str">
        <f t="shared" si="176"/>
        <v>AWE</v>
      </c>
      <c r="F420" t="str">
        <f t="shared" si="176"/>
        <v>CED</v>
      </c>
      <c r="G420" s="359">
        <f t="shared" si="171"/>
        <v>127.46959888687016</v>
      </c>
      <c r="H420" t="str">
        <f t="shared" si="174"/>
        <v>Total 20 years</v>
      </c>
      <c r="I420" t="str">
        <f t="shared" si="172"/>
        <v>\newcommand{\ImpRepAWECEDJ}{127,5}%Total 20 years</v>
      </c>
      <c r="J420" t="str">
        <f t="shared" si="175"/>
        <v>\ImpRepAWECEDJ</v>
      </c>
      <c r="L420">
        <f>G106</f>
        <v>127.46959888687016</v>
      </c>
    </row>
    <row r="421" spans="2:12" x14ac:dyDescent="0.3">
      <c r="C421" t="s">
        <v>1826</v>
      </c>
      <c r="D421" t="str">
        <f t="shared" si="176"/>
        <v>ImpRep</v>
      </c>
      <c r="E421" t="str">
        <f t="shared" si="176"/>
        <v>AWE</v>
      </c>
      <c r="F421" t="str">
        <f t="shared" si="176"/>
        <v>CED</v>
      </c>
      <c r="G421" s="359">
        <f t="shared" si="171"/>
        <v>21.618157999532958</v>
      </c>
      <c r="H421" t="str">
        <f t="shared" si="174"/>
        <v>Total OenM</v>
      </c>
      <c r="I421" t="str">
        <f t="shared" si="172"/>
        <v>\newcommand{\ImpRepAWECEDK}{21,6}%Total OenM</v>
      </c>
      <c r="J421" t="str">
        <f t="shared" si="175"/>
        <v>\ImpRepAWECEDK</v>
      </c>
      <c r="L421">
        <f>L419+L418+L417</f>
        <v>21.618157999532958</v>
      </c>
    </row>
    <row r="422" spans="2:12" x14ac:dyDescent="0.3">
      <c r="C422" t="s">
        <v>1882</v>
      </c>
      <c r="D422" t="str">
        <f t="shared" si="176"/>
        <v>ImpRep</v>
      </c>
      <c r="E422" t="str">
        <f t="shared" si="176"/>
        <v>AWE</v>
      </c>
      <c r="F422" t="str">
        <f t="shared" si="176"/>
        <v>CED</v>
      </c>
      <c r="G422" s="359">
        <f t="shared" si="171"/>
        <v>19.183701119376085</v>
      </c>
      <c r="H422" t="str">
        <f t="shared" si="174"/>
        <v>Total aircraft ( initial + replacements</v>
      </c>
      <c r="I422" t="str">
        <f t="shared" si="172"/>
        <v>\newcommand{\ImpRepAWECEDL}{19,2}%Total aircraft ( initial + replacements</v>
      </c>
      <c r="J422" t="str">
        <f t="shared" si="175"/>
        <v>\ImpRepAWECEDL</v>
      </c>
      <c r="L422">
        <f>L415+L138</f>
        <v>19.183701119376085</v>
      </c>
    </row>
    <row r="424" spans="2:12" x14ac:dyDescent="0.3">
      <c r="B424" s="42" t="s">
        <v>1993</v>
      </c>
      <c r="E424" s="42" t="s">
        <v>1172</v>
      </c>
      <c r="F424" s="42" t="s">
        <v>1776</v>
      </c>
      <c r="G424" s="362" t="s">
        <v>1791</v>
      </c>
      <c r="H424" s="42"/>
      <c r="I424" s="42" t="str">
        <f>"%" &amp;F424 &amp;G424 &amp;B424 &amp;G424  &amp;E424</f>
        <v>%Impacts of replacements.% of oenm impacts.AWE</v>
      </c>
      <c r="J424" s="42" t="str">
        <f>"\"&amp;B424&amp;E424&amp;F424</f>
        <v>\% of oenm impactsAWEImpacts of replacements</v>
      </c>
    </row>
    <row r="425" spans="2:12" x14ac:dyDescent="0.3">
      <c r="C425" s="42" t="s">
        <v>720</v>
      </c>
      <c r="D425" s="42" t="s">
        <v>1872</v>
      </c>
      <c r="E425" t="s">
        <v>1172</v>
      </c>
      <c r="F425" t="s">
        <v>32</v>
      </c>
      <c r="G425" s="359">
        <f t="shared" ref="G425:G435" si="177">L425</f>
        <v>70.091399272864649</v>
      </c>
      <c r="H425" t="str">
        <f>H397</f>
        <v>Tether total</v>
      </c>
      <c r="I425" t="str">
        <f t="shared" ref="I425:I435" si="178">"\newcommand{"&amp;J425&amp;"}{"&amp;TEXT(G425,$H$13)&amp;"}%"&amp;H425</f>
        <v>\newcommand{\ImpRepPofOenMAWEGWPA}{70,1}%Tether total</v>
      </c>
      <c r="J425" t="str">
        <f t="shared" ref="J425:J435" si="179">"\"&amp;D425&amp;E425&amp;F425&amp;C425</f>
        <v>\ImpRepPofOenMAWEGWPA</v>
      </c>
      <c r="L425">
        <f>100*L397/$L$407</f>
        <v>70.091399272864649</v>
      </c>
    </row>
    <row r="426" spans="2:12" x14ac:dyDescent="0.3">
      <c r="C426" t="s">
        <v>788</v>
      </c>
      <c r="D426" t="str">
        <f t="shared" ref="D426:D436" si="180">D425</f>
        <v>ImpRepPofOenM</v>
      </c>
      <c r="E426" t="str">
        <f t="shared" ref="E426:E436" si="181">E425</f>
        <v>AWE</v>
      </c>
      <c r="F426" t="str">
        <f t="shared" ref="F426:F436" si="182">F425</f>
        <v>GWP</v>
      </c>
      <c r="G426" s="359">
        <f t="shared" si="177"/>
        <v>62.799886018779006</v>
      </c>
      <c r="H426" t="str">
        <f t="shared" ref="H426:H436" si="183">H398</f>
        <v>Tether Replacement</v>
      </c>
      <c r="I426" t="str">
        <f t="shared" si="178"/>
        <v>\newcommand{\ImpRepPofOenMAWEGWPB}{62,8}%Tether Replacement</v>
      </c>
      <c r="J426" t="str">
        <f t="shared" si="179"/>
        <v>\ImpRepPofOenMAWEGWPB</v>
      </c>
      <c r="L426">
        <f t="shared" ref="L426:L435" si="184">100*L398/$L$407</f>
        <v>62.799886018779006</v>
      </c>
    </row>
    <row r="427" spans="2:12" x14ac:dyDescent="0.3">
      <c r="C427" t="s">
        <v>790</v>
      </c>
      <c r="D427" t="str">
        <f t="shared" si="180"/>
        <v>ImpRepPofOenM</v>
      </c>
      <c r="E427" t="str">
        <f t="shared" si="181"/>
        <v>AWE</v>
      </c>
      <c r="F427" t="str">
        <f t="shared" si="182"/>
        <v>GWP</v>
      </c>
      <c r="G427" s="359">
        <f t="shared" si="177"/>
        <v>16.57432528075358</v>
      </c>
      <c r="H427" t="str">
        <f t="shared" si="183"/>
        <v>actuator replacement</v>
      </c>
      <c r="I427" t="str">
        <f t="shared" si="178"/>
        <v>\newcommand{\ImpRepPofOenMAWEGWPC}{16,6}%actuator replacement</v>
      </c>
      <c r="J427" t="str">
        <f t="shared" si="179"/>
        <v>\ImpRepPofOenMAWEGWPC</v>
      </c>
      <c r="L427">
        <f t="shared" si="184"/>
        <v>16.57432528075358</v>
      </c>
    </row>
    <row r="428" spans="2:12" x14ac:dyDescent="0.3">
      <c r="C428" t="s">
        <v>1786</v>
      </c>
      <c r="D428" t="str">
        <f t="shared" si="180"/>
        <v>ImpRepPofOenM</v>
      </c>
      <c r="E428" t="str">
        <f t="shared" si="181"/>
        <v>AWE</v>
      </c>
      <c r="F428" t="str">
        <f t="shared" si="182"/>
        <v>GWP</v>
      </c>
      <c r="G428" s="359">
        <f t="shared" si="177"/>
        <v>0</v>
      </c>
      <c r="H428" t="str">
        <f t="shared" si="183"/>
        <v>battery propulsion repl</v>
      </c>
      <c r="I428" t="str">
        <f t="shared" si="178"/>
        <v>\newcommand{\ImpRepPofOenMAWEGWPD}{0,0}%battery propulsion repl</v>
      </c>
      <c r="J428" t="str">
        <f t="shared" si="179"/>
        <v>\ImpRepPofOenMAWEGWPD</v>
      </c>
      <c r="L428">
        <f t="shared" si="184"/>
        <v>0</v>
      </c>
    </row>
    <row r="429" spans="2:12" x14ac:dyDescent="0.3">
      <c r="C429" t="s">
        <v>1784</v>
      </c>
      <c r="D429" t="str">
        <f t="shared" si="180"/>
        <v>ImpRepPofOenM</v>
      </c>
      <c r="E429" t="str">
        <f t="shared" si="181"/>
        <v>AWE</v>
      </c>
      <c r="F429" t="str">
        <f t="shared" si="182"/>
        <v>GWP</v>
      </c>
      <c r="G429" s="359">
        <f t="shared" si="177"/>
        <v>22.82465161510024</v>
      </c>
      <c r="H429" t="str">
        <f t="shared" si="183"/>
        <v>battery + actuator repl</v>
      </c>
      <c r="I429" t="str">
        <f t="shared" si="178"/>
        <v>\newcommand{\ImpRepPofOenMAWEGWPE}{22,8}%battery + actuator repl</v>
      </c>
      <c r="J429" t="str">
        <f t="shared" si="179"/>
        <v>\ImpRepPofOenMAWEGWPE</v>
      </c>
      <c r="L429">
        <f t="shared" si="184"/>
        <v>22.82465161510024</v>
      </c>
    </row>
    <row r="430" spans="2:12" x14ac:dyDescent="0.3">
      <c r="C430" t="s">
        <v>1783</v>
      </c>
      <c r="D430" t="str">
        <f t="shared" si="180"/>
        <v>ImpRepPofOenM</v>
      </c>
      <c r="E430" t="str">
        <f t="shared" si="181"/>
        <v>AWE</v>
      </c>
      <c r="F430" t="str">
        <f t="shared" si="182"/>
        <v>GWP</v>
      </c>
      <c r="G430" s="359">
        <f t="shared" si="177"/>
        <v>6.2503263343466591</v>
      </c>
      <c r="H430" t="str">
        <f t="shared" si="183"/>
        <v>battery replacement totoal</v>
      </c>
      <c r="I430" t="str">
        <f t="shared" si="178"/>
        <v>\newcommand{\ImpRepPofOenMAWEGWPF}{6,3}%battery replacement totoal</v>
      </c>
      <c r="J430" t="str">
        <f t="shared" si="179"/>
        <v>\ImpRepPofOenMAWEGWPF</v>
      </c>
      <c r="L430">
        <f t="shared" si="184"/>
        <v>6.2503263343466591</v>
      </c>
    </row>
    <row r="431" spans="2:12" x14ac:dyDescent="0.3">
      <c r="C431" t="s">
        <v>1782</v>
      </c>
      <c r="D431" t="str">
        <f t="shared" si="180"/>
        <v>ImpRepPofOenM</v>
      </c>
      <c r="E431" t="str">
        <f t="shared" si="181"/>
        <v>AWE</v>
      </c>
      <c r="F431" t="str">
        <f t="shared" si="182"/>
        <v>GWP</v>
      </c>
      <c r="G431" s="359">
        <f t="shared" si="177"/>
        <v>85.624537633879243</v>
      </c>
      <c r="H431" t="str">
        <f t="shared" si="183"/>
        <v>Total replacements</v>
      </c>
      <c r="I431" t="str">
        <f t="shared" si="178"/>
        <v>\newcommand{\ImpRepPofOenMAWEGWPG}{85,6}%Total replacements</v>
      </c>
      <c r="J431" t="str">
        <f t="shared" si="179"/>
        <v>\ImpRepPofOenMAWEGWPG</v>
      </c>
      <c r="L431">
        <f t="shared" si="184"/>
        <v>85.624537633879243</v>
      </c>
    </row>
    <row r="432" spans="2:12" x14ac:dyDescent="0.3">
      <c r="C432" t="s">
        <v>1798</v>
      </c>
      <c r="D432" t="str">
        <f t="shared" si="180"/>
        <v>ImpRepPofOenM</v>
      </c>
      <c r="E432" t="str">
        <f t="shared" si="181"/>
        <v>AWE</v>
      </c>
      <c r="F432" t="str">
        <f t="shared" si="182"/>
        <v>GWP</v>
      </c>
      <c r="G432" s="359">
        <f t="shared" si="177"/>
        <v>0.61540825731361615</v>
      </c>
      <c r="H432" t="str">
        <f t="shared" si="183"/>
        <v>consumables</v>
      </c>
      <c r="I432" t="str">
        <f t="shared" si="178"/>
        <v>\newcommand{\ImpRepPofOenMAWEGWPH}{0,6}%consumables</v>
      </c>
      <c r="J432" t="str">
        <f t="shared" si="179"/>
        <v>\ImpRepPofOenMAWEGWPH</v>
      </c>
      <c r="L432">
        <f t="shared" si="184"/>
        <v>0.61540825731361615</v>
      </c>
    </row>
    <row r="433" spans="3:12" x14ac:dyDescent="0.3">
      <c r="C433" t="s">
        <v>1796</v>
      </c>
      <c r="D433" t="str">
        <f t="shared" si="180"/>
        <v>ImpRepPofOenM</v>
      </c>
      <c r="E433" t="str">
        <f t="shared" si="181"/>
        <v>AWE</v>
      </c>
      <c r="F433" t="str">
        <f t="shared" si="182"/>
        <v>GWP</v>
      </c>
      <c r="G433" s="359">
        <f t="shared" si="177"/>
        <v>13.760054108807134</v>
      </c>
      <c r="H433" t="str">
        <f t="shared" si="183"/>
        <v>transport</v>
      </c>
      <c r="I433" t="str">
        <f t="shared" si="178"/>
        <v>\newcommand{\ImpRepPofOenMAWEGWPI}{13,8}%transport</v>
      </c>
      <c r="J433" t="str">
        <f t="shared" si="179"/>
        <v>\ImpRepPofOenMAWEGWPI</v>
      </c>
      <c r="L433">
        <f t="shared" si="184"/>
        <v>13.760054108807134</v>
      </c>
    </row>
    <row r="434" spans="3:12" x14ac:dyDescent="0.3">
      <c r="C434" t="s">
        <v>1794</v>
      </c>
      <c r="D434" t="str">
        <f t="shared" si="180"/>
        <v>ImpRepPofOenM</v>
      </c>
      <c r="E434" t="str">
        <f t="shared" si="181"/>
        <v>AWE</v>
      </c>
      <c r="F434" t="str">
        <f t="shared" si="182"/>
        <v>GWP</v>
      </c>
      <c r="G434" s="359">
        <f t="shared" si="177"/>
        <v>885.76762160174303</v>
      </c>
      <c r="H434" t="str">
        <f t="shared" si="183"/>
        <v>Total 20 years</v>
      </c>
      <c r="I434" t="str">
        <f t="shared" si="178"/>
        <v>\newcommand{\ImpRepPofOenMAWEGWPJ}{885,8}%Total 20 years</v>
      </c>
      <c r="J434" t="str">
        <f t="shared" si="179"/>
        <v>\ImpRepPofOenMAWEGWPJ</v>
      </c>
      <c r="L434">
        <f t="shared" si="184"/>
        <v>885.76762160174303</v>
      </c>
    </row>
    <row r="435" spans="3:12" x14ac:dyDescent="0.3">
      <c r="C435" t="s">
        <v>1826</v>
      </c>
      <c r="D435" t="str">
        <f t="shared" si="180"/>
        <v>ImpRepPofOenM</v>
      </c>
      <c r="E435" t="str">
        <f t="shared" si="181"/>
        <v>AWE</v>
      </c>
      <c r="F435" t="str">
        <f t="shared" si="182"/>
        <v>GWP</v>
      </c>
      <c r="G435" s="359">
        <f t="shared" si="177"/>
        <v>100</v>
      </c>
      <c r="H435" t="str">
        <f t="shared" si="183"/>
        <v>Total OenM</v>
      </c>
      <c r="I435" t="str">
        <f t="shared" si="178"/>
        <v>\newcommand{\ImpRepPofOenMAWEGWPK}{100,0}%Total OenM</v>
      </c>
      <c r="J435" t="str">
        <f t="shared" si="179"/>
        <v>\ImpRepPofOenMAWEGWPK</v>
      </c>
      <c r="L435">
        <f t="shared" si="184"/>
        <v>100</v>
      </c>
    </row>
    <row r="436" spans="3:12" x14ac:dyDescent="0.3">
      <c r="C436" t="s">
        <v>1882</v>
      </c>
      <c r="D436" t="str">
        <f t="shared" si="180"/>
        <v>ImpRepPofOenM</v>
      </c>
      <c r="E436" t="str">
        <f t="shared" si="181"/>
        <v>AWE</v>
      </c>
      <c r="F436" t="str">
        <f t="shared" si="182"/>
        <v>GWP</v>
      </c>
      <c r="G436" s="359">
        <f t="shared" ref="G436" si="185">L436</f>
        <v>0</v>
      </c>
      <c r="H436" t="str">
        <f t="shared" si="183"/>
        <v>Total aircraft ( initial + replacements</v>
      </c>
      <c r="I436" t="str">
        <f t="shared" ref="I436" si="186">"\newcommand{"&amp;J436&amp;"}{"&amp;TEXT(G436,$H$13)&amp;"}%"&amp;H436</f>
        <v>\newcommand{\ImpRepPofOenMAWEGWPL}{0,0}%Total aircraft ( initial + replacements</v>
      </c>
      <c r="J436" t="str">
        <f t="shared" ref="J436" si="187">"\"&amp;D436&amp;E436&amp;F436&amp;C436</f>
        <v>\ImpRepPofOenMAWEGWPL</v>
      </c>
    </row>
    <row r="438" spans="3:12" x14ac:dyDescent="0.3">
      <c r="C438" s="42" t="s">
        <v>720</v>
      </c>
      <c r="D438" s="42" t="s">
        <v>1872</v>
      </c>
      <c r="E438" t="s">
        <v>1172</v>
      </c>
      <c r="F438" t="s">
        <v>162</v>
      </c>
      <c r="G438" s="359">
        <f t="shared" ref="G438:G449" si="188">L438</f>
        <v>92.387181736374487</v>
      </c>
      <c r="H438" t="str">
        <f>H397</f>
        <v>Tether total</v>
      </c>
      <c r="I438" t="str">
        <f t="shared" ref="I438:I449" si="189">"\newcommand{"&amp;J438&amp;"}{"&amp;TEXT(G438,$H$13)&amp;"}%"&amp;H438</f>
        <v>\newcommand{\ImpRepPofOenMAWECEDA}{92,4}%Tether total</v>
      </c>
      <c r="J438" t="str">
        <f t="shared" ref="J438:J449" si="190">"\"&amp;D438&amp;E438&amp;F438&amp;C438</f>
        <v>\ImpRepPofOenMAWECEDA</v>
      </c>
      <c r="L438">
        <f t="shared" ref="L438:L448" si="191">100*L411/$L$421</f>
        <v>92.387181736374487</v>
      </c>
    </row>
    <row r="439" spans="3:12" x14ac:dyDescent="0.3">
      <c r="C439" t="s">
        <v>788</v>
      </c>
      <c r="D439" t="str">
        <f t="shared" ref="D439:D449" si="192">D438</f>
        <v>ImpRepPofOenM</v>
      </c>
      <c r="E439" t="str">
        <f t="shared" ref="E439:E449" si="193">E438</f>
        <v>AWE</v>
      </c>
      <c r="F439" t="str">
        <f t="shared" ref="F439:F449" si="194">F438</f>
        <v>CED</v>
      </c>
      <c r="G439" s="359">
        <f t="shared" si="188"/>
        <v>82.77626845561781</v>
      </c>
      <c r="H439" t="str">
        <f t="shared" ref="H439:H448" si="195">H398</f>
        <v>Tether Replacement</v>
      </c>
      <c r="I439" t="str">
        <f t="shared" si="189"/>
        <v>\newcommand{\ImpRepPofOenMAWECEDB}{82,8}%Tether Replacement</v>
      </c>
      <c r="J439" t="str">
        <f t="shared" si="190"/>
        <v>\ImpRepPofOenMAWECEDB</v>
      </c>
      <c r="L439">
        <f t="shared" si="191"/>
        <v>82.77626845561781</v>
      </c>
    </row>
    <row r="440" spans="3:12" x14ac:dyDescent="0.3">
      <c r="C440" t="s">
        <v>790</v>
      </c>
      <c r="D440" t="str">
        <f t="shared" si="192"/>
        <v>ImpRepPofOenM</v>
      </c>
      <c r="E440" t="str">
        <f t="shared" si="193"/>
        <v>AWE</v>
      </c>
      <c r="F440" t="str">
        <f t="shared" si="194"/>
        <v>CED</v>
      </c>
      <c r="G440" s="359">
        <f t="shared" si="188"/>
        <v>9.1581463162402557</v>
      </c>
      <c r="H440" t="str">
        <f t="shared" si="195"/>
        <v>actuator replacement</v>
      </c>
      <c r="I440" t="str">
        <f t="shared" si="189"/>
        <v>\newcommand{\ImpRepPofOenMAWECEDC}{9,2}%actuator replacement</v>
      </c>
      <c r="J440" t="str">
        <f t="shared" si="190"/>
        <v>\ImpRepPofOenMAWECEDC</v>
      </c>
      <c r="L440">
        <f t="shared" si="191"/>
        <v>9.1581463162402557</v>
      </c>
    </row>
    <row r="441" spans="3:12" x14ac:dyDescent="0.3">
      <c r="C441" t="s">
        <v>1786</v>
      </c>
      <c r="D441" t="str">
        <f t="shared" si="192"/>
        <v>ImpRepPofOenM</v>
      </c>
      <c r="E441" t="str">
        <f t="shared" si="193"/>
        <v>AWE</v>
      </c>
      <c r="F441" t="str">
        <f t="shared" si="194"/>
        <v>CED</v>
      </c>
      <c r="G441" s="359">
        <f t="shared" si="188"/>
        <v>0</v>
      </c>
      <c r="H441" t="str">
        <f t="shared" si="195"/>
        <v>battery propulsion repl</v>
      </c>
      <c r="I441" t="str">
        <f t="shared" si="189"/>
        <v>\newcommand{\ImpRepPofOenMAWECEDD}{0,0}%battery propulsion repl</v>
      </c>
      <c r="J441" t="str">
        <f t="shared" si="190"/>
        <v>\ImpRepPofOenMAWECEDD</v>
      </c>
      <c r="L441">
        <f t="shared" si="191"/>
        <v>0</v>
      </c>
    </row>
    <row r="442" spans="3:12" x14ac:dyDescent="0.3">
      <c r="C442" t="s">
        <v>1784</v>
      </c>
      <c r="D442" t="str">
        <f t="shared" si="192"/>
        <v>ImpRepPofOenM</v>
      </c>
      <c r="E442" t="str">
        <f t="shared" si="193"/>
        <v>AWE</v>
      </c>
      <c r="F442" t="str">
        <f t="shared" si="194"/>
        <v>CED</v>
      </c>
      <c r="G442" s="359">
        <f t="shared" si="188"/>
        <v>13.213712900816187</v>
      </c>
      <c r="H442" t="str">
        <f t="shared" si="195"/>
        <v>battery + actuator repl</v>
      </c>
      <c r="I442" t="str">
        <f t="shared" si="189"/>
        <v>\newcommand{\ImpRepPofOenMAWECEDE}{13,2}%battery + actuator repl</v>
      </c>
      <c r="J442" t="str">
        <f t="shared" si="190"/>
        <v>\ImpRepPofOenMAWECEDE</v>
      </c>
      <c r="L442">
        <f t="shared" si="191"/>
        <v>13.213712900816187</v>
      </c>
    </row>
    <row r="443" spans="3:12" x14ac:dyDescent="0.3">
      <c r="C443" t="s">
        <v>1783</v>
      </c>
      <c r="D443" t="str">
        <f t="shared" si="192"/>
        <v>ImpRepPofOenM</v>
      </c>
      <c r="E443" t="str">
        <f t="shared" si="193"/>
        <v>AWE</v>
      </c>
      <c r="F443" t="str">
        <f t="shared" si="194"/>
        <v>CED</v>
      </c>
      <c r="G443" s="359">
        <f t="shared" si="188"/>
        <v>4.0555665845759341</v>
      </c>
      <c r="H443" t="str">
        <f t="shared" si="195"/>
        <v>battery replacement totoal</v>
      </c>
      <c r="I443" t="str">
        <f t="shared" si="189"/>
        <v>\newcommand{\ImpRepPofOenMAWECEDF}{4,1}%battery replacement totoal</v>
      </c>
      <c r="J443" t="str">
        <f t="shared" si="190"/>
        <v>\ImpRepPofOenMAWECEDF</v>
      </c>
      <c r="L443">
        <f t="shared" si="191"/>
        <v>4.0555665845759341</v>
      </c>
    </row>
    <row r="444" spans="3:12" x14ac:dyDescent="0.3">
      <c r="C444" t="s">
        <v>1782</v>
      </c>
      <c r="D444" t="str">
        <f t="shared" si="192"/>
        <v>ImpRepPofOenM</v>
      </c>
      <c r="E444" t="str">
        <f t="shared" si="193"/>
        <v>AWE</v>
      </c>
      <c r="F444" t="str">
        <f t="shared" si="194"/>
        <v>CED</v>
      </c>
      <c r="G444" s="359">
        <f t="shared" si="188"/>
        <v>95.989981356433987</v>
      </c>
      <c r="H444" t="str">
        <f t="shared" si="195"/>
        <v>Total replacements</v>
      </c>
      <c r="I444" t="str">
        <f t="shared" si="189"/>
        <v>\newcommand{\ImpRepPofOenMAWECEDG}{96,0}%Total replacements</v>
      </c>
      <c r="J444" t="str">
        <f t="shared" si="190"/>
        <v>\ImpRepPofOenMAWECEDG</v>
      </c>
      <c r="L444">
        <f t="shared" si="191"/>
        <v>95.989981356433987</v>
      </c>
    </row>
    <row r="445" spans="3:12" x14ac:dyDescent="0.3">
      <c r="C445" t="s">
        <v>1798</v>
      </c>
      <c r="D445" t="str">
        <f t="shared" si="192"/>
        <v>ImpRepPofOenM</v>
      </c>
      <c r="E445" t="str">
        <f t="shared" si="193"/>
        <v>AWE</v>
      </c>
      <c r="F445" t="str">
        <f t="shared" si="194"/>
        <v>CED</v>
      </c>
      <c r="G445" s="359">
        <f t="shared" si="188"/>
        <v>1.1611157187422776</v>
      </c>
      <c r="H445" t="str">
        <f t="shared" si="195"/>
        <v>consumables</v>
      </c>
      <c r="I445" t="str">
        <f t="shared" si="189"/>
        <v>\newcommand{\ImpRepPofOenMAWECEDH}{1,2}%consumables</v>
      </c>
      <c r="J445" t="str">
        <f t="shared" si="190"/>
        <v>\ImpRepPofOenMAWECEDH</v>
      </c>
      <c r="L445">
        <f t="shared" si="191"/>
        <v>1.1611157187422776</v>
      </c>
    </row>
    <row r="446" spans="3:12" x14ac:dyDescent="0.3">
      <c r="C446" t="s">
        <v>1796</v>
      </c>
      <c r="D446" t="str">
        <f t="shared" si="192"/>
        <v>ImpRepPofOenM</v>
      </c>
      <c r="E446" t="str">
        <f t="shared" si="193"/>
        <v>AWE</v>
      </c>
      <c r="F446" t="str">
        <f t="shared" si="194"/>
        <v>CED</v>
      </c>
      <c r="G446" s="359">
        <f t="shared" si="188"/>
        <v>2.8489029248237387</v>
      </c>
      <c r="H446" t="str">
        <f t="shared" si="195"/>
        <v>transport</v>
      </c>
      <c r="I446" t="str">
        <f t="shared" si="189"/>
        <v>\newcommand{\ImpRepPofOenMAWECEDI}{2,8}%transport</v>
      </c>
      <c r="J446" t="str">
        <f t="shared" si="190"/>
        <v>\ImpRepPofOenMAWECEDI</v>
      </c>
      <c r="L446">
        <f t="shared" si="191"/>
        <v>2.8489029248237387</v>
      </c>
    </row>
    <row r="447" spans="3:12" x14ac:dyDescent="0.3">
      <c r="C447" t="s">
        <v>1794</v>
      </c>
      <c r="D447" t="str">
        <f t="shared" si="192"/>
        <v>ImpRepPofOenM</v>
      </c>
      <c r="E447" t="str">
        <f t="shared" si="193"/>
        <v>AWE</v>
      </c>
      <c r="F447" t="str">
        <f t="shared" si="194"/>
        <v>CED</v>
      </c>
      <c r="G447" s="359">
        <f t="shared" si="188"/>
        <v>589.64135098662905</v>
      </c>
      <c r="H447" t="str">
        <f t="shared" si="195"/>
        <v>Total 20 years</v>
      </c>
      <c r="I447" t="str">
        <f t="shared" si="189"/>
        <v>\newcommand{\ImpRepPofOenMAWECEDJ}{589,6}%Total 20 years</v>
      </c>
      <c r="J447" t="str">
        <f t="shared" si="190"/>
        <v>\ImpRepPofOenMAWECEDJ</v>
      </c>
      <c r="L447">
        <f t="shared" si="191"/>
        <v>589.64135098662905</v>
      </c>
    </row>
    <row r="448" spans="3:12" x14ac:dyDescent="0.3">
      <c r="C448" t="s">
        <v>1826</v>
      </c>
      <c r="D448" t="str">
        <f t="shared" si="192"/>
        <v>ImpRepPofOenM</v>
      </c>
      <c r="E448" t="str">
        <f t="shared" si="193"/>
        <v>AWE</v>
      </c>
      <c r="F448" t="str">
        <f t="shared" si="194"/>
        <v>CED</v>
      </c>
      <c r="G448" s="359">
        <f t="shared" si="188"/>
        <v>100.00000000000001</v>
      </c>
      <c r="H448" t="str">
        <f t="shared" si="195"/>
        <v>Total OenM</v>
      </c>
      <c r="I448" t="str">
        <f t="shared" si="189"/>
        <v>\newcommand{\ImpRepPofOenMAWECEDK}{100,0}%Total OenM</v>
      </c>
      <c r="J448" t="str">
        <f t="shared" si="190"/>
        <v>\ImpRepPofOenMAWECEDK</v>
      </c>
      <c r="L448">
        <f t="shared" si="191"/>
        <v>100.00000000000001</v>
      </c>
    </row>
    <row r="449" spans="2:12" x14ac:dyDescent="0.3">
      <c r="C449" t="s">
        <v>1882</v>
      </c>
      <c r="D449" t="str">
        <f t="shared" si="192"/>
        <v>ImpRepPofOenM</v>
      </c>
      <c r="E449" t="str">
        <f t="shared" si="193"/>
        <v>AWE</v>
      </c>
      <c r="F449" t="str">
        <f t="shared" si="194"/>
        <v>CED</v>
      </c>
      <c r="G449" s="359">
        <f t="shared" si="188"/>
        <v>0</v>
      </c>
      <c r="H449" t="str">
        <f>H408</f>
        <v>Total aircraft ( initial + replacements</v>
      </c>
      <c r="I449" t="str">
        <f t="shared" si="189"/>
        <v>\newcommand{\ImpRepPofOenMAWECEDL}{0,0}%Total aircraft ( initial + replacements</v>
      </c>
      <c r="J449" t="str">
        <f t="shared" si="190"/>
        <v>\ImpRepPofOenMAWECEDL</v>
      </c>
    </row>
    <row r="451" spans="2:12" x14ac:dyDescent="0.3">
      <c r="B451" s="42" t="s">
        <v>1875</v>
      </c>
      <c r="E451" s="42" t="s">
        <v>1172</v>
      </c>
      <c r="F451" s="42" t="s">
        <v>1776</v>
      </c>
      <c r="G451" s="362" t="s">
        <v>1791</v>
      </c>
      <c r="H451" s="42"/>
      <c r="I451" s="42" t="str">
        <f>"%" &amp;F451 &amp;G451 &amp;B451 &amp;G451  &amp;E451</f>
        <v>%Impacts of replacements.% of all impacts.AWE</v>
      </c>
      <c r="J451" s="42" t="str">
        <f>"\"&amp;B451&amp;E451&amp;F451</f>
        <v>\% of all impactsAWEImpacts of replacements</v>
      </c>
    </row>
    <row r="452" spans="2:12" x14ac:dyDescent="0.3">
      <c r="C452" s="42" t="s">
        <v>720</v>
      </c>
      <c r="D452" s="42" t="s">
        <v>1854</v>
      </c>
      <c r="E452" t="str">
        <f>E396</f>
        <v>AWE</v>
      </c>
      <c r="F452" t="s">
        <v>32</v>
      </c>
      <c r="G452" s="359">
        <f t="shared" ref="G452:G463" si="196">L452</f>
        <v>7.9130685705261623</v>
      </c>
      <c r="H452" t="str">
        <f>H397</f>
        <v>Tether total</v>
      </c>
      <c r="I452" t="str">
        <f t="shared" ref="I452:I463" si="197">"\newcommand{"&amp;J452&amp;"}{"&amp;TEXT(G452,$H$13)&amp;"}%"&amp;H452</f>
        <v>\newcommand{\ImpRepPofAllAWEGWPA}{7,9}%Tether total</v>
      </c>
      <c r="J452" t="str">
        <f t="shared" ref="J452:J463" si="198">"\"&amp;D452&amp;E452&amp;F452&amp;C452</f>
        <v>\ImpRepPofAllAWEGWPA</v>
      </c>
      <c r="L452">
        <f>100*L397/$L$406</f>
        <v>7.9130685705261623</v>
      </c>
    </row>
    <row r="453" spans="2:12" x14ac:dyDescent="0.3">
      <c r="C453" t="s">
        <v>788</v>
      </c>
      <c r="D453" t="str">
        <f t="shared" ref="D453:D463" si="199">D452</f>
        <v>ImpRepPofAll</v>
      </c>
      <c r="E453" t="str">
        <f t="shared" ref="E453:E463" si="200">E452</f>
        <v>AWE</v>
      </c>
      <c r="F453" t="str">
        <f t="shared" ref="F453:F463" si="201">F452</f>
        <v>GWP</v>
      </c>
      <c r="G453" s="359">
        <f t="shared" si="196"/>
        <v>7.0898827736802232</v>
      </c>
      <c r="H453" t="str">
        <f t="shared" ref="H453:H463" si="202">H398</f>
        <v>Tether Replacement</v>
      </c>
      <c r="I453" t="str">
        <f t="shared" si="197"/>
        <v>\newcommand{\ImpRepPofAllAWEGWPB}{7,1}%Tether Replacement</v>
      </c>
      <c r="J453" t="str">
        <f t="shared" si="198"/>
        <v>\ImpRepPofAllAWEGWPB</v>
      </c>
      <c r="L453">
        <f t="shared" ref="L453:L462" si="203">100*L398/$L$406</f>
        <v>7.0898827736802232</v>
      </c>
    </row>
    <row r="454" spans="2:12" x14ac:dyDescent="0.3">
      <c r="C454" t="s">
        <v>790</v>
      </c>
      <c r="D454" t="str">
        <f t="shared" si="199"/>
        <v>ImpRepPofAll</v>
      </c>
      <c r="E454" t="str">
        <f t="shared" si="200"/>
        <v>AWE</v>
      </c>
      <c r="F454" t="str">
        <f t="shared" si="201"/>
        <v>GWP</v>
      </c>
      <c r="G454" s="359">
        <f t="shared" si="196"/>
        <v>1.8711821110351776</v>
      </c>
      <c r="H454" t="str">
        <f t="shared" si="202"/>
        <v>actuator replacement</v>
      </c>
      <c r="I454" t="str">
        <f t="shared" si="197"/>
        <v>\newcommand{\ImpRepPofAllAWEGWPC}{1,9}%actuator replacement</v>
      </c>
      <c r="J454" t="str">
        <f t="shared" si="198"/>
        <v>\ImpRepPofAllAWEGWPC</v>
      </c>
      <c r="L454">
        <f t="shared" si="203"/>
        <v>1.8711821110351776</v>
      </c>
    </row>
    <row r="455" spans="2:12" x14ac:dyDescent="0.3">
      <c r="C455" t="s">
        <v>1786</v>
      </c>
      <c r="D455" t="str">
        <f t="shared" si="199"/>
        <v>ImpRepPofAll</v>
      </c>
      <c r="E455" t="str">
        <f t="shared" si="200"/>
        <v>AWE</v>
      </c>
      <c r="F455" t="str">
        <f t="shared" si="201"/>
        <v>GWP</v>
      </c>
      <c r="G455" s="359">
        <f t="shared" si="196"/>
        <v>0</v>
      </c>
      <c r="H455" t="str">
        <f t="shared" si="202"/>
        <v>battery propulsion repl</v>
      </c>
      <c r="I455" t="str">
        <f t="shared" si="197"/>
        <v>\newcommand{\ImpRepPofAllAWEGWPD}{0,0}%battery propulsion repl</v>
      </c>
      <c r="J455" t="str">
        <f t="shared" si="198"/>
        <v>\ImpRepPofAllAWEGWPD</v>
      </c>
      <c r="L455">
        <f t="shared" si="203"/>
        <v>0</v>
      </c>
    </row>
    <row r="456" spans="2:12" x14ac:dyDescent="0.3">
      <c r="C456" t="s">
        <v>1784</v>
      </c>
      <c r="D456" t="str">
        <f t="shared" si="199"/>
        <v>ImpRepPofAll</v>
      </c>
      <c r="E456" t="str">
        <f t="shared" si="200"/>
        <v>AWE</v>
      </c>
      <c r="F456" t="str">
        <f t="shared" si="201"/>
        <v>GWP</v>
      </c>
      <c r="G456" s="359">
        <f t="shared" si="196"/>
        <v>2.5768216243698516</v>
      </c>
      <c r="H456" t="str">
        <f t="shared" si="202"/>
        <v>battery + actuator repl</v>
      </c>
      <c r="I456" t="str">
        <f t="shared" si="197"/>
        <v>\newcommand{\ImpRepPofAllAWEGWPE}{2,6}%battery + actuator repl</v>
      </c>
      <c r="J456" t="str">
        <f t="shared" si="198"/>
        <v>\ImpRepPofAllAWEGWPE</v>
      </c>
      <c r="L456">
        <f t="shared" si="203"/>
        <v>2.5768216243698516</v>
      </c>
    </row>
    <row r="457" spans="2:12" x14ac:dyDescent="0.3">
      <c r="C457" t="s">
        <v>1783</v>
      </c>
      <c r="D457" t="str">
        <f t="shared" si="199"/>
        <v>ImpRepPofAll</v>
      </c>
      <c r="E457" t="str">
        <f t="shared" si="200"/>
        <v>AWE</v>
      </c>
      <c r="F457" t="str">
        <f t="shared" si="201"/>
        <v>GWP</v>
      </c>
      <c r="G457" s="359">
        <f t="shared" si="196"/>
        <v>0.70563951333467423</v>
      </c>
      <c r="H457" t="str">
        <f t="shared" si="202"/>
        <v>battery replacement totoal</v>
      </c>
      <c r="I457" t="str">
        <f t="shared" si="197"/>
        <v>\newcommand{\ImpRepPofAllAWEGWPF}{0,7}%battery replacement totoal</v>
      </c>
      <c r="J457" t="str">
        <f t="shared" si="198"/>
        <v>\ImpRepPofAllAWEGWPF</v>
      </c>
      <c r="L457">
        <f t="shared" si="203"/>
        <v>0.70563951333467423</v>
      </c>
    </row>
    <row r="458" spans="2:12" x14ac:dyDescent="0.3">
      <c r="C458" t="s">
        <v>1782</v>
      </c>
      <c r="D458" t="str">
        <f t="shared" si="199"/>
        <v>ImpRepPofAll</v>
      </c>
      <c r="E458" t="str">
        <f t="shared" si="200"/>
        <v>AWE</v>
      </c>
      <c r="F458" t="str">
        <f t="shared" si="201"/>
        <v>GWP</v>
      </c>
      <c r="G458" s="359">
        <f t="shared" si="196"/>
        <v>9.666704398050074</v>
      </c>
      <c r="H458" t="str">
        <f t="shared" si="202"/>
        <v>Total replacements</v>
      </c>
      <c r="I458" t="str">
        <f t="shared" si="197"/>
        <v>\newcommand{\ImpRepPofAllAWEGWPG}{9,7}%Total replacements</v>
      </c>
      <c r="J458" t="str">
        <f t="shared" si="198"/>
        <v>\ImpRepPofAllAWEGWPG</v>
      </c>
      <c r="L458">
        <f t="shared" si="203"/>
        <v>9.666704398050074</v>
      </c>
    </row>
    <row r="459" spans="2:12" x14ac:dyDescent="0.3">
      <c r="C459" t="s">
        <v>1798</v>
      </c>
      <c r="D459" t="str">
        <f t="shared" si="199"/>
        <v>ImpRepPofAll</v>
      </c>
      <c r="E459" t="str">
        <f t="shared" si="200"/>
        <v>AWE</v>
      </c>
      <c r="F459" t="str">
        <f t="shared" si="201"/>
        <v>GWP</v>
      </c>
      <c r="G459" s="359">
        <f t="shared" si="196"/>
        <v>6.9477393653288741E-2</v>
      </c>
      <c r="H459" t="str">
        <f t="shared" si="202"/>
        <v>consumables</v>
      </c>
      <c r="I459" t="str">
        <f t="shared" si="197"/>
        <v>\newcommand{\ImpRepPofAllAWEGWPH}{0,1}%consumables</v>
      </c>
      <c r="J459" t="str">
        <f t="shared" si="198"/>
        <v>\ImpRepPofAllAWEGWPH</v>
      </c>
      <c r="L459">
        <f t="shared" si="203"/>
        <v>6.9477393653288741E-2</v>
      </c>
    </row>
    <row r="460" spans="2:12" x14ac:dyDescent="0.3">
      <c r="C460" t="s">
        <v>1796</v>
      </c>
      <c r="D460" t="str">
        <f t="shared" si="199"/>
        <v>ImpRepPofAll</v>
      </c>
      <c r="E460" t="str">
        <f t="shared" si="200"/>
        <v>AWE</v>
      </c>
      <c r="F460" t="str">
        <f t="shared" si="201"/>
        <v>GWP</v>
      </c>
      <c r="G460" s="359">
        <f t="shared" si="196"/>
        <v>1.5534609499413266</v>
      </c>
      <c r="H460" t="str">
        <f t="shared" si="202"/>
        <v>transport</v>
      </c>
      <c r="I460" t="str">
        <f t="shared" si="197"/>
        <v>\newcommand{\ImpRepPofAllAWEGWPI}{1,6}%transport</v>
      </c>
      <c r="J460" t="str">
        <f t="shared" si="198"/>
        <v>\ImpRepPofAllAWEGWPI</v>
      </c>
      <c r="L460">
        <f t="shared" si="203"/>
        <v>1.5534609499413266</v>
      </c>
    </row>
    <row r="461" spans="2:12" x14ac:dyDescent="0.3">
      <c r="C461" t="s">
        <v>1794</v>
      </c>
      <c r="D461" t="str">
        <f t="shared" si="199"/>
        <v>ImpRepPofAll</v>
      </c>
      <c r="E461" t="str">
        <f t="shared" si="200"/>
        <v>AWE</v>
      </c>
      <c r="F461" t="str">
        <f t="shared" si="201"/>
        <v>GWP</v>
      </c>
      <c r="G461" s="359">
        <f t="shared" si="196"/>
        <v>100</v>
      </c>
      <c r="H461" t="str">
        <f t="shared" si="202"/>
        <v>Total 20 years</v>
      </c>
      <c r="I461" t="str">
        <f t="shared" si="197"/>
        <v>\newcommand{\ImpRepPofAllAWEGWPJ}{100,0}%Total 20 years</v>
      </c>
      <c r="J461" t="str">
        <f t="shared" si="198"/>
        <v>\ImpRepPofAllAWEGWPJ</v>
      </c>
      <c r="L461">
        <f t="shared" si="203"/>
        <v>100</v>
      </c>
    </row>
    <row r="462" spans="2:12" x14ac:dyDescent="0.3">
      <c r="C462" t="s">
        <v>1826</v>
      </c>
      <c r="D462" t="str">
        <f t="shared" si="199"/>
        <v>ImpRepPofAll</v>
      </c>
      <c r="E462" t="str">
        <f t="shared" si="200"/>
        <v>AWE</v>
      </c>
      <c r="F462" t="str">
        <f t="shared" si="201"/>
        <v>GWP</v>
      </c>
      <c r="G462" s="359">
        <f t="shared" si="196"/>
        <v>11.289642741644689</v>
      </c>
      <c r="H462" t="str">
        <f t="shared" si="202"/>
        <v>Total OenM</v>
      </c>
      <c r="I462" t="str">
        <f t="shared" si="197"/>
        <v>\newcommand{\ImpRepPofAllAWEGWPK}{11,3}%Total OenM</v>
      </c>
      <c r="J462" t="str">
        <f t="shared" si="198"/>
        <v>\ImpRepPofAllAWEGWPK</v>
      </c>
      <c r="L462">
        <f t="shared" si="203"/>
        <v>11.289642741644689</v>
      </c>
    </row>
    <row r="463" spans="2:12" x14ac:dyDescent="0.3">
      <c r="C463" t="s">
        <v>1882</v>
      </c>
      <c r="D463" t="str">
        <f t="shared" si="199"/>
        <v>ImpRepPofAll</v>
      </c>
      <c r="E463" t="str">
        <f t="shared" si="200"/>
        <v>AWE</v>
      </c>
      <c r="F463" t="str">
        <f t="shared" si="201"/>
        <v>GWP</v>
      </c>
      <c r="G463" s="359">
        <f t="shared" si="196"/>
        <v>14.018233386659722</v>
      </c>
      <c r="H463" t="str">
        <f t="shared" si="202"/>
        <v>Total aircraft ( initial + replacements</v>
      </c>
      <c r="I463" t="str">
        <f t="shared" si="197"/>
        <v>\newcommand{\ImpRepPofAllAWEGWPL}{14,0}%Total aircraft ( initial + replacements</v>
      </c>
      <c r="J463" t="str">
        <f t="shared" si="198"/>
        <v>\ImpRepPofAllAWEGWPL</v>
      </c>
      <c r="L463">
        <f>100*L408/$L$406</f>
        <v>14.018233386659722</v>
      </c>
    </row>
    <row r="465" spans="1:13" x14ac:dyDescent="0.3">
      <c r="C465" s="42" t="s">
        <v>720</v>
      </c>
      <c r="D465" s="42" t="s">
        <v>1854</v>
      </c>
      <c r="E465" t="str">
        <f>E411</f>
        <v>AWE</v>
      </c>
      <c r="F465" t="s">
        <v>162</v>
      </c>
      <c r="G465" s="359">
        <f t="shared" ref="G465:G476" si="204">L465</f>
        <v>15.668368845194761</v>
      </c>
      <c r="H465" t="str">
        <f>H397</f>
        <v>Tether total</v>
      </c>
      <c r="I465" t="str">
        <f t="shared" ref="I465:I476" si="205">"\newcommand{"&amp;J465&amp;"}{"&amp;TEXT(G465,$H$13)&amp;"}%"&amp;H465</f>
        <v>\newcommand{\ImpRepPofAllAWECEDA}{15,7}%Tether total</v>
      </c>
      <c r="J465" t="str">
        <f t="shared" ref="J465:J476" si="206">"\"&amp;D465&amp;E465&amp;F465&amp;C465</f>
        <v>\ImpRepPofAllAWECEDA</v>
      </c>
      <c r="L465">
        <f t="shared" ref="L465:L476" si="207">100*L411/$L$420</f>
        <v>15.668368845194761</v>
      </c>
    </row>
    <row r="466" spans="1:13" x14ac:dyDescent="0.3">
      <c r="C466" t="s">
        <v>788</v>
      </c>
      <c r="D466" t="str">
        <f t="shared" ref="D466:D476" si="208">D465</f>
        <v>ImpRepPofAll</v>
      </c>
      <c r="E466" t="str">
        <f t="shared" ref="E466:E476" si="209">E465</f>
        <v>AWE</v>
      </c>
      <c r="F466" t="str">
        <f t="shared" ref="F466:F476" si="210">F465</f>
        <v>CED</v>
      </c>
      <c r="G466" s="359">
        <f t="shared" si="204"/>
        <v>14.038409673458412</v>
      </c>
      <c r="H466" t="str">
        <f t="shared" ref="H466:H476" si="211">H398</f>
        <v>Tether Replacement</v>
      </c>
      <c r="I466" t="str">
        <f t="shared" si="205"/>
        <v>\newcommand{\ImpRepPofAllAWECEDB}{14,0}%Tether Replacement</v>
      </c>
      <c r="J466" t="str">
        <f t="shared" si="206"/>
        <v>\ImpRepPofAllAWECEDB</v>
      </c>
      <c r="L466">
        <f t="shared" si="207"/>
        <v>14.038409673458412</v>
      </c>
    </row>
    <row r="467" spans="1:13" x14ac:dyDescent="0.3">
      <c r="C467" t="s">
        <v>790</v>
      </c>
      <c r="D467" t="str">
        <f t="shared" si="208"/>
        <v>ImpRepPofAll</v>
      </c>
      <c r="E467" t="str">
        <f t="shared" si="209"/>
        <v>AWE</v>
      </c>
      <c r="F467" t="str">
        <f t="shared" si="210"/>
        <v>CED</v>
      </c>
      <c r="G467" s="359">
        <f t="shared" si="204"/>
        <v>1.5531723310985917</v>
      </c>
      <c r="H467" t="str">
        <f t="shared" si="211"/>
        <v>actuator replacement</v>
      </c>
      <c r="I467" t="str">
        <f t="shared" si="205"/>
        <v>\newcommand{\ImpRepPofAllAWECEDC}{1,6}%actuator replacement</v>
      </c>
      <c r="J467" t="str">
        <f t="shared" si="206"/>
        <v>\ImpRepPofAllAWECEDC</v>
      </c>
      <c r="L467">
        <f t="shared" si="207"/>
        <v>1.5531723310985917</v>
      </c>
    </row>
    <row r="468" spans="1:13" x14ac:dyDescent="0.3">
      <c r="C468" t="s">
        <v>1786</v>
      </c>
      <c r="D468" t="str">
        <f t="shared" si="208"/>
        <v>ImpRepPofAll</v>
      </c>
      <c r="E468" t="str">
        <f t="shared" si="209"/>
        <v>AWE</v>
      </c>
      <c r="F468" t="str">
        <f t="shared" si="210"/>
        <v>CED</v>
      </c>
      <c r="G468" s="359">
        <f t="shared" si="204"/>
        <v>0</v>
      </c>
      <c r="H468" t="str">
        <f t="shared" si="211"/>
        <v>battery propulsion repl</v>
      </c>
      <c r="I468" t="str">
        <f t="shared" si="205"/>
        <v>\newcommand{\ImpRepPofAllAWECEDD}{0,0}%battery propulsion repl</v>
      </c>
      <c r="J468" t="str">
        <f t="shared" si="206"/>
        <v>\ImpRepPofAllAWECEDD</v>
      </c>
      <c r="L468">
        <f t="shared" si="207"/>
        <v>0</v>
      </c>
    </row>
    <row r="469" spans="1:13" x14ac:dyDescent="0.3">
      <c r="C469" t="s">
        <v>1784</v>
      </c>
      <c r="D469" t="str">
        <f t="shared" si="208"/>
        <v>ImpRepPofAll</v>
      </c>
      <c r="E469" t="str">
        <f t="shared" si="209"/>
        <v>AWE</v>
      </c>
      <c r="F469" t="str">
        <f t="shared" si="210"/>
        <v>CED</v>
      </c>
      <c r="G469" s="359">
        <f t="shared" si="204"/>
        <v>2.2409745990009147</v>
      </c>
      <c r="H469" t="str">
        <f t="shared" si="211"/>
        <v>battery + actuator repl</v>
      </c>
      <c r="I469" t="str">
        <f t="shared" si="205"/>
        <v>\newcommand{\ImpRepPofAllAWECEDE}{2,2}%battery + actuator repl</v>
      </c>
      <c r="J469" t="str">
        <f t="shared" si="206"/>
        <v>\ImpRepPofAllAWECEDE</v>
      </c>
      <c r="L469">
        <f t="shared" si="207"/>
        <v>2.2409745990009147</v>
      </c>
    </row>
    <row r="470" spans="1:13" x14ac:dyDescent="0.3">
      <c r="C470" t="s">
        <v>1783</v>
      </c>
      <c r="D470" t="str">
        <f t="shared" si="208"/>
        <v>ImpRepPofAll</v>
      </c>
      <c r="E470" t="str">
        <f t="shared" si="209"/>
        <v>AWE</v>
      </c>
      <c r="F470" t="str">
        <f t="shared" si="210"/>
        <v>CED</v>
      </c>
      <c r="G470" s="359">
        <f t="shared" si="204"/>
        <v>0.68780226790232346</v>
      </c>
      <c r="H470" t="str">
        <f t="shared" si="211"/>
        <v>battery replacement totoal</v>
      </c>
      <c r="I470" t="str">
        <f t="shared" si="205"/>
        <v>\newcommand{\ImpRepPofAllAWECEDF}{0,7}%battery replacement totoal</v>
      </c>
      <c r="J470" t="str">
        <f t="shared" si="206"/>
        <v>\ImpRepPofAllAWECEDF</v>
      </c>
      <c r="L470">
        <f t="shared" si="207"/>
        <v>0.68780226790232346</v>
      </c>
    </row>
    <row r="471" spans="1:13" x14ac:dyDescent="0.3">
      <c r="C471" t="s">
        <v>1782</v>
      </c>
      <c r="D471" t="str">
        <f t="shared" si="208"/>
        <v>ImpRepPofAll</v>
      </c>
      <c r="E471" t="str">
        <f t="shared" si="209"/>
        <v>AWE</v>
      </c>
      <c r="F471" t="str">
        <f t="shared" si="210"/>
        <v>CED</v>
      </c>
      <c r="G471" s="359">
        <f t="shared" si="204"/>
        <v>16.279384272459325</v>
      </c>
      <c r="H471" t="str">
        <f t="shared" si="211"/>
        <v>Total replacements</v>
      </c>
      <c r="I471" t="str">
        <f t="shared" si="205"/>
        <v>\newcommand{\ImpRepPofAllAWECEDG}{16,3}%Total replacements</v>
      </c>
      <c r="J471" t="str">
        <f t="shared" si="206"/>
        <v>\ImpRepPofAllAWECEDG</v>
      </c>
      <c r="L471">
        <f t="shared" si="207"/>
        <v>16.279384272459325</v>
      </c>
    </row>
    <row r="472" spans="1:13" x14ac:dyDescent="0.3">
      <c r="C472" t="s">
        <v>1798</v>
      </c>
      <c r="D472" t="str">
        <f t="shared" si="208"/>
        <v>ImpRepPofAll</v>
      </c>
      <c r="E472" t="str">
        <f t="shared" si="209"/>
        <v>AWE</v>
      </c>
      <c r="F472" t="str">
        <f t="shared" si="210"/>
        <v>CED</v>
      </c>
      <c r="G472" s="359">
        <f t="shared" si="204"/>
        <v>0.19691897740879566</v>
      </c>
      <c r="H472" t="str">
        <f t="shared" si="211"/>
        <v>consumables</v>
      </c>
      <c r="I472" t="str">
        <f t="shared" si="205"/>
        <v>\newcommand{\ImpRepPofAllAWECEDH}{0,2}%consumables</v>
      </c>
      <c r="J472" t="str">
        <f t="shared" si="206"/>
        <v>\ImpRepPofAllAWECEDH</v>
      </c>
      <c r="L472">
        <f t="shared" si="207"/>
        <v>0.19691897740879566</v>
      </c>
    </row>
    <row r="473" spans="1:13" x14ac:dyDescent="0.3">
      <c r="C473" t="s">
        <v>1796</v>
      </c>
      <c r="D473" t="str">
        <f t="shared" si="208"/>
        <v>ImpRepPofAll</v>
      </c>
      <c r="E473" t="str">
        <f t="shared" si="209"/>
        <v>AWE</v>
      </c>
      <c r="F473" t="str">
        <f t="shared" si="210"/>
        <v>CED</v>
      </c>
      <c r="G473" s="359">
        <f t="shared" si="204"/>
        <v>0.48315860481235845</v>
      </c>
      <c r="H473" t="str">
        <f t="shared" si="211"/>
        <v>transport</v>
      </c>
      <c r="I473" t="str">
        <f t="shared" si="205"/>
        <v>\newcommand{\ImpRepPofAllAWECEDI}{0,5}%transport</v>
      </c>
      <c r="J473" t="str">
        <f t="shared" si="206"/>
        <v>\ImpRepPofAllAWECEDI</v>
      </c>
      <c r="L473">
        <f t="shared" si="207"/>
        <v>0.48315860481235845</v>
      </c>
    </row>
    <row r="474" spans="1:13" x14ac:dyDescent="0.3">
      <c r="C474" t="s">
        <v>1794</v>
      </c>
      <c r="D474" t="str">
        <f t="shared" si="208"/>
        <v>ImpRepPofAll</v>
      </c>
      <c r="E474" t="str">
        <f t="shared" si="209"/>
        <v>AWE</v>
      </c>
      <c r="F474" t="str">
        <f t="shared" si="210"/>
        <v>CED</v>
      </c>
      <c r="G474" s="359">
        <f t="shared" si="204"/>
        <v>100</v>
      </c>
      <c r="H474" t="str">
        <f t="shared" si="211"/>
        <v>Total 20 years</v>
      </c>
      <c r="I474" t="str">
        <f t="shared" si="205"/>
        <v>\newcommand{\ImpRepPofAllAWECEDJ}{100,0}%Total 20 years</v>
      </c>
      <c r="J474" t="str">
        <f t="shared" si="206"/>
        <v>\ImpRepPofAllAWECEDJ</v>
      </c>
      <c r="L474">
        <f t="shared" si="207"/>
        <v>100</v>
      </c>
    </row>
    <row r="475" spans="1:13" x14ac:dyDescent="0.3">
      <c r="C475" t="s">
        <v>1826</v>
      </c>
      <c r="D475" t="str">
        <f t="shared" si="208"/>
        <v>ImpRepPofAll</v>
      </c>
      <c r="E475" t="str">
        <f t="shared" si="209"/>
        <v>AWE</v>
      </c>
      <c r="F475" t="str">
        <f t="shared" si="210"/>
        <v>CED</v>
      </c>
      <c r="G475" s="359">
        <f t="shared" si="204"/>
        <v>16.95946185468048</v>
      </c>
      <c r="H475" t="str">
        <f t="shared" si="211"/>
        <v>Total OenM</v>
      </c>
      <c r="I475" t="str">
        <f t="shared" si="205"/>
        <v>\newcommand{\ImpRepPofAllAWECEDK}{17,0}%Total OenM</v>
      </c>
      <c r="J475" t="str">
        <f t="shared" si="206"/>
        <v>\ImpRepPofAllAWECEDK</v>
      </c>
      <c r="L475">
        <f t="shared" si="207"/>
        <v>16.95946185468048</v>
      </c>
    </row>
    <row r="476" spans="1:13" x14ac:dyDescent="0.3">
      <c r="C476" t="s">
        <v>1882</v>
      </c>
      <c r="D476" t="str">
        <f t="shared" si="208"/>
        <v>ImpRepPofAll</v>
      </c>
      <c r="E476" t="str">
        <f t="shared" si="209"/>
        <v>AWE</v>
      </c>
      <c r="F476" t="str">
        <f t="shared" si="210"/>
        <v>CED</v>
      </c>
      <c r="G476" s="359">
        <f t="shared" si="204"/>
        <v>15.04962852860446</v>
      </c>
      <c r="H476" t="str">
        <f t="shared" si="211"/>
        <v>Total aircraft ( initial + replacements</v>
      </c>
      <c r="I476" t="str">
        <f t="shared" si="205"/>
        <v>\newcommand{\ImpRepPofAllAWECEDL}{15,0}%Total aircraft ( initial + replacements</v>
      </c>
      <c r="J476" t="str">
        <f t="shared" si="206"/>
        <v>\ImpRepPofAllAWECEDL</v>
      </c>
      <c r="L476">
        <f t="shared" si="207"/>
        <v>15.04962852860446</v>
      </c>
    </row>
    <row r="478" spans="1:13" x14ac:dyDescent="0.3">
      <c r="A478" s="70"/>
      <c r="B478" s="336" t="s">
        <v>1877</v>
      </c>
      <c r="C478" s="47"/>
      <c r="D478" s="47"/>
      <c r="E478" s="47"/>
      <c r="F478" s="47"/>
      <c r="G478" s="361"/>
      <c r="H478" s="70"/>
      <c r="I478" s="70"/>
      <c r="J478" s="70"/>
      <c r="K478" s="70"/>
    </row>
    <row r="479" spans="1:13" x14ac:dyDescent="0.3">
      <c r="M479">
        <f>E6</f>
        <v>410885.60999999993</v>
      </c>
    </row>
    <row r="480" spans="1:13" x14ac:dyDescent="0.3">
      <c r="C480" s="42"/>
      <c r="D480" s="42"/>
      <c r="E480" s="42" t="s">
        <v>1142</v>
      </c>
      <c r="F480" s="42" t="s">
        <v>1776</v>
      </c>
      <c r="H480" s="42" t="s">
        <v>1791</v>
      </c>
      <c r="I480" s="42" t="str">
        <f>"%" &amp;F480 &amp;H480 &amp;D480 &amp;H480  &amp;E480</f>
        <v>%Impacts of replacements..HAWT</v>
      </c>
      <c r="J480" s="42" t="str">
        <f>"\"&amp;D480&amp;E480&amp;F480</f>
        <v>\HAWTImpacts of replacements</v>
      </c>
      <c r="K480" s="42"/>
    </row>
    <row r="481" spans="3:20" x14ac:dyDescent="0.3">
      <c r="C481" s="42" t="s">
        <v>720</v>
      </c>
      <c r="D481" s="42" t="s">
        <v>1857</v>
      </c>
      <c r="E481" t="str">
        <f t="shared" ref="E481:E489" si="212">E480</f>
        <v>HAWT</v>
      </c>
      <c r="F481" t="s">
        <v>32</v>
      </c>
      <c r="G481" s="359">
        <f t="shared" ref="G481:G489" si="213">L481</f>
        <v>1.1723075918867056</v>
      </c>
      <c r="H481" t="s">
        <v>1755</v>
      </c>
      <c r="I481" t="str">
        <f t="shared" ref="I481:I489" si="214">"\newcommand{"&amp;J481&amp;"}{"&amp;TEXT(G481,$H$13)&amp;"}%"&amp;H481</f>
        <v>\newcommand{\ImpRepHAWTGWPA}{1,2}%Gearbox total</v>
      </c>
      <c r="J481" t="str">
        <f t="shared" ref="J481:J489" si="215">"\"&amp;D481&amp;E481&amp;F481&amp;C481</f>
        <v>\ImpRepHAWTGWPA</v>
      </c>
      <c r="L481">
        <f>T486/M479</f>
        <v>1.1723075918867056</v>
      </c>
    </row>
    <row r="482" spans="3:20" x14ac:dyDescent="0.3">
      <c r="C482" t="s">
        <v>788</v>
      </c>
      <c r="D482" t="str">
        <f t="shared" ref="D482:D489" si="216">D481</f>
        <v>ImpRep</v>
      </c>
      <c r="E482" t="str">
        <f t="shared" si="212"/>
        <v>HAWT</v>
      </c>
      <c r="F482" t="str">
        <f t="shared" ref="F482:F489" si="217">F481</f>
        <v>GWP</v>
      </c>
      <c r="G482" s="359">
        <f t="shared" si="213"/>
        <v>0.58615379594335282</v>
      </c>
      <c r="H482" t="s">
        <v>1770</v>
      </c>
      <c r="I482" t="str">
        <f t="shared" si="214"/>
        <v>\newcommand{\ImpRepHAWTGWPB}{0,6}%Gearbox replacement</v>
      </c>
      <c r="J482" t="str">
        <f t="shared" si="215"/>
        <v>\ImpRepHAWTGWPB</v>
      </c>
      <c r="L482">
        <f>T487/M479</f>
        <v>0.58615379594335282</v>
      </c>
    </row>
    <row r="483" spans="3:20" x14ac:dyDescent="0.3">
      <c r="C483" t="s">
        <v>790</v>
      </c>
      <c r="D483" t="str">
        <f t="shared" si="216"/>
        <v>ImpRep</v>
      </c>
      <c r="E483" t="str">
        <f t="shared" si="212"/>
        <v>HAWT</v>
      </c>
      <c r="F483" t="str">
        <f t="shared" si="217"/>
        <v>GWP</v>
      </c>
      <c r="G483" s="359">
        <f t="shared" si="213"/>
        <v>11.145283831422617</v>
      </c>
      <c r="H483" t="s">
        <v>1151</v>
      </c>
      <c r="I483" t="str">
        <f t="shared" si="214"/>
        <v>\newcommand{\ImpRepHAWTGWPC}{11,1}%initial system</v>
      </c>
      <c r="J483" t="str">
        <f t="shared" si="215"/>
        <v>\ImpRepHAWTGWPC</v>
      </c>
      <c r="L483">
        <f>G206</f>
        <v>11.145283831422617</v>
      </c>
    </row>
    <row r="484" spans="3:20" x14ac:dyDescent="0.3">
      <c r="C484" t="s">
        <v>1786</v>
      </c>
      <c r="D484" t="str">
        <f t="shared" si="216"/>
        <v>ImpRep</v>
      </c>
      <c r="E484" t="str">
        <f t="shared" si="212"/>
        <v>HAWT</v>
      </c>
      <c r="F484" t="str">
        <f t="shared" si="217"/>
        <v>GWP</v>
      </c>
      <c r="G484" s="359">
        <f t="shared" si="213"/>
        <v>12.978117802421346</v>
      </c>
      <c r="H484" t="s">
        <v>1785</v>
      </c>
      <c r="I484" t="str">
        <f t="shared" si="214"/>
        <v>\newcommand{\ImpRepHAWTGWPD}{13,0}%Total life system</v>
      </c>
      <c r="J484" t="str">
        <f t="shared" si="215"/>
        <v>\ImpRepHAWTGWPD</v>
      </c>
      <c r="L484">
        <f>G83</f>
        <v>12.978117802421346</v>
      </c>
    </row>
    <row r="485" spans="3:20" x14ac:dyDescent="0.3">
      <c r="C485" t="s">
        <v>1784</v>
      </c>
      <c r="D485" t="str">
        <f t="shared" si="216"/>
        <v>ImpRep</v>
      </c>
      <c r="E485" t="str">
        <f t="shared" si="212"/>
        <v>HAWT</v>
      </c>
      <c r="F485" t="str">
        <f t="shared" si="217"/>
        <v>GWP</v>
      </c>
      <c r="G485" s="359">
        <f t="shared" si="213"/>
        <v>0.58615379594335282</v>
      </c>
      <c r="H485" t="s">
        <v>1853</v>
      </c>
      <c r="I485" t="str">
        <f t="shared" si="214"/>
        <v>\newcommand{\ImpRepHAWTGWPE}{0,6}%Total Replacements</v>
      </c>
      <c r="J485" t="str">
        <f t="shared" si="215"/>
        <v>\ImpRepHAWTGWPE</v>
      </c>
      <c r="L485">
        <f>L482</f>
        <v>0.58615379594335282</v>
      </c>
      <c r="S485" s="349" t="s">
        <v>162</v>
      </c>
      <c r="T485" s="349" t="s">
        <v>32</v>
      </c>
    </row>
    <row r="486" spans="3:20" x14ac:dyDescent="0.3">
      <c r="C486" t="s">
        <v>1783</v>
      </c>
      <c r="D486" t="str">
        <f t="shared" si="216"/>
        <v>ImpRep</v>
      </c>
      <c r="E486" t="str">
        <f t="shared" si="212"/>
        <v>HAWT</v>
      </c>
      <c r="F486" t="str">
        <f t="shared" si="217"/>
        <v>GWP</v>
      </c>
      <c r="G486" s="359">
        <f t="shared" si="213"/>
        <v>6.6879927968273222E-3</v>
      </c>
      <c r="H486" t="s">
        <v>1852</v>
      </c>
      <c r="I486" t="str">
        <f t="shared" si="214"/>
        <v>\newcommand{\ImpRepHAWTGWPF}{0,0}%Consumables</v>
      </c>
      <c r="J486" t="str">
        <f t="shared" si="215"/>
        <v>\ImpRepHAWTGWPF</v>
      </c>
      <c r="L486">
        <f>T489/M479</f>
        <v>6.6879927968273222E-3</v>
      </c>
      <c r="Q486" t="s">
        <v>1856</v>
      </c>
      <c r="S486" s="349">
        <f>HAWT!$H$483+HAWT!$H$445</f>
        <v>7356873.5999999996</v>
      </c>
      <c r="T486" s="349">
        <f>HAWT!$F$445+HAWT!$F$483</f>
        <v>481684.32</v>
      </c>
    </row>
    <row r="487" spans="3:20" x14ac:dyDescent="0.3">
      <c r="C487" t="s">
        <v>1782</v>
      </c>
      <c r="D487" t="str">
        <f t="shared" si="216"/>
        <v>ImpRep</v>
      </c>
      <c r="E487" t="str">
        <f t="shared" si="212"/>
        <v>HAWT</v>
      </c>
      <c r="F487" t="str">
        <f t="shared" si="217"/>
        <v>GWP</v>
      </c>
      <c r="G487" s="359">
        <f t="shared" si="213"/>
        <v>0.14237377588570213</v>
      </c>
      <c r="H487" t="s">
        <v>1851</v>
      </c>
      <c r="I487" t="str">
        <f t="shared" si="214"/>
        <v>\newcommand{\ImpRepHAWTGWPG}{0,1}%Transport of OenM</v>
      </c>
      <c r="J487" t="str">
        <f t="shared" si="215"/>
        <v>\ImpRepHAWTGWPG</v>
      </c>
      <c r="L487">
        <f>T488/M479</f>
        <v>0.14237377588570213</v>
      </c>
      <c r="Q487" t="s">
        <v>1855</v>
      </c>
      <c r="S487" s="348">
        <f>HAWT!$H$483</f>
        <v>3678436.8</v>
      </c>
      <c r="T487" s="348">
        <f>HAWT!$F$483</f>
        <v>240842.16</v>
      </c>
    </row>
    <row r="488" spans="3:20" x14ac:dyDescent="0.3">
      <c r="C488" t="s">
        <v>1798</v>
      </c>
      <c r="D488" t="str">
        <f t="shared" si="216"/>
        <v>ImpRep</v>
      </c>
      <c r="E488" t="str">
        <f t="shared" si="212"/>
        <v>HAWT</v>
      </c>
      <c r="F488" t="str">
        <f t="shared" si="217"/>
        <v>GWP</v>
      </c>
      <c r="G488" s="359">
        <f t="shared" si="213"/>
        <v>0.73521556462588222</v>
      </c>
      <c r="H488" t="s">
        <v>1850</v>
      </c>
      <c r="I488" t="str">
        <f t="shared" si="214"/>
        <v>\newcommand{\ImpRepHAWTGWPH}{0,7}%Total OenM</v>
      </c>
      <c r="J488" t="str">
        <f t="shared" si="215"/>
        <v>\ImpRepHAWTGWPH</v>
      </c>
      <c r="L488">
        <f>L487+L486+L485</f>
        <v>0.73521556462588222</v>
      </c>
      <c r="Q488" t="s">
        <v>4</v>
      </c>
      <c r="S488" s="348">
        <f>HAWT!$H$470</f>
        <v>320144</v>
      </c>
      <c r="T488" s="348">
        <f>HAWT!$F$470</f>
        <v>58499.335752800005</v>
      </c>
    </row>
    <row r="489" spans="3:20" x14ac:dyDescent="0.3">
      <c r="C489" t="s">
        <v>1796</v>
      </c>
      <c r="D489" t="str">
        <f t="shared" si="216"/>
        <v>ImpRep</v>
      </c>
      <c r="E489" t="str">
        <f t="shared" si="212"/>
        <v>HAWT</v>
      </c>
      <c r="F489" t="str">
        <f t="shared" si="217"/>
        <v>GWP</v>
      </c>
      <c r="G489" s="359">
        <f t="shared" si="213"/>
        <v>0</v>
      </c>
      <c r="I489" t="str">
        <f t="shared" si="214"/>
        <v>\newcommand{\ImpRepHAWTGWPI}{0,0}%</v>
      </c>
      <c r="J489" t="str">
        <f t="shared" si="215"/>
        <v>\ImpRepHAWTGWPI</v>
      </c>
      <c r="L489">
        <v>0</v>
      </c>
      <c r="Q489" t="s">
        <v>276</v>
      </c>
      <c r="S489">
        <f>HAWT!$H$471</f>
        <v>129560</v>
      </c>
      <c r="T489">
        <f>HAWT!$F$471</f>
        <v>2748</v>
      </c>
    </row>
    <row r="490" spans="3:20" x14ac:dyDescent="0.3">
      <c r="Q490" t="s">
        <v>55</v>
      </c>
      <c r="S490">
        <f>S489+S488+S487</f>
        <v>4128140.8</v>
      </c>
      <c r="T490">
        <f>T489+T488+T487</f>
        <v>302089.49575280002</v>
      </c>
    </row>
    <row r="491" spans="3:20" x14ac:dyDescent="0.3">
      <c r="C491" s="42" t="s">
        <v>720</v>
      </c>
      <c r="D491" s="42" t="str">
        <f>D481</f>
        <v>ImpRep</v>
      </c>
      <c r="E491" t="str">
        <f>E487</f>
        <v>HAWT</v>
      </c>
      <c r="F491" t="s">
        <v>162</v>
      </c>
      <c r="G491" s="359">
        <f t="shared" ref="G491:G499" si="218">L491</f>
        <v>17.904919084413788</v>
      </c>
      <c r="H491" t="s">
        <v>1755</v>
      </c>
      <c r="I491" t="str">
        <f t="shared" ref="I491:I499" si="219">"\newcommand{"&amp;J491&amp;"}{"&amp;TEXT(G491,$H$13)&amp;"}%"&amp;H491</f>
        <v>\newcommand{\ImpRepHAWTCEDA}{17,9}%Gearbox total</v>
      </c>
      <c r="J491" t="str">
        <f t="shared" ref="J491:J499" si="220">"\"&amp;D491&amp;E491&amp;F491&amp;C491</f>
        <v>\ImpRepHAWTCEDA</v>
      </c>
      <c r="L491">
        <f>S486/M479</f>
        <v>17.904919084413788</v>
      </c>
    </row>
    <row r="492" spans="3:20" x14ac:dyDescent="0.3">
      <c r="C492" t="s">
        <v>788</v>
      </c>
      <c r="D492" t="str">
        <f t="shared" ref="D492:F499" si="221">D491</f>
        <v>ImpRep</v>
      </c>
      <c r="E492" t="str">
        <f t="shared" si="221"/>
        <v>HAWT</v>
      </c>
      <c r="F492" t="str">
        <f t="shared" si="221"/>
        <v>CED</v>
      </c>
      <c r="G492" s="359">
        <f t="shared" si="218"/>
        <v>8.9524595422068938</v>
      </c>
      <c r="H492" t="s">
        <v>1770</v>
      </c>
      <c r="I492" t="str">
        <f t="shared" si="219"/>
        <v>\newcommand{\ImpRepHAWTCEDB}{9,0}%Gearbox replacement</v>
      </c>
      <c r="J492" t="str">
        <f t="shared" si="220"/>
        <v>\ImpRepHAWTCEDB</v>
      </c>
      <c r="L492">
        <f>S487/M479</f>
        <v>8.9524595422068938</v>
      </c>
    </row>
    <row r="493" spans="3:20" x14ac:dyDescent="0.3">
      <c r="C493" t="s">
        <v>790</v>
      </c>
      <c r="D493" t="str">
        <f t="shared" si="221"/>
        <v>ImpRep</v>
      </c>
      <c r="E493" t="str">
        <f t="shared" si="221"/>
        <v>HAWT</v>
      </c>
      <c r="F493" t="str">
        <f t="shared" si="221"/>
        <v>CED</v>
      </c>
      <c r="G493" s="359">
        <f t="shared" si="218"/>
        <v>171.27553331760996</v>
      </c>
      <c r="H493" t="s">
        <v>1151</v>
      </c>
      <c r="I493" t="str">
        <f t="shared" si="219"/>
        <v>\newcommand{\ImpRepHAWTCEDC}{171,3}%initial system</v>
      </c>
      <c r="J493" t="str">
        <f t="shared" si="220"/>
        <v>\ImpRepHAWTCEDC</v>
      </c>
      <c r="L493">
        <f>G73</f>
        <v>171.27553331760996</v>
      </c>
    </row>
    <row r="494" spans="3:20" x14ac:dyDescent="0.3">
      <c r="C494" t="s">
        <v>1786</v>
      </c>
      <c r="D494" t="str">
        <f t="shared" si="221"/>
        <v>ImpRep</v>
      </c>
      <c r="E494" t="str">
        <f t="shared" si="221"/>
        <v>HAWT</v>
      </c>
      <c r="F494" t="str">
        <f t="shared" si="221"/>
        <v>CED</v>
      </c>
      <c r="G494" s="359">
        <f t="shared" si="218"/>
        <v>195.01445049283734</v>
      </c>
      <c r="H494" t="s">
        <v>1785</v>
      </c>
      <c r="I494" t="str">
        <f t="shared" si="219"/>
        <v>\newcommand{\ImpRepHAWTCEDD}{195,0}%Total life system</v>
      </c>
      <c r="J494" t="str">
        <f t="shared" si="220"/>
        <v>\ImpRepHAWTCEDD</v>
      </c>
      <c r="L494">
        <f>G77</f>
        <v>195.01445049283734</v>
      </c>
    </row>
    <row r="495" spans="3:20" x14ac:dyDescent="0.3">
      <c r="C495" t="s">
        <v>1784</v>
      </c>
      <c r="D495" t="str">
        <f t="shared" si="221"/>
        <v>ImpRep</v>
      </c>
      <c r="E495" t="str">
        <f t="shared" si="221"/>
        <v>HAWT</v>
      </c>
      <c r="F495" t="str">
        <f t="shared" si="221"/>
        <v>CED</v>
      </c>
      <c r="G495" s="359">
        <f t="shared" si="218"/>
        <v>8.9524595422068938</v>
      </c>
      <c r="H495" t="s">
        <v>1853</v>
      </c>
      <c r="I495" t="str">
        <f t="shared" si="219"/>
        <v>\newcommand{\ImpRepHAWTCEDE}{9,0}%Total Replacements</v>
      </c>
      <c r="J495" t="str">
        <f t="shared" si="220"/>
        <v>\ImpRepHAWTCEDE</v>
      </c>
      <c r="L495">
        <f>L492</f>
        <v>8.9524595422068938</v>
      </c>
    </row>
    <row r="496" spans="3:20" x14ac:dyDescent="0.3">
      <c r="C496" t="s">
        <v>1783</v>
      </c>
      <c r="D496" t="str">
        <f t="shared" si="221"/>
        <v>ImpRep</v>
      </c>
      <c r="E496" t="str">
        <f t="shared" si="221"/>
        <v>HAWT</v>
      </c>
      <c r="F496" t="str">
        <f t="shared" si="221"/>
        <v>CED</v>
      </c>
      <c r="G496" s="359">
        <f t="shared" si="218"/>
        <v>0.31531890347778307</v>
      </c>
      <c r="H496" t="s">
        <v>1852</v>
      </c>
      <c r="I496" t="str">
        <f t="shared" si="219"/>
        <v>\newcommand{\ImpRepHAWTCEDF}{0,3}%Consumables</v>
      </c>
      <c r="J496" t="str">
        <f t="shared" si="220"/>
        <v>\ImpRepHAWTCEDF</v>
      </c>
      <c r="L496">
        <f>S489/M479</f>
        <v>0.31531890347778307</v>
      </c>
    </row>
    <row r="497" spans="2:12" x14ac:dyDescent="0.3">
      <c r="C497" t="s">
        <v>1782</v>
      </c>
      <c r="D497" t="str">
        <f t="shared" si="221"/>
        <v>ImpRep</v>
      </c>
      <c r="E497" t="str">
        <f t="shared" si="221"/>
        <v>HAWT</v>
      </c>
      <c r="F497" t="str">
        <f t="shared" si="221"/>
        <v>CED</v>
      </c>
      <c r="G497" s="359">
        <f t="shared" si="218"/>
        <v>0.77915602836516973</v>
      </c>
      <c r="H497" t="s">
        <v>1851</v>
      </c>
      <c r="I497" t="str">
        <f t="shared" si="219"/>
        <v>\newcommand{\ImpRepHAWTCEDG}{0,8}%Transport of OenM</v>
      </c>
      <c r="J497" t="str">
        <f t="shared" si="220"/>
        <v>\ImpRepHAWTCEDG</v>
      </c>
      <c r="L497">
        <f>S488/M479</f>
        <v>0.77915602836516973</v>
      </c>
    </row>
    <row r="498" spans="2:12" x14ac:dyDescent="0.3">
      <c r="C498" t="s">
        <v>1798</v>
      </c>
      <c r="D498" t="str">
        <f t="shared" si="221"/>
        <v>ImpRep</v>
      </c>
      <c r="E498" t="str">
        <f t="shared" si="221"/>
        <v>HAWT</v>
      </c>
      <c r="F498" t="str">
        <f t="shared" si="221"/>
        <v>CED</v>
      </c>
      <c r="G498" s="359">
        <f t="shared" si="218"/>
        <v>10.046934474049847</v>
      </c>
      <c r="H498" t="s">
        <v>1850</v>
      </c>
      <c r="I498" t="str">
        <f t="shared" si="219"/>
        <v>\newcommand{\ImpRepHAWTCEDH}{10,0}%Total OenM</v>
      </c>
      <c r="J498" t="str">
        <f t="shared" si="220"/>
        <v>\ImpRepHAWTCEDH</v>
      </c>
      <c r="L498">
        <f>L497+L496+L495</f>
        <v>10.046934474049847</v>
      </c>
    </row>
    <row r="499" spans="2:12" x14ac:dyDescent="0.3">
      <c r="C499" t="s">
        <v>1796</v>
      </c>
      <c r="D499" t="str">
        <f t="shared" si="221"/>
        <v>ImpRep</v>
      </c>
      <c r="E499" t="str">
        <f t="shared" si="221"/>
        <v>HAWT</v>
      </c>
      <c r="F499" t="str">
        <f t="shared" si="221"/>
        <v>CED</v>
      </c>
      <c r="G499" s="359">
        <f t="shared" si="218"/>
        <v>0</v>
      </c>
      <c r="I499" t="str">
        <f t="shared" si="219"/>
        <v>\newcommand{\ImpRepHAWTCEDI}{0,0}%</v>
      </c>
      <c r="J499" t="str">
        <f t="shared" si="220"/>
        <v>\ImpRepHAWTCEDI</v>
      </c>
      <c r="L499">
        <v>0</v>
      </c>
    </row>
    <row r="501" spans="2:12" x14ac:dyDescent="0.3">
      <c r="B501" s="42" t="s">
        <v>1876</v>
      </c>
      <c r="C501" s="42"/>
      <c r="E501" s="42" t="s">
        <v>1142</v>
      </c>
      <c r="F501" s="42" t="s">
        <v>1776</v>
      </c>
      <c r="H501" s="42" t="s">
        <v>1791</v>
      </c>
      <c r="I501" s="42" t="str">
        <f>"%" &amp;F501 &amp;H501 &amp;B501 &amp;H501  &amp;E501</f>
        <v>%Impacts of replacements.% of OenM impacts.HAWT</v>
      </c>
      <c r="J501" s="42" t="str">
        <f>"\"&amp;B501&amp;E501&amp;F501</f>
        <v>\% of OenM impactsHAWTImpacts of replacements</v>
      </c>
      <c r="K501" s="42"/>
    </row>
    <row r="502" spans="2:12" x14ac:dyDescent="0.3">
      <c r="C502" s="42" t="s">
        <v>720</v>
      </c>
      <c r="D502" s="42" t="s">
        <v>1872</v>
      </c>
      <c r="E502" t="s">
        <v>1142</v>
      </c>
      <c r="F502" t="s">
        <v>32</v>
      </c>
      <c r="G502" s="359">
        <f t="shared" ref="G502:G511" si="222">L502</f>
        <v>159.45086696896027</v>
      </c>
      <c r="H502" t="s">
        <v>1755</v>
      </c>
      <c r="I502" t="str">
        <f t="shared" ref="I502:I511" si="223">"\newcommand{"&amp;J502&amp;"}{"&amp;TEXT(G502,$H$13)&amp;"}%"&amp;H502</f>
        <v>\newcommand{\ImpRepPofOenMHAWTGWPA}{159,5}%Gearbox total</v>
      </c>
      <c r="J502" t="str">
        <f t="shared" ref="J502:J511" si="224">"\"&amp;D502&amp;E502&amp;F502&amp;C502</f>
        <v>\ImpRepPofOenMHAWTGWPA</v>
      </c>
      <c r="L502">
        <f t="shared" ref="L502:L511" si="225">100*L481/$L$488</f>
        <v>159.45086696896027</v>
      </c>
    </row>
    <row r="503" spans="2:12" x14ac:dyDescent="0.3">
      <c r="C503" t="s">
        <v>788</v>
      </c>
      <c r="D503" t="str">
        <f t="shared" ref="D503:D511" si="226">D502</f>
        <v>ImpRepPofOenM</v>
      </c>
      <c r="E503" t="str">
        <f t="shared" ref="E503:E511" si="227">E502</f>
        <v>HAWT</v>
      </c>
      <c r="F503" t="str">
        <f t="shared" ref="F503:F511" si="228">F502</f>
        <v>GWP</v>
      </c>
      <c r="G503" s="359">
        <f t="shared" si="222"/>
        <v>79.725433484480135</v>
      </c>
      <c r="H503" t="s">
        <v>1770</v>
      </c>
      <c r="I503" t="str">
        <f t="shared" si="223"/>
        <v>\newcommand{\ImpRepPofOenMHAWTGWPB}{79,7}%Gearbox replacement</v>
      </c>
      <c r="J503" t="str">
        <f t="shared" si="224"/>
        <v>\ImpRepPofOenMHAWTGWPB</v>
      </c>
      <c r="L503">
        <f t="shared" si="225"/>
        <v>79.725433484480135</v>
      </c>
    </row>
    <row r="504" spans="2:12" x14ac:dyDescent="0.3">
      <c r="C504" t="s">
        <v>790</v>
      </c>
      <c r="D504" t="str">
        <f t="shared" si="226"/>
        <v>ImpRepPofOenM</v>
      </c>
      <c r="E504" t="str">
        <f t="shared" si="227"/>
        <v>HAWT</v>
      </c>
      <c r="F504" t="str">
        <f t="shared" si="228"/>
        <v>GWP</v>
      </c>
      <c r="G504" s="359">
        <f t="shared" si="222"/>
        <v>1515.9205500626126</v>
      </c>
      <c r="H504" t="s">
        <v>1151</v>
      </c>
      <c r="I504" t="str">
        <f t="shared" si="223"/>
        <v>\newcommand{\ImpRepPofOenMHAWTGWPC}{1515,9}%initial system</v>
      </c>
      <c r="J504" t="str">
        <f t="shared" si="224"/>
        <v>\ImpRepPofOenMHAWTGWPC</v>
      </c>
      <c r="L504">
        <f t="shared" si="225"/>
        <v>1515.9205500626126</v>
      </c>
    </row>
    <row r="505" spans="2:12" x14ac:dyDescent="0.3">
      <c r="C505" t="s">
        <v>1786</v>
      </c>
      <c r="D505" t="str">
        <f t="shared" si="226"/>
        <v>ImpRepPofOenM</v>
      </c>
      <c r="E505" t="str">
        <f t="shared" si="227"/>
        <v>HAWT</v>
      </c>
      <c r="F505" t="str">
        <f t="shared" si="228"/>
        <v>GWP</v>
      </c>
      <c r="G505" s="359">
        <f t="shared" si="222"/>
        <v>1765.2126025141101</v>
      </c>
      <c r="H505" t="s">
        <v>1785</v>
      </c>
      <c r="I505" t="str">
        <f t="shared" si="223"/>
        <v>\newcommand{\ImpRepPofOenMHAWTGWPD}{1765,2}%Total life system</v>
      </c>
      <c r="J505" t="str">
        <f t="shared" si="224"/>
        <v>\ImpRepPofOenMHAWTGWPD</v>
      </c>
      <c r="L505">
        <f t="shared" si="225"/>
        <v>1765.2126025141101</v>
      </c>
    </row>
    <row r="506" spans="2:12" x14ac:dyDescent="0.3">
      <c r="C506" t="s">
        <v>1784</v>
      </c>
      <c r="D506" t="str">
        <f t="shared" si="226"/>
        <v>ImpRepPofOenM</v>
      </c>
      <c r="E506" t="str">
        <f t="shared" si="227"/>
        <v>HAWT</v>
      </c>
      <c r="F506" t="str">
        <f t="shared" si="228"/>
        <v>GWP</v>
      </c>
      <c r="G506" s="359">
        <f t="shared" si="222"/>
        <v>79.725433484480135</v>
      </c>
      <c r="H506" t="s">
        <v>1853</v>
      </c>
      <c r="I506" t="str">
        <f t="shared" si="223"/>
        <v>\newcommand{\ImpRepPofOenMHAWTGWPE}{79,7}%Total Replacements</v>
      </c>
      <c r="J506" t="str">
        <f t="shared" si="224"/>
        <v>\ImpRepPofOenMHAWTGWPE</v>
      </c>
      <c r="L506">
        <f t="shared" si="225"/>
        <v>79.725433484480135</v>
      </c>
    </row>
    <row r="507" spans="2:12" x14ac:dyDescent="0.3">
      <c r="C507" t="s">
        <v>1783</v>
      </c>
      <c r="D507" t="str">
        <f t="shared" si="226"/>
        <v>ImpRepPofOenM</v>
      </c>
      <c r="E507" t="str">
        <f t="shared" si="227"/>
        <v>HAWT</v>
      </c>
      <c r="F507" t="str">
        <f t="shared" si="228"/>
        <v>GWP</v>
      </c>
      <c r="G507" s="359">
        <f t="shared" si="222"/>
        <v>0.90966420171348494</v>
      </c>
      <c r="H507" t="s">
        <v>1852</v>
      </c>
      <c r="I507" t="str">
        <f t="shared" si="223"/>
        <v>\newcommand{\ImpRepPofOenMHAWTGWPF}{0,9}%Consumables</v>
      </c>
      <c r="J507" t="str">
        <f t="shared" si="224"/>
        <v>\ImpRepPofOenMHAWTGWPF</v>
      </c>
      <c r="L507">
        <f t="shared" si="225"/>
        <v>0.90966420171348494</v>
      </c>
    </row>
    <row r="508" spans="2:12" x14ac:dyDescent="0.3">
      <c r="C508" t="s">
        <v>1782</v>
      </c>
      <c r="D508" t="str">
        <f t="shared" si="226"/>
        <v>ImpRepPofOenM</v>
      </c>
      <c r="E508" t="str">
        <f t="shared" si="227"/>
        <v>HAWT</v>
      </c>
      <c r="F508" t="str">
        <f t="shared" si="228"/>
        <v>GWP</v>
      </c>
      <c r="G508" s="359">
        <f t="shared" si="222"/>
        <v>19.364902313806382</v>
      </c>
      <c r="H508" t="s">
        <v>1851</v>
      </c>
      <c r="I508" t="str">
        <f t="shared" si="223"/>
        <v>\newcommand{\ImpRepPofOenMHAWTGWPG}{19,4}%Transport of OenM</v>
      </c>
      <c r="J508" t="str">
        <f t="shared" si="224"/>
        <v>\ImpRepPofOenMHAWTGWPG</v>
      </c>
      <c r="L508">
        <f t="shared" si="225"/>
        <v>19.364902313806382</v>
      </c>
    </row>
    <row r="509" spans="2:12" x14ac:dyDescent="0.3">
      <c r="C509" t="s">
        <v>1798</v>
      </c>
      <c r="D509" t="str">
        <f t="shared" si="226"/>
        <v>ImpRepPofOenM</v>
      </c>
      <c r="E509" t="str">
        <f t="shared" si="227"/>
        <v>HAWT</v>
      </c>
      <c r="F509" t="str">
        <f t="shared" si="228"/>
        <v>GWP</v>
      </c>
      <c r="G509" s="359">
        <f t="shared" si="222"/>
        <v>100</v>
      </c>
      <c r="H509" t="s">
        <v>1850</v>
      </c>
      <c r="I509" t="str">
        <f t="shared" si="223"/>
        <v>\newcommand{\ImpRepPofOenMHAWTGWPH}{100,0}%Total OenM</v>
      </c>
      <c r="J509" t="str">
        <f t="shared" si="224"/>
        <v>\ImpRepPofOenMHAWTGWPH</v>
      </c>
      <c r="L509">
        <f t="shared" si="225"/>
        <v>100</v>
      </c>
    </row>
    <row r="510" spans="2:12" x14ac:dyDescent="0.3">
      <c r="C510" t="s">
        <v>1796</v>
      </c>
      <c r="D510" t="str">
        <f t="shared" si="226"/>
        <v>ImpRepPofOenM</v>
      </c>
      <c r="E510" t="str">
        <f t="shared" si="227"/>
        <v>HAWT</v>
      </c>
      <c r="F510" t="str">
        <f t="shared" si="228"/>
        <v>GWP</v>
      </c>
      <c r="G510" s="359">
        <f t="shared" si="222"/>
        <v>0</v>
      </c>
      <c r="I510" t="str">
        <f t="shared" si="223"/>
        <v>\newcommand{\ImpRepPofOenMHAWTGWPI}{0,0}%</v>
      </c>
      <c r="J510" t="str">
        <f t="shared" si="224"/>
        <v>\ImpRepPofOenMHAWTGWPI</v>
      </c>
      <c r="L510">
        <f t="shared" si="225"/>
        <v>0</v>
      </c>
    </row>
    <row r="511" spans="2:12" x14ac:dyDescent="0.3">
      <c r="C511" t="s">
        <v>1794</v>
      </c>
      <c r="D511" t="str">
        <f t="shared" si="226"/>
        <v>ImpRepPofOenM</v>
      </c>
      <c r="E511" t="str">
        <f t="shared" si="227"/>
        <v>HAWT</v>
      </c>
      <c r="F511" t="str">
        <f t="shared" si="228"/>
        <v>GWP</v>
      </c>
      <c r="G511" s="359">
        <f t="shared" si="222"/>
        <v>0</v>
      </c>
      <c r="I511" t="str">
        <f t="shared" si="223"/>
        <v>\newcommand{\ImpRepPofOenMHAWTGWPJ}{0,0}%</v>
      </c>
      <c r="J511" t="str">
        <f t="shared" si="224"/>
        <v>\ImpRepPofOenMHAWTGWPJ</v>
      </c>
      <c r="L511">
        <f t="shared" si="225"/>
        <v>0</v>
      </c>
    </row>
    <row r="513" spans="2:12" x14ac:dyDescent="0.3">
      <c r="C513" s="42" t="s">
        <v>720</v>
      </c>
      <c r="D513" s="42" t="s">
        <v>1872</v>
      </c>
      <c r="E513" t="s">
        <v>1142</v>
      </c>
      <c r="F513" t="s">
        <v>162</v>
      </c>
      <c r="G513" s="359">
        <f t="shared" ref="G513:G521" si="229">L513</f>
        <v>178.21275863458919</v>
      </c>
      <c r="H513" t="s">
        <v>1755</v>
      </c>
      <c r="I513" t="str">
        <f t="shared" ref="I513:I522" si="230">"\newcommand{"&amp;J513&amp;"}{"&amp;TEXT(G513,$H$13)&amp;"}%"&amp;H513</f>
        <v>\newcommand{\ImpRepPofOenMHAWTCEDA}{178,2}%Gearbox total</v>
      </c>
      <c r="J513" t="str">
        <f t="shared" ref="J513:J522" si="231">"\"&amp;D513&amp;E513&amp;F513&amp;C513</f>
        <v>\ImpRepPofOenMHAWTCEDA</v>
      </c>
      <c r="L513">
        <f t="shared" ref="L513:L522" si="232">100*L491/$L$498</f>
        <v>178.21275863458919</v>
      </c>
    </row>
    <row r="514" spans="2:12" x14ac:dyDescent="0.3">
      <c r="C514" t="s">
        <v>788</v>
      </c>
      <c r="D514" t="str">
        <f t="shared" ref="D514:D522" si="233">D513</f>
        <v>ImpRepPofOenM</v>
      </c>
      <c r="E514" t="str">
        <f t="shared" ref="E514:E522" si="234">E513</f>
        <v>HAWT</v>
      </c>
      <c r="F514" t="str">
        <f t="shared" ref="F514:F522" si="235">F513</f>
        <v>CED</v>
      </c>
      <c r="G514" s="359">
        <f t="shared" si="229"/>
        <v>89.106379317294596</v>
      </c>
      <c r="H514" t="s">
        <v>1770</v>
      </c>
      <c r="I514" t="str">
        <f t="shared" si="230"/>
        <v>\newcommand{\ImpRepPofOenMHAWTCEDB}{89,1}%Gearbox replacement</v>
      </c>
      <c r="J514" t="str">
        <f t="shared" si="231"/>
        <v>\ImpRepPofOenMHAWTCEDB</v>
      </c>
      <c r="L514">
        <f t="shared" si="232"/>
        <v>89.106379317294596</v>
      </c>
    </row>
    <row r="515" spans="2:12" x14ac:dyDescent="0.3">
      <c r="C515" t="s">
        <v>790</v>
      </c>
      <c r="D515" t="str">
        <f t="shared" si="233"/>
        <v>ImpRepPofOenM</v>
      </c>
      <c r="E515" t="str">
        <f t="shared" si="234"/>
        <v>HAWT</v>
      </c>
      <c r="F515" t="str">
        <f t="shared" si="235"/>
        <v>CED</v>
      </c>
      <c r="G515" s="359">
        <f t="shared" si="229"/>
        <v>1704.7541591915053</v>
      </c>
      <c r="H515" t="s">
        <v>1151</v>
      </c>
      <c r="I515" t="str">
        <f t="shared" si="230"/>
        <v>\newcommand{\ImpRepPofOenMHAWTCEDC}{1704,8}%initial system</v>
      </c>
      <c r="J515" t="str">
        <f t="shared" si="231"/>
        <v>\ImpRepPofOenMHAWTCEDC</v>
      </c>
      <c r="L515">
        <f t="shared" si="232"/>
        <v>1704.7541591915053</v>
      </c>
    </row>
    <row r="516" spans="2:12" x14ac:dyDescent="0.3">
      <c r="C516" t="s">
        <v>1786</v>
      </c>
      <c r="D516" t="str">
        <f t="shared" si="233"/>
        <v>ImpRepPofOenM</v>
      </c>
      <c r="E516" t="str">
        <f t="shared" si="234"/>
        <v>HAWT</v>
      </c>
      <c r="F516" t="str">
        <f t="shared" si="235"/>
        <v>CED</v>
      </c>
      <c r="G516" s="359">
        <f t="shared" si="229"/>
        <v>1941.0343622379417</v>
      </c>
      <c r="H516" t="s">
        <v>1785</v>
      </c>
      <c r="I516" t="str">
        <f t="shared" si="230"/>
        <v>\newcommand{\ImpRepPofOenMHAWTCEDD}{1941,0}%Total life system</v>
      </c>
      <c r="J516" t="str">
        <f t="shared" si="231"/>
        <v>\ImpRepPofOenMHAWTCEDD</v>
      </c>
      <c r="L516">
        <f t="shared" si="232"/>
        <v>1941.0343622379417</v>
      </c>
    </row>
    <row r="517" spans="2:12" x14ac:dyDescent="0.3">
      <c r="C517" t="s">
        <v>1784</v>
      </c>
      <c r="D517" t="str">
        <f t="shared" si="233"/>
        <v>ImpRepPofOenM</v>
      </c>
      <c r="E517" t="str">
        <f t="shared" si="234"/>
        <v>HAWT</v>
      </c>
      <c r="F517" t="str">
        <f t="shared" si="235"/>
        <v>CED</v>
      </c>
      <c r="G517" s="359">
        <f t="shared" si="229"/>
        <v>89.106379317294596</v>
      </c>
      <c r="H517" t="s">
        <v>1853</v>
      </c>
      <c r="I517" t="str">
        <f t="shared" si="230"/>
        <v>\newcommand{\ImpRepPofOenMHAWTCEDE}{89,1}%Total Replacements</v>
      </c>
      <c r="J517" t="str">
        <f t="shared" si="231"/>
        <v>\ImpRepPofOenMHAWTCEDE</v>
      </c>
      <c r="L517">
        <f t="shared" si="232"/>
        <v>89.106379317294596</v>
      </c>
    </row>
    <row r="518" spans="2:12" x14ac:dyDescent="0.3">
      <c r="C518" t="s">
        <v>1783</v>
      </c>
      <c r="D518" t="str">
        <f t="shared" si="233"/>
        <v>ImpRepPofOenM</v>
      </c>
      <c r="E518" t="str">
        <f t="shared" si="234"/>
        <v>HAWT</v>
      </c>
      <c r="F518" t="str">
        <f t="shared" si="235"/>
        <v>CED</v>
      </c>
      <c r="G518" s="359">
        <f t="shared" si="229"/>
        <v>3.1384588432642611</v>
      </c>
      <c r="H518" t="s">
        <v>1852</v>
      </c>
      <c r="I518" t="str">
        <f t="shared" si="230"/>
        <v>\newcommand{\ImpRepPofOenMHAWTCEDF}{3,1}%Consumables</v>
      </c>
      <c r="J518" t="str">
        <f t="shared" si="231"/>
        <v>\ImpRepPofOenMHAWTCEDF</v>
      </c>
      <c r="L518">
        <f t="shared" si="232"/>
        <v>3.1384588432642611</v>
      </c>
    </row>
    <row r="519" spans="2:12" x14ac:dyDescent="0.3">
      <c r="C519" t="s">
        <v>1782</v>
      </c>
      <c r="D519" t="str">
        <f t="shared" si="233"/>
        <v>ImpRepPofOenM</v>
      </c>
      <c r="E519" t="str">
        <f t="shared" si="234"/>
        <v>HAWT</v>
      </c>
      <c r="F519" t="str">
        <f t="shared" si="235"/>
        <v>CED</v>
      </c>
      <c r="G519" s="359">
        <f t="shared" si="229"/>
        <v>7.7551618394411355</v>
      </c>
      <c r="H519" t="s">
        <v>1851</v>
      </c>
      <c r="I519" t="str">
        <f t="shared" si="230"/>
        <v>\newcommand{\ImpRepPofOenMHAWTCEDG}{7,8}%Transport of OenM</v>
      </c>
      <c r="J519" t="str">
        <f t="shared" si="231"/>
        <v>\ImpRepPofOenMHAWTCEDG</v>
      </c>
      <c r="L519">
        <f t="shared" si="232"/>
        <v>7.7551618394411355</v>
      </c>
    </row>
    <row r="520" spans="2:12" x14ac:dyDescent="0.3">
      <c r="C520" t="s">
        <v>1798</v>
      </c>
      <c r="D520" t="str">
        <f t="shared" si="233"/>
        <v>ImpRepPofOenM</v>
      </c>
      <c r="E520" t="str">
        <f t="shared" si="234"/>
        <v>HAWT</v>
      </c>
      <c r="F520" t="str">
        <f t="shared" si="235"/>
        <v>CED</v>
      </c>
      <c r="G520" s="359">
        <f t="shared" si="229"/>
        <v>100</v>
      </c>
      <c r="H520" t="s">
        <v>1850</v>
      </c>
      <c r="I520" t="str">
        <f t="shared" si="230"/>
        <v>\newcommand{\ImpRepPofOenMHAWTCEDH}{100,0}%Total OenM</v>
      </c>
      <c r="J520" t="str">
        <f t="shared" si="231"/>
        <v>\ImpRepPofOenMHAWTCEDH</v>
      </c>
      <c r="L520">
        <f t="shared" si="232"/>
        <v>100</v>
      </c>
    </row>
    <row r="521" spans="2:12" x14ac:dyDescent="0.3">
      <c r="C521" t="s">
        <v>1796</v>
      </c>
      <c r="D521" t="str">
        <f t="shared" si="233"/>
        <v>ImpRepPofOenM</v>
      </c>
      <c r="E521" t="str">
        <f t="shared" si="234"/>
        <v>HAWT</v>
      </c>
      <c r="F521" t="str">
        <f t="shared" si="235"/>
        <v>CED</v>
      </c>
      <c r="G521" s="359">
        <f t="shared" si="229"/>
        <v>0</v>
      </c>
      <c r="I521" t="str">
        <f t="shared" si="230"/>
        <v>\newcommand{\ImpRepPofOenMHAWTCEDI}{0,0}%</v>
      </c>
      <c r="J521" t="str">
        <f t="shared" si="231"/>
        <v>\ImpRepPofOenMHAWTCEDI</v>
      </c>
      <c r="L521">
        <f t="shared" si="232"/>
        <v>0</v>
      </c>
    </row>
    <row r="522" spans="2:12" x14ac:dyDescent="0.3">
      <c r="C522" t="s">
        <v>1794</v>
      </c>
      <c r="D522" t="str">
        <f t="shared" si="233"/>
        <v>ImpRepPofOenM</v>
      </c>
      <c r="E522" t="str">
        <f t="shared" si="234"/>
        <v>HAWT</v>
      </c>
      <c r="F522" t="str">
        <f t="shared" si="235"/>
        <v>CED</v>
      </c>
      <c r="G522" s="359">
        <f>L522</f>
        <v>0</v>
      </c>
      <c r="I522" t="str">
        <f t="shared" si="230"/>
        <v>\newcommand{\ImpRepPofOenMHAWTCEDJ}{0,0}%</v>
      </c>
      <c r="J522" t="str">
        <f t="shared" si="231"/>
        <v>\ImpRepPofOenMHAWTCEDJ</v>
      </c>
      <c r="L522">
        <f t="shared" si="232"/>
        <v>0</v>
      </c>
    </row>
    <row r="524" spans="2:12" x14ac:dyDescent="0.3">
      <c r="B524" s="42" t="s">
        <v>1875</v>
      </c>
      <c r="C524" s="42"/>
      <c r="E524" s="42" t="s">
        <v>1142</v>
      </c>
      <c r="F524" s="42" t="s">
        <v>1776</v>
      </c>
      <c r="H524" s="42" t="s">
        <v>1791</v>
      </c>
      <c r="I524" s="42" t="str">
        <f>"%" &amp;F524 &amp;H524 &amp;B524 &amp;H524  &amp;E524</f>
        <v>%Impacts of replacements.% of all impacts.HAWT</v>
      </c>
      <c r="J524" s="42" t="str">
        <f>"\"&amp;B524&amp;E524&amp;F524</f>
        <v>\% of all impactsHAWTImpacts of replacements</v>
      </c>
      <c r="K524" s="42"/>
    </row>
    <row r="525" spans="2:12" x14ac:dyDescent="0.3">
      <c r="C525" s="42" t="s">
        <v>720</v>
      </c>
      <c r="D525" s="42" t="s">
        <v>1854</v>
      </c>
      <c r="E525" t="str">
        <f>E480</f>
        <v>HAWT</v>
      </c>
      <c r="F525" t="s">
        <v>32</v>
      </c>
      <c r="G525" s="359">
        <f t="shared" ref="G525:G534" si="236">L525</f>
        <v>9.0329553925607495</v>
      </c>
      <c r="H525" t="s">
        <v>1755</v>
      </c>
      <c r="I525" t="str">
        <f t="shared" ref="I525:I534" si="237">"\newcommand{"&amp;J525&amp;"}{"&amp;TEXT(G525,$H$13)&amp;"}%"&amp;H525</f>
        <v>\newcommand{\ImpRepPofAllHAWTGWPA}{9,0}%Gearbox total</v>
      </c>
      <c r="J525" t="str">
        <f t="shared" ref="J525:J534" si="238">"\"&amp;D525&amp;E525&amp;F525&amp;C525</f>
        <v>\ImpRepPofAllHAWTGWPA</v>
      </c>
      <c r="L525">
        <f t="shared" ref="L525:L534" si="239">100*L481/$L$484</f>
        <v>9.0329553925607495</v>
      </c>
    </row>
    <row r="526" spans="2:12" x14ac:dyDescent="0.3">
      <c r="C526" t="s">
        <v>788</v>
      </c>
      <c r="D526" t="str">
        <f t="shared" ref="D526:D534" si="240">D525</f>
        <v>ImpRepPofAll</v>
      </c>
      <c r="E526" t="str">
        <f t="shared" ref="E526:E534" si="241">E525</f>
        <v>HAWT</v>
      </c>
      <c r="F526" t="str">
        <f t="shared" ref="F526:F534" si="242">F525</f>
        <v>GWP</v>
      </c>
      <c r="G526" s="359">
        <f t="shared" si="236"/>
        <v>4.5164776962803748</v>
      </c>
      <c r="H526" t="s">
        <v>1770</v>
      </c>
      <c r="I526" t="str">
        <f t="shared" si="237"/>
        <v>\newcommand{\ImpRepPofAllHAWTGWPB}{4,5}%Gearbox replacement</v>
      </c>
      <c r="J526" t="str">
        <f t="shared" si="238"/>
        <v>\ImpRepPofAllHAWTGWPB</v>
      </c>
      <c r="L526">
        <f t="shared" si="239"/>
        <v>4.5164776962803748</v>
      </c>
    </row>
    <row r="527" spans="2:12" x14ac:dyDescent="0.3">
      <c r="C527" t="s">
        <v>790</v>
      </c>
      <c r="D527" t="str">
        <f t="shared" si="240"/>
        <v>ImpRepPofAll</v>
      </c>
      <c r="E527" t="str">
        <f t="shared" si="241"/>
        <v>HAWT</v>
      </c>
      <c r="F527" t="str">
        <f t="shared" si="242"/>
        <v>GWP</v>
      </c>
      <c r="G527" s="359">
        <f t="shared" si="236"/>
        <v>85.877505514268208</v>
      </c>
      <c r="H527" t="s">
        <v>1151</v>
      </c>
      <c r="I527" t="str">
        <f t="shared" si="237"/>
        <v>\newcommand{\ImpRepPofAllHAWTGWPC}{85,9}%initial system</v>
      </c>
      <c r="J527" t="str">
        <f t="shared" si="238"/>
        <v>\ImpRepPofAllHAWTGWPC</v>
      </c>
      <c r="L527">
        <f t="shared" si="239"/>
        <v>85.877505514268208</v>
      </c>
    </row>
    <row r="528" spans="2:12" x14ac:dyDescent="0.3">
      <c r="C528" t="s">
        <v>1786</v>
      </c>
      <c r="D528" t="str">
        <f t="shared" si="240"/>
        <v>ImpRepPofAll</v>
      </c>
      <c r="E528" t="str">
        <f t="shared" si="241"/>
        <v>HAWT</v>
      </c>
      <c r="F528" t="str">
        <f t="shared" si="242"/>
        <v>GWP</v>
      </c>
      <c r="G528" s="359">
        <f t="shared" si="236"/>
        <v>99.999999999999986</v>
      </c>
      <c r="H528" t="s">
        <v>1785</v>
      </c>
      <c r="I528" t="str">
        <f t="shared" si="237"/>
        <v>\newcommand{\ImpRepPofAllHAWTGWPD}{100,0}%Total life system</v>
      </c>
      <c r="J528" t="str">
        <f t="shared" si="238"/>
        <v>\ImpRepPofAllHAWTGWPD</v>
      </c>
      <c r="L528">
        <f t="shared" si="239"/>
        <v>99.999999999999986</v>
      </c>
    </row>
    <row r="529" spans="3:12" x14ac:dyDescent="0.3">
      <c r="C529" t="s">
        <v>1784</v>
      </c>
      <c r="D529" t="str">
        <f t="shared" si="240"/>
        <v>ImpRepPofAll</v>
      </c>
      <c r="E529" t="str">
        <f t="shared" si="241"/>
        <v>HAWT</v>
      </c>
      <c r="F529" t="str">
        <f t="shared" si="242"/>
        <v>GWP</v>
      </c>
      <c r="G529" s="359">
        <f t="shared" si="236"/>
        <v>4.5164776962803748</v>
      </c>
      <c r="H529" t="s">
        <v>1853</v>
      </c>
      <c r="I529" t="str">
        <f t="shared" si="237"/>
        <v>\newcommand{\ImpRepPofAllHAWTGWPE}{4,5}%Total Replacements</v>
      </c>
      <c r="J529" t="str">
        <f t="shared" si="238"/>
        <v>\ImpRepPofAllHAWTGWPE</v>
      </c>
      <c r="L529">
        <f t="shared" si="239"/>
        <v>4.5164776962803748</v>
      </c>
    </row>
    <row r="530" spans="3:12" x14ac:dyDescent="0.3">
      <c r="C530" t="s">
        <v>1783</v>
      </c>
      <c r="D530" t="str">
        <f t="shared" si="240"/>
        <v>ImpRepPofAll</v>
      </c>
      <c r="E530" t="str">
        <f t="shared" si="241"/>
        <v>HAWT</v>
      </c>
      <c r="F530" t="str">
        <f t="shared" si="242"/>
        <v>GWP</v>
      </c>
      <c r="G530" s="359">
        <f t="shared" si="236"/>
        <v>5.1532840883749209E-2</v>
      </c>
      <c r="H530" t="s">
        <v>1852</v>
      </c>
      <c r="I530" t="str">
        <f t="shared" si="237"/>
        <v>\newcommand{\ImpRepPofAllHAWTGWPF}{0,1}%Consumables</v>
      </c>
      <c r="J530" t="str">
        <f t="shared" si="238"/>
        <v>\ImpRepPofAllHAWTGWPF</v>
      </c>
      <c r="L530">
        <f t="shared" si="239"/>
        <v>5.1532840883749209E-2</v>
      </c>
    </row>
    <row r="531" spans="3:12" x14ac:dyDescent="0.3">
      <c r="C531" t="s">
        <v>1782</v>
      </c>
      <c r="D531" t="str">
        <f t="shared" si="240"/>
        <v>ImpRepPofAll</v>
      </c>
      <c r="E531" t="str">
        <f t="shared" si="241"/>
        <v>HAWT</v>
      </c>
      <c r="F531" t="str">
        <f t="shared" si="242"/>
        <v>GWP</v>
      </c>
      <c r="G531" s="359">
        <f t="shared" si="236"/>
        <v>1.0970294618464571</v>
      </c>
      <c r="H531" t="s">
        <v>1851</v>
      </c>
      <c r="I531" t="str">
        <f t="shared" si="237"/>
        <v>\newcommand{\ImpRepPofAllHAWTGWPG}{1,1}%Transport of OenM</v>
      </c>
      <c r="J531" t="str">
        <f t="shared" si="238"/>
        <v>\ImpRepPofAllHAWTGWPG</v>
      </c>
      <c r="L531">
        <f t="shared" si="239"/>
        <v>1.0970294618464571</v>
      </c>
    </row>
    <row r="532" spans="3:12" x14ac:dyDescent="0.3">
      <c r="C532" t="s">
        <v>1798</v>
      </c>
      <c r="D532" t="str">
        <f t="shared" si="240"/>
        <v>ImpRepPofAll</v>
      </c>
      <c r="E532" t="str">
        <f t="shared" si="241"/>
        <v>HAWT</v>
      </c>
      <c r="F532" t="str">
        <f t="shared" si="242"/>
        <v>GWP</v>
      </c>
      <c r="G532" s="359">
        <f t="shared" si="236"/>
        <v>5.6650399990105802</v>
      </c>
      <c r="H532" t="s">
        <v>1850</v>
      </c>
      <c r="I532" t="str">
        <f t="shared" si="237"/>
        <v>\newcommand{\ImpRepPofAllHAWTGWPH}{5,7}%Total OenM</v>
      </c>
      <c r="J532" t="str">
        <f t="shared" si="238"/>
        <v>\ImpRepPofAllHAWTGWPH</v>
      </c>
      <c r="L532">
        <f t="shared" si="239"/>
        <v>5.6650399990105802</v>
      </c>
    </row>
    <row r="533" spans="3:12" x14ac:dyDescent="0.3">
      <c r="C533" t="s">
        <v>1796</v>
      </c>
      <c r="D533" t="str">
        <f t="shared" si="240"/>
        <v>ImpRepPofAll</v>
      </c>
      <c r="E533" t="str">
        <f t="shared" si="241"/>
        <v>HAWT</v>
      </c>
      <c r="F533" t="str">
        <f t="shared" si="242"/>
        <v>GWP</v>
      </c>
      <c r="G533" s="359">
        <f t="shared" si="236"/>
        <v>0</v>
      </c>
      <c r="I533" t="str">
        <f t="shared" si="237"/>
        <v>\newcommand{\ImpRepPofAllHAWTGWPI}{0,0}%</v>
      </c>
      <c r="J533" t="str">
        <f t="shared" si="238"/>
        <v>\ImpRepPofAllHAWTGWPI</v>
      </c>
      <c r="L533">
        <f t="shared" si="239"/>
        <v>0</v>
      </c>
    </row>
    <row r="534" spans="3:12" x14ac:dyDescent="0.3">
      <c r="C534" t="s">
        <v>1794</v>
      </c>
      <c r="D534" t="str">
        <f t="shared" si="240"/>
        <v>ImpRepPofAll</v>
      </c>
      <c r="E534" t="str">
        <f t="shared" si="241"/>
        <v>HAWT</v>
      </c>
      <c r="F534" t="str">
        <f t="shared" si="242"/>
        <v>GWP</v>
      </c>
      <c r="G534" s="359">
        <f t="shared" si="236"/>
        <v>0</v>
      </c>
      <c r="I534" t="str">
        <f t="shared" si="237"/>
        <v>\newcommand{\ImpRepPofAllHAWTGWPJ}{0,0}%</v>
      </c>
      <c r="J534" t="str">
        <f t="shared" si="238"/>
        <v>\ImpRepPofAllHAWTGWPJ</v>
      </c>
      <c r="L534">
        <f t="shared" si="239"/>
        <v>0</v>
      </c>
    </row>
    <row r="536" spans="3:12" x14ac:dyDescent="0.3">
      <c r="C536" s="42" t="s">
        <v>720</v>
      </c>
      <c r="D536" s="42" t="s">
        <v>1854</v>
      </c>
      <c r="E536" t="str">
        <f>E491</f>
        <v>HAWT</v>
      </c>
      <c r="F536" t="s">
        <v>162</v>
      </c>
      <c r="G536" s="359">
        <f t="shared" ref="G536:G545" si="243">L536</f>
        <v>9.1813294036235611</v>
      </c>
      <c r="H536" t="s">
        <v>1755</v>
      </c>
      <c r="I536" t="str">
        <f t="shared" ref="I536:I545" si="244">"\newcommand{"&amp;J536&amp;"}{"&amp;TEXT(G536,$H$13)&amp;"}%"&amp;H536</f>
        <v>\newcommand{\ImpRepPofAllHAWTCEDA}{9,2}%Gearbox total</v>
      </c>
      <c r="J536" t="str">
        <f t="shared" ref="J536:J545" si="245">"\"&amp;D536&amp;E536&amp;F536&amp;C536</f>
        <v>\ImpRepPofAllHAWTCEDA</v>
      </c>
      <c r="L536">
        <f t="shared" ref="L536:L545" si="246">100*L491/$L$494</f>
        <v>9.1813294036235611</v>
      </c>
    </row>
    <row r="537" spans="3:12" x14ac:dyDescent="0.3">
      <c r="C537" t="s">
        <v>788</v>
      </c>
      <c r="D537" t="str">
        <f t="shared" ref="D537:D545" si="247">D536</f>
        <v>ImpRepPofAll</v>
      </c>
      <c r="E537" t="str">
        <f t="shared" ref="E537:E545" si="248">E536</f>
        <v>HAWT</v>
      </c>
      <c r="F537" t="str">
        <f t="shared" ref="F537:F545" si="249">F536</f>
        <v>CED</v>
      </c>
      <c r="G537" s="359">
        <f t="shared" si="243"/>
        <v>4.5906647018117805</v>
      </c>
      <c r="H537" t="s">
        <v>1770</v>
      </c>
      <c r="I537" t="str">
        <f t="shared" si="244"/>
        <v>\newcommand{\ImpRepPofAllHAWTCEDB}{4,6}%Gearbox replacement</v>
      </c>
      <c r="J537" t="str">
        <f t="shared" si="245"/>
        <v>\ImpRepPofAllHAWTCEDB</v>
      </c>
      <c r="L537">
        <f t="shared" si="246"/>
        <v>4.5906647018117805</v>
      </c>
    </row>
    <row r="538" spans="3:12" x14ac:dyDescent="0.3">
      <c r="C538" t="s">
        <v>790</v>
      </c>
      <c r="D538" t="str">
        <f t="shared" si="247"/>
        <v>ImpRepPofAll</v>
      </c>
      <c r="E538" t="str">
        <f t="shared" si="248"/>
        <v>HAWT</v>
      </c>
      <c r="F538" t="str">
        <f t="shared" si="249"/>
        <v>CED</v>
      </c>
      <c r="G538" s="359">
        <f t="shared" si="243"/>
        <v>87.827098394383199</v>
      </c>
      <c r="H538" t="s">
        <v>1151</v>
      </c>
      <c r="I538" t="str">
        <f t="shared" si="244"/>
        <v>\newcommand{\ImpRepPofAllHAWTCEDC}{87,8}%initial system</v>
      </c>
      <c r="J538" t="str">
        <f t="shared" si="245"/>
        <v>\ImpRepPofAllHAWTCEDC</v>
      </c>
      <c r="L538">
        <f t="shared" si="246"/>
        <v>87.827098394383199</v>
      </c>
    </row>
    <row r="539" spans="3:12" x14ac:dyDescent="0.3">
      <c r="C539" t="s">
        <v>1786</v>
      </c>
      <c r="D539" t="str">
        <f t="shared" si="247"/>
        <v>ImpRepPofAll</v>
      </c>
      <c r="E539" t="str">
        <f t="shared" si="248"/>
        <v>HAWT</v>
      </c>
      <c r="F539" t="str">
        <f t="shared" si="249"/>
        <v>CED</v>
      </c>
      <c r="G539" s="359">
        <f t="shared" si="243"/>
        <v>100</v>
      </c>
      <c r="H539" t="s">
        <v>1785</v>
      </c>
      <c r="I539" t="str">
        <f t="shared" si="244"/>
        <v>\newcommand{\ImpRepPofAllHAWTCEDD}{100,0}%Total life system</v>
      </c>
      <c r="J539" t="str">
        <f t="shared" si="245"/>
        <v>\ImpRepPofAllHAWTCEDD</v>
      </c>
      <c r="L539">
        <f t="shared" si="246"/>
        <v>100</v>
      </c>
    </row>
    <row r="540" spans="3:12" x14ac:dyDescent="0.3">
      <c r="C540" t="s">
        <v>1784</v>
      </c>
      <c r="D540" t="str">
        <f t="shared" si="247"/>
        <v>ImpRepPofAll</v>
      </c>
      <c r="E540" t="str">
        <f t="shared" si="248"/>
        <v>HAWT</v>
      </c>
      <c r="F540" t="str">
        <f t="shared" si="249"/>
        <v>CED</v>
      </c>
      <c r="G540" s="359">
        <f t="shared" si="243"/>
        <v>4.5906647018117805</v>
      </c>
      <c r="H540" t="s">
        <v>1853</v>
      </c>
      <c r="I540" t="str">
        <f t="shared" si="244"/>
        <v>\newcommand{\ImpRepPofAllHAWTCEDE}{4,6}%Total Replacements</v>
      </c>
      <c r="J540" t="str">
        <f t="shared" si="245"/>
        <v>\ImpRepPofAllHAWTCEDE</v>
      </c>
      <c r="L540">
        <f t="shared" si="246"/>
        <v>4.5906647018117805</v>
      </c>
    </row>
    <row r="541" spans="3:12" x14ac:dyDescent="0.3">
      <c r="C541" t="s">
        <v>1783</v>
      </c>
      <c r="D541" t="str">
        <f t="shared" si="247"/>
        <v>ImpRepPofAll</v>
      </c>
      <c r="E541" t="str">
        <f t="shared" si="248"/>
        <v>HAWT</v>
      </c>
      <c r="F541" t="str">
        <f t="shared" si="249"/>
        <v>CED</v>
      </c>
      <c r="G541" s="359">
        <f t="shared" si="243"/>
        <v>0.16169001972977606</v>
      </c>
      <c r="H541" t="s">
        <v>1852</v>
      </c>
      <c r="I541" t="str">
        <f t="shared" si="244"/>
        <v>\newcommand{\ImpRepPofAllHAWTCEDF}{0,2}%Consumables</v>
      </c>
      <c r="J541" t="str">
        <f t="shared" si="245"/>
        <v>\ImpRepPofAllHAWTCEDF</v>
      </c>
      <c r="L541">
        <f t="shared" si="246"/>
        <v>0.16169001972977606</v>
      </c>
    </row>
    <row r="542" spans="3:12" x14ac:dyDescent="0.3">
      <c r="C542" t="s">
        <v>1782</v>
      </c>
      <c r="D542" t="str">
        <f t="shared" si="247"/>
        <v>ImpRepPofAll</v>
      </c>
      <c r="E542" t="str">
        <f t="shared" si="248"/>
        <v>HAWT</v>
      </c>
      <c r="F542" t="str">
        <f t="shared" si="249"/>
        <v>CED</v>
      </c>
      <c r="G542" s="359">
        <f t="shared" si="243"/>
        <v>0.39953758626404312</v>
      </c>
      <c r="H542" t="s">
        <v>1851</v>
      </c>
      <c r="I542" t="str">
        <f t="shared" si="244"/>
        <v>\newcommand{\ImpRepPofAllHAWTCEDG}{0,4}%Transport of OenM</v>
      </c>
      <c r="J542" t="str">
        <f t="shared" si="245"/>
        <v>\ImpRepPofAllHAWTCEDG</v>
      </c>
      <c r="L542">
        <f t="shared" si="246"/>
        <v>0.39953758626404312</v>
      </c>
    </row>
    <row r="543" spans="3:12" x14ac:dyDescent="0.3">
      <c r="C543" t="s">
        <v>1798</v>
      </c>
      <c r="D543" t="str">
        <f t="shared" si="247"/>
        <v>ImpRepPofAll</v>
      </c>
      <c r="E543" t="str">
        <f t="shared" si="248"/>
        <v>HAWT</v>
      </c>
      <c r="F543" t="str">
        <f t="shared" si="249"/>
        <v>CED</v>
      </c>
      <c r="G543" s="359">
        <f t="shared" si="243"/>
        <v>5.1518923078055998</v>
      </c>
      <c r="H543" t="s">
        <v>1850</v>
      </c>
      <c r="I543" t="str">
        <f t="shared" si="244"/>
        <v>\newcommand{\ImpRepPofAllHAWTCEDH}{5,2}%Total OenM</v>
      </c>
      <c r="J543" t="str">
        <f t="shared" si="245"/>
        <v>\ImpRepPofAllHAWTCEDH</v>
      </c>
      <c r="L543">
        <f t="shared" si="246"/>
        <v>5.1518923078055998</v>
      </c>
    </row>
    <row r="544" spans="3:12" x14ac:dyDescent="0.3">
      <c r="C544" t="s">
        <v>1796</v>
      </c>
      <c r="D544" t="str">
        <f t="shared" si="247"/>
        <v>ImpRepPofAll</v>
      </c>
      <c r="E544" t="str">
        <f t="shared" si="248"/>
        <v>HAWT</v>
      </c>
      <c r="F544" t="str">
        <f t="shared" si="249"/>
        <v>CED</v>
      </c>
      <c r="G544" s="359">
        <f t="shared" si="243"/>
        <v>0</v>
      </c>
      <c r="I544" t="str">
        <f t="shared" si="244"/>
        <v>\newcommand{\ImpRepPofAllHAWTCEDI}{0,0}%</v>
      </c>
      <c r="J544" t="str">
        <f t="shared" si="245"/>
        <v>\ImpRepPofAllHAWTCEDI</v>
      </c>
      <c r="L544">
        <f t="shared" si="246"/>
        <v>0</v>
      </c>
    </row>
    <row r="545" spans="1:18" x14ac:dyDescent="0.3">
      <c r="C545" t="s">
        <v>1794</v>
      </c>
      <c r="D545" t="str">
        <f t="shared" si="247"/>
        <v>ImpRepPofAll</v>
      </c>
      <c r="E545" t="str">
        <f t="shared" si="248"/>
        <v>HAWT</v>
      </c>
      <c r="F545" t="str">
        <f t="shared" si="249"/>
        <v>CED</v>
      </c>
      <c r="G545" s="359">
        <f t="shared" si="243"/>
        <v>0</v>
      </c>
      <c r="I545" t="str">
        <f t="shared" si="244"/>
        <v>\newcommand{\ImpRepPofAllHAWTCEDJ}{0,0}%</v>
      </c>
      <c r="J545" t="str">
        <f t="shared" si="245"/>
        <v>\ImpRepPofAllHAWTCEDJ</v>
      </c>
      <c r="L545">
        <f t="shared" si="246"/>
        <v>0</v>
      </c>
    </row>
    <row r="550" spans="1:18" x14ac:dyDescent="0.3">
      <c r="A550" s="70"/>
      <c r="B550" s="336" t="s">
        <v>1895</v>
      </c>
      <c r="C550" s="47"/>
      <c r="D550" s="47"/>
      <c r="E550" s="47"/>
      <c r="F550" s="47"/>
      <c r="G550" s="361"/>
      <c r="H550" s="70"/>
      <c r="I550" s="70"/>
      <c r="J550" s="70"/>
      <c r="K550" s="70"/>
    </row>
    <row r="554" spans="1:18" x14ac:dyDescent="0.3">
      <c r="C554" s="42"/>
      <c r="D554" s="42"/>
      <c r="E554" s="42" t="s">
        <v>1142</v>
      </c>
      <c r="F554" s="42" t="s">
        <v>1894</v>
      </c>
      <c r="H554" s="42" t="s">
        <v>1791</v>
      </c>
      <c r="I554" s="42" t="str">
        <f>"%" &amp;F554 &amp;H554 &amp;D554 &amp;H554  &amp;E554</f>
        <v>%Carbon fibre in Blade..HAWT</v>
      </c>
      <c r="J554" s="42" t="str">
        <f>"\"&amp;D554&amp;E554&amp;F554</f>
        <v>\HAWTCarbon fibre in Blade</v>
      </c>
    </row>
    <row r="555" spans="1:18" x14ac:dyDescent="0.3">
      <c r="C555" s="42" t="s">
        <v>720</v>
      </c>
      <c r="D555" s="42" t="s">
        <v>1618</v>
      </c>
      <c r="E555" t="s">
        <v>1142</v>
      </c>
      <c r="F555" t="s">
        <v>1901</v>
      </c>
      <c r="G555" s="359">
        <f t="shared" ref="G555:G563" si="250">L555</f>
        <v>1.7739993517356056</v>
      </c>
      <c r="H555" t="s">
        <v>32</v>
      </c>
      <c r="I555" t="str">
        <f t="shared" ref="I555:I563" si="251">"\newcommand{"&amp;J555&amp;"}{"&amp;TEXT(G555,$H$13)&amp;"}%"&amp;H555</f>
        <v>\newcommand{\RotorHAWTCfBladeA}{1,8}%GWP</v>
      </c>
      <c r="J555" t="str">
        <f t="shared" ref="J555:J563" si="252">"\"&amp;D555&amp;E555&amp;F555&amp;C555</f>
        <v>\RotorHAWTCfBladeA</v>
      </c>
      <c r="L555">
        <f>M555</f>
        <v>1.7739993517356056</v>
      </c>
      <c r="M555">
        <f>N555/$T$596</f>
        <v>1.7739993517356056</v>
      </c>
      <c r="N555">
        <f>SUM(HAWT!$I$216:$I$218)</f>
        <v>728910.80577748874</v>
      </c>
    </row>
    <row r="556" spans="1:18" x14ac:dyDescent="0.3">
      <c r="C556" t="s">
        <v>788</v>
      </c>
      <c r="D556" t="str">
        <f t="shared" ref="D556" si="253">D555</f>
        <v>Rotor</v>
      </c>
      <c r="E556" t="s">
        <v>1142</v>
      </c>
      <c r="F556" t="s">
        <v>1901</v>
      </c>
      <c r="G556" s="359">
        <f t="shared" si="250"/>
        <v>35.827970949986408</v>
      </c>
      <c r="H556" t="s">
        <v>162</v>
      </c>
      <c r="I556" t="str">
        <f t="shared" si="251"/>
        <v>\newcommand{\RotorHAWTCfBladeB}{35,8}%CED</v>
      </c>
      <c r="J556" t="str">
        <f t="shared" si="252"/>
        <v>\RotorHAWTCfBladeB</v>
      </c>
      <c r="L556">
        <f>M556</f>
        <v>35.827970949986408</v>
      </c>
      <c r="M556">
        <f>N556/$T$596</f>
        <v>35.827970949986408</v>
      </c>
      <c r="N556">
        <f>SUM(HAWT!$L$216:$L$218)</f>
        <v>14721197.698847441</v>
      </c>
    </row>
    <row r="557" spans="1:18" x14ac:dyDescent="0.3">
      <c r="C557" t="s">
        <v>790</v>
      </c>
      <c r="D557" t="str">
        <f t="shared" ref="D557" si="254">D556</f>
        <v>Rotor</v>
      </c>
      <c r="E557" t="s">
        <v>1142</v>
      </c>
      <c r="F557" t="s">
        <v>1901</v>
      </c>
      <c r="G557" s="359">
        <f t="shared" si="250"/>
        <v>66.367701980194468</v>
      </c>
      <c r="H557" t="s">
        <v>1897</v>
      </c>
      <c r="I557" t="str">
        <f t="shared" si="251"/>
        <v>\newcommand{\RotorHAWTCfBladeC}{66,4}%GWP P of Rotor</v>
      </c>
      <c r="J557" t="str">
        <f t="shared" si="252"/>
        <v>\RotorHAWTCfBladeC</v>
      </c>
      <c r="L557">
        <f>100*L555/U601</f>
        <v>66.367701980194468</v>
      </c>
    </row>
    <row r="558" spans="1:18" x14ac:dyDescent="0.3">
      <c r="C558" t="s">
        <v>1786</v>
      </c>
      <c r="D558" t="str">
        <f t="shared" ref="D558" si="255">D557</f>
        <v>Rotor</v>
      </c>
      <c r="E558" t="s">
        <v>1142</v>
      </c>
      <c r="F558" t="s">
        <v>1901</v>
      </c>
      <c r="G558" s="359">
        <f t="shared" si="250"/>
        <v>69.387571647226054</v>
      </c>
      <c r="H558" t="s">
        <v>1898</v>
      </c>
      <c r="I558" t="str">
        <f t="shared" si="251"/>
        <v>\newcommand{\RotorHAWTCfBladeD}{69,4}%CED P of Rotor</v>
      </c>
      <c r="J558" t="str">
        <f t="shared" si="252"/>
        <v>\RotorHAWTCfBladeD</v>
      </c>
      <c r="L558">
        <f>100*L556/U602</f>
        <v>69.387571647226054</v>
      </c>
    </row>
    <row r="559" spans="1:18" x14ac:dyDescent="0.3">
      <c r="C559" t="s">
        <v>1784</v>
      </c>
      <c r="D559" t="str">
        <f t="shared" ref="D559" si="256">D558</f>
        <v>Rotor</v>
      </c>
      <c r="E559" t="s">
        <v>1142</v>
      </c>
      <c r="F559" t="s">
        <v>1901</v>
      </c>
      <c r="G559" s="359">
        <f t="shared" si="250"/>
        <v>13.669157413601438</v>
      </c>
      <c r="H559" t="s">
        <v>1899</v>
      </c>
      <c r="I559" t="str">
        <f t="shared" si="251"/>
        <v>\newcommand{\RotorHAWTCfBladeE}{13,7}%GWP P of Tot</v>
      </c>
      <c r="J559" t="str">
        <f t="shared" si="252"/>
        <v>\RotorHAWTCfBladeE</v>
      </c>
      <c r="L559">
        <f>100*L555/S601</f>
        <v>13.669157413601438</v>
      </c>
      <c r="R559" s="14">
        <f>$G$83</f>
        <v>12.978117802421346</v>
      </c>
    </row>
    <row r="560" spans="1:18" x14ac:dyDescent="0.3">
      <c r="C560" t="s">
        <v>1783</v>
      </c>
      <c r="D560" t="str">
        <f t="shared" ref="D560" si="257">D559</f>
        <v>Rotor</v>
      </c>
      <c r="E560" t="s">
        <v>1142</v>
      </c>
      <c r="F560" t="s">
        <v>1901</v>
      </c>
      <c r="G560" s="359">
        <f t="shared" si="250"/>
        <v>18.371956980337888</v>
      </c>
      <c r="H560" t="s">
        <v>1900</v>
      </c>
      <c r="I560" t="str">
        <f t="shared" si="251"/>
        <v>\newcommand{\RotorHAWTCfBladeF}{18,4}%CED P of Tot</v>
      </c>
      <c r="J560" t="str">
        <f t="shared" si="252"/>
        <v>\RotorHAWTCfBladeF</v>
      </c>
      <c r="L560">
        <f>100*L556/S602</f>
        <v>18.371956980337888</v>
      </c>
      <c r="R560" s="14">
        <f>$G$77</f>
        <v>195.01445049283734</v>
      </c>
    </row>
    <row r="561" spans="3:14" x14ac:dyDescent="0.3">
      <c r="C561" t="s">
        <v>1782</v>
      </c>
      <c r="D561" t="str">
        <f t="shared" ref="D561" si="258">D560</f>
        <v>Rotor</v>
      </c>
      <c r="E561" t="s">
        <v>1142</v>
      </c>
      <c r="F561" t="s">
        <v>1901</v>
      </c>
      <c r="G561" s="359">
        <f t="shared" si="250"/>
        <v>0</v>
      </c>
      <c r="I561" t="str">
        <f t="shared" si="251"/>
        <v>\newcommand{\RotorHAWTCfBladeG}{0,0}%</v>
      </c>
      <c r="J561" t="str">
        <f t="shared" si="252"/>
        <v>\RotorHAWTCfBladeG</v>
      </c>
    </row>
    <row r="562" spans="3:14" x14ac:dyDescent="0.3">
      <c r="C562" t="s">
        <v>1798</v>
      </c>
      <c r="D562" t="str">
        <f t="shared" ref="D562" si="259">D561</f>
        <v>Rotor</v>
      </c>
      <c r="E562" t="s">
        <v>1142</v>
      </c>
      <c r="F562" t="s">
        <v>1901</v>
      </c>
      <c r="G562" s="359">
        <f t="shared" si="250"/>
        <v>11.566926386427244</v>
      </c>
      <c r="H562" t="s">
        <v>1934</v>
      </c>
      <c r="I562" t="str">
        <f t="shared" si="251"/>
        <v>\newcommand{\RotorHAWTCfBladeH}{11,6}%Sensitivity GWP GFRP blade</v>
      </c>
      <c r="J562" t="str">
        <f t="shared" si="252"/>
        <v>\RotorHAWTCfBladeH</v>
      </c>
      <c r="L562" s="14">
        <f>R559-L555+L568</f>
        <v>11.566926386427244</v>
      </c>
    </row>
    <row r="563" spans="3:14" x14ac:dyDescent="0.3">
      <c r="C563" t="s">
        <v>1796</v>
      </c>
      <c r="D563" t="str">
        <f t="shared" ref="D563" si="260">D562</f>
        <v>Rotor</v>
      </c>
      <c r="E563" t="s">
        <v>1142</v>
      </c>
      <c r="F563" t="s">
        <v>1901</v>
      </c>
      <c r="G563" s="359">
        <f t="shared" si="250"/>
        <v>166.7028117489665</v>
      </c>
      <c r="H563" t="s">
        <v>1935</v>
      </c>
      <c r="I563" t="str">
        <f t="shared" si="251"/>
        <v>\newcommand{\RotorHAWTCfBladeI}{166,7}%Sensitivity CED GFRP blade</v>
      </c>
      <c r="J563" t="str">
        <f t="shared" si="252"/>
        <v>\RotorHAWTCfBladeI</v>
      </c>
      <c r="L563" s="14">
        <f>R560-L556+L569</f>
        <v>166.7028117489665</v>
      </c>
    </row>
    <row r="564" spans="3:14" x14ac:dyDescent="0.3">
      <c r="C564" t="s">
        <v>1794</v>
      </c>
      <c r="D564" t="str">
        <f t="shared" ref="D564" si="261">D563</f>
        <v>Rotor</v>
      </c>
      <c r="E564" t="s">
        <v>1142</v>
      </c>
      <c r="F564" t="s">
        <v>1901</v>
      </c>
      <c r="G564" s="359">
        <f t="shared" ref="G564:G565" si="262">L564</f>
        <v>1.4111914159941019</v>
      </c>
      <c r="H564" t="s">
        <v>1937</v>
      </c>
      <c r="I564" t="str">
        <f t="shared" ref="I564:I565" si="263">"\newcommand{"&amp;J564&amp;"}{"&amp;TEXT(G564,$H$13)&amp;"}%"&amp;H564</f>
        <v>\newcommand{\RotorHAWTCfBladeJ}{1,4}%Sensitivity GWP GFRP blade…. The difference</v>
      </c>
      <c r="J564" t="str">
        <f t="shared" ref="J564:J565" si="264">"\"&amp;D564&amp;E564&amp;F564&amp;C564</f>
        <v>\RotorHAWTCfBladeJ</v>
      </c>
      <c r="L564" s="14">
        <f>R559-L562</f>
        <v>1.4111914159941019</v>
      </c>
    </row>
    <row r="565" spans="3:14" x14ac:dyDescent="0.3">
      <c r="C565" t="s">
        <v>1826</v>
      </c>
      <c r="D565" t="str">
        <f t="shared" ref="D565" si="265">D564</f>
        <v>Rotor</v>
      </c>
      <c r="E565" t="s">
        <v>1142</v>
      </c>
      <c r="F565" t="s">
        <v>1901</v>
      </c>
      <c r="G565" s="359">
        <f t="shared" si="262"/>
        <v>28.311638743870844</v>
      </c>
      <c r="H565" t="s">
        <v>1936</v>
      </c>
      <c r="I565" t="str">
        <f t="shared" si="263"/>
        <v>\newcommand{\RotorHAWTCfBladeK}{28,3}%Sensitivity CED GFRP blade…. The difference</v>
      </c>
      <c r="J565" t="str">
        <f t="shared" si="264"/>
        <v>\RotorHAWTCfBladeK</v>
      </c>
      <c r="L565" s="14">
        <f>R560-L563</f>
        <v>28.311638743870844</v>
      </c>
    </row>
    <row r="567" spans="3:14" x14ac:dyDescent="0.3">
      <c r="C567" s="42"/>
      <c r="D567" s="42"/>
      <c r="E567" s="42" t="s">
        <v>1142</v>
      </c>
      <c r="F567" s="42" t="s">
        <v>1896</v>
      </c>
      <c r="H567" s="42" t="s">
        <v>1791</v>
      </c>
      <c r="I567" s="42" t="str">
        <f>"%" &amp;F567 &amp;H567 &amp;D567 &amp;H567  &amp;E567</f>
        <v>%Glass fibre in Blade..HAWT</v>
      </c>
      <c r="J567" s="42" t="str">
        <f>"\"&amp;D567&amp;E567&amp;F567</f>
        <v>\HAWTGlass fibre in Blade</v>
      </c>
    </row>
    <row r="568" spans="3:14" x14ac:dyDescent="0.3">
      <c r="C568" s="42" t="s">
        <v>720</v>
      </c>
      <c r="D568" s="42" t="s">
        <v>1618</v>
      </c>
      <c r="E568" t="s">
        <v>1142</v>
      </c>
      <c r="F568" t="s">
        <v>1902</v>
      </c>
      <c r="G568" s="359">
        <f t="shared" ref="G568:G576" si="266">L568</f>
        <v>0.36280793574150438</v>
      </c>
      <c r="H568" t="s">
        <v>32</v>
      </c>
      <c r="I568" t="str">
        <f t="shared" ref="I568:I576" si="267">"\newcommand{"&amp;J568&amp;"}{"&amp;TEXT(G568,$H$13)&amp;"}%"&amp;H568</f>
        <v>\newcommand{\RotorHAWTGfBladeA}{0,4}%GWP</v>
      </c>
      <c r="J568" t="str">
        <f t="shared" ref="J568:J576" si="268">"\"&amp;D568&amp;E568&amp;F568&amp;C568</f>
        <v>\RotorHAWTGfBladeA</v>
      </c>
      <c r="L568">
        <f>M568</f>
        <v>0.36280793574150438</v>
      </c>
      <c r="M568">
        <f>N568/$T$596</f>
        <v>0.36280793574150438</v>
      </c>
      <c r="N568" s="14">
        <f>SUM(HAWT!$I$210:$I$212)</f>
        <v>149072.5599899888</v>
      </c>
    </row>
    <row r="569" spans="3:14" x14ac:dyDescent="0.3">
      <c r="C569" t="s">
        <v>788</v>
      </c>
      <c r="D569" t="str">
        <f t="shared" ref="D569" si="269">D568</f>
        <v>Rotor</v>
      </c>
      <c r="E569" t="s">
        <v>1142</v>
      </c>
      <c r="F569" t="s">
        <v>1902</v>
      </c>
      <c r="G569" s="359">
        <f t="shared" si="266"/>
        <v>7.5163322061155675</v>
      </c>
      <c r="H569" t="s">
        <v>162</v>
      </c>
      <c r="I569" t="str">
        <f t="shared" si="267"/>
        <v>\newcommand{\RotorHAWTGfBladeB}{7,5}%CED</v>
      </c>
      <c r="J569" t="str">
        <f t="shared" si="268"/>
        <v>\RotorHAWTGfBladeB</v>
      </c>
      <c r="L569">
        <f>M569</f>
        <v>7.5163322061155675</v>
      </c>
      <c r="M569">
        <f>N569/$T$596</f>
        <v>7.5163322061155675</v>
      </c>
      <c r="N569">
        <f>SUM(HAWT!$L$210:$L$212)</f>
        <v>3088352.7434724402</v>
      </c>
    </row>
    <row r="570" spans="3:14" x14ac:dyDescent="0.3">
      <c r="C570" t="s">
        <v>790</v>
      </c>
      <c r="D570" t="str">
        <f t="shared" ref="D570" si="270">D569</f>
        <v>Rotor</v>
      </c>
      <c r="E570" t="s">
        <v>1142</v>
      </c>
      <c r="F570" t="s">
        <v>1902</v>
      </c>
      <c r="G570" s="359">
        <f t="shared" si="266"/>
        <v>13.573132894205459</v>
      </c>
      <c r="H570" t="s">
        <v>1897</v>
      </c>
      <c r="I570" t="str">
        <f t="shared" si="267"/>
        <v>\newcommand{\RotorHAWTGfBladeC}{13,6}%GWP P of Rotor</v>
      </c>
      <c r="J570" t="str">
        <f t="shared" si="268"/>
        <v>\RotorHAWTGfBladeC</v>
      </c>
      <c r="L570">
        <f>100*L568/U601</f>
        <v>13.573132894205459</v>
      </c>
    </row>
    <row r="571" spans="3:14" x14ac:dyDescent="0.3">
      <c r="C571" t="s">
        <v>1786</v>
      </c>
      <c r="D571" t="str">
        <f t="shared" ref="D571" si="271">D570</f>
        <v>Rotor</v>
      </c>
      <c r="E571" t="s">
        <v>1142</v>
      </c>
      <c r="F571" t="s">
        <v>1902</v>
      </c>
      <c r="G571" s="359">
        <f t="shared" si="266"/>
        <v>14.556784145109244</v>
      </c>
      <c r="H571" t="s">
        <v>1898</v>
      </c>
      <c r="I571" t="str">
        <f t="shared" si="267"/>
        <v>\newcommand{\RotorHAWTGfBladeD}{14,6}%CED P of Rotor</v>
      </c>
      <c r="J571" t="str">
        <f t="shared" si="268"/>
        <v>\RotorHAWTGfBladeD</v>
      </c>
      <c r="L571">
        <f>100*L569/U602</f>
        <v>14.556784145109244</v>
      </c>
    </row>
    <row r="572" spans="3:14" x14ac:dyDescent="0.3">
      <c r="C572" t="s">
        <v>1784</v>
      </c>
      <c r="D572" t="str">
        <f t="shared" ref="D572" si="272">D571</f>
        <v>Rotor</v>
      </c>
      <c r="E572" t="s">
        <v>1142</v>
      </c>
      <c r="F572" t="s">
        <v>1902</v>
      </c>
      <c r="G572" s="359">
        <f t="shared" si="266"/>
        <v>2.7955358493803684</v>
      </c>
      <c r="H572" t="s">
        <v>1899</v>
      </c>
      <c r="I572" t="str">
        <f t="shared" si="267"/>
        <v>\newcommand{\RotorHAWTGfBladeE}{2,8}%GWP P of Tot</v>
      </c>
      <c r="J572" t="str">
        <f t="shared" si="268"/>
        <v>\RotorHAWTGfBladeE</v>
      </c>
      <c r="L572">
        <f>100*L568/S601</f>
        <v>2.7955358493803684</v>
      </c>
    </row>
    <row r="573" spans="3:14" x14ac:dyDescent="0.3">
      <c r="C573" t="s">
        <v>1783</v>
      </c>
      <c r="D573" t="str">
        <f t="shared" ref="D573" si="273">D572</f>
        <v>Rotor</v>
      </c>
      <c r="E573" t="s">
        <v>1142</v>
      </c>
      <c r="F573" t="s">
        <v>1902</v>
      </c>
      <c r="G573" s="359">
        <f t="shared" si="266"/>
        <v>3.8542437173862836</v>
      </c>
      <c r="H573" t="s">
        <v>1900</v>
      </c>
      <c r="I573" t="str">
        <f t="shared" si="267"/>
        <v>\newcommand{\RotorHAWTGfBladeF}{3,9}%CED P of Tot</v>
      </c>
      <c r="J573" t="str">
        <f t="shared" si="268"/>
        <v>\RotorHAWTGfBladeF</v>
      </c>
      <c r="L573">
        <f>100*L569/S602</f>
        <v>3.8542437173862836</v>
      </c>
    </row>
    <row r="574" spans="3:14" x14ac:dyDescent="0.3">
      <c r="C574" t="s">
        <v>1782</v>
      </c>
      <c r="D574" t="str">
        <f t="shared" ref="D574" si="274">D573</f>
        <v>Rotor</v>
      </c>
      <c r="E574" t="s">
        <v>1142</v>
      </c>
      <c r="F574" t="s">
        <v>1902</v>
      </c>
      <c r="G574" s="359">
        <f t="shared" si="266"/>
        <v>0</v>
      </c>
      <c r="I574" t="str">
        <f t="shared" si="267"/>
        <v>\newcommand{\RotorHAWTGfBladeG}{0,0}%</v>
      </c>
      <c r="J574" t="str">
        <f t="shared" si="268"/>
        <v>\RotorHAWTGfBladeG</v>
      </c>
    </row>
    <row r="575" spans="3:14" x14ac:dyDescent="0.3">
      <c r="C575" t="s">
        <v>1798</v>
      </c>
      <c r="D575" t="str">
        <f t="shared" ref="D575" si="275">D574</f>
        <v>Rotor</v>
      </c>
      <c r="E575" t="s">
        <v>1142</v>
      </c>
      <c r="F575" t="s">
        <v>1902</v>
      </c>
      <c r="G575" s="359">
        <f t="shared" si="266"/>
        <v>10.873621564221077</v>
      </c>
      <c r="H575" t="s">
        <v>1938</v>
      </c>
      <c r="I575" t="str">
        <f t="shared" si="267"/>
        <v>\newcommand{\RotorHAWTGfBladeH}{10,9}%Sensitivity GWP GFRP blade… percentage reduction</v>
      </c>
      <c r="J575" t="str">
        <f t="shared" si="268"/>
        <v>\RotorHAWTGfBladeH</v>
      </c>
      <c r="L575">
        <f>100*L564/R559</f>
        <v>10.873621564221077</v>
      </c>
    </row>
    <row r="576" spans="3:14" x14ac:dyDescent="0.3">
      <c r="C576" t="s">
        <v>1796</v>
      </c>
      <c r="D576" t="str">
        <f t="shared" ref="D576" si="276">D575</f>
        <v>Rotor</v>
      </c>
      <c r="E576" t="s">
        <v>1142</v>
      </c>
      <c r="F576" t="s">
        <v>1902</v>
      </c>
      <c r="G576" s="359">
        <f t="shared" si="266"/>
        <v>14.517713262951608</v>
      </c>
      <c r="H576" t="s">
        <v>1939</v>
      </c>
      <c r="I576" t="str">
        <f t="shared" si="267"/>
        <v>\newcommand{\RotorHAWTGfBladeI}{14,5}%Sensitivity CED GFRP blade….percentage reduction</v>
      </c>
      <c r="J576" t="str">
        <f t="shared" si="268"/>
        <v>\RotorHAWTGfBladeI</v>
      </c>
      <c r="L576">
        <f>100*L565/R560</f>
        <v>14.517713262951608</v>
      </c>
    </row>
    <row r="577" spans="1:14" x14ac:dyDescent="0.3">
      <c r="C577" t="s">
        <v>1794</v>
      </c>
      <c r="D577" t="str">
        <f t="shared" ref="D577" si="277">D576</f>
        <v>Rotor</v>
      </c>
      <c r="E577" t="s">
        <v>1142</v>
      </c>
      <c r="F577" t="s">
        <v>1902</v>
      </c>
      <c r="G577" s="359">
        <f t="shared" ref="G577:G578" si="278">L577</f>
        <v>0</v>
      </c>
      <c r="I577" t="str">
        <f t="shared" ref="I577:I578" si="279">"\newcommand{"&amp;J577&amp;"}{"&amp;TEXT(G577,$H$13)&amp;"}%"&amp;H577</f>
        <v>\newcommand{\RotorHAWTGfBladeJ}{0,0}%</v>
      </c>
      <c r="J577" t="str">
        <f t="shared" ref="J577:J578" si="280">"\"&amp;D577&amp;E577&amp;F577&amp;C577</f>
        <v>\RotorHAWTGfBladeJ</v>
      </c>
    </row>
    <row r="578" spans="1:14" x14ac:dyDescent="0.3">
      <c r="C578" t="s">
        <v>1826</v>
      </c>
      <c r="D578" t="str">
        <f t="shared" ref="D578" si="281">D577</f>
        <v>Rotor</v>
      </c>
      <c r="E578" t="s">
        <v>1142</v>
      </c>
      <c r="F578" t="s">
        <v>1902</v>
      </c>
      <c r="G578" s="359">
        <f t="shared" si="278"/>
        <v>0</v>
      </c>
      <c r="I578" t="str">
        <f t="shared" si="279"/>
        <v>\newcommand{\RotorHAWTGfBladeK}{0,0}%</v>
      </c>
      <c r="J578" t="str">
        <f t="shared" si="280"/>
        <v>\RotorHAWTGfBladeK</v>
      </c>
    </row>
    <row r="580" spans="1:14" x14ac:dyDescent="0.3">
      <c r="C580" s="42"/>
      <c r="D580" s="42"/>
      <c r="E580" s="42" t="s">
        <v>1172</v>
      </c>
      <c r="F580" s="42" t="s">
        <v>1903</v>
      </c>
      <c r="H580" s="42" t="s">
        <v>1791</v>
      </c>
      <c r="I580" s="42" t="str">
        <f>"%" &amp;F580 &amp;H580 &amp;D580 &amp;H580  &amp;E580</f>
        <v>%Carbon fibre component..AWE</v>
      </c>
      <c r="J580" s="42" t="str">
        <f>"\"&amp;D580&amp;E580&amp;F580</f>
        <v>\AWECarbon fibre component</v>
      </c>
    </row>
    <row r="581" spans="1:14" x14ac:dyDescent="0.3">
      <c r="C581" s="42" t="s">
        <v>720</v>
      </c>
      <c r="D581" s="42" t="s">
        <v>15</v>
      </c>
      <c r="E581" s="42" t="s">
        <v>1172</v>
      </c>
      <c r="F581" t="s">
        <v>33</v>
      </c>
      <c r="G581" s="359">
        <f t="shared" ref="G581:G589" si="282">L581</f>
        <v>0.69476131961554266</v>
      </c>
      <c r="H581" t="s">
        <v>32</v>
      </c>
      <c r="I581" t="str">
        <f t="shared" ref="I581:I589" si="283">"\newcommand{"&amp;J581&amp;"}{"&amp;TEXT(G581,$H$13)&amp;"}%"&amp;H581</f>
        <v>\newcommand{\AircraftAWECfA}{0,7}%GWP</v>
      </c>
      <c r="J581" t="str">
        <f t="shared" ref="J581:J589" si="284">"\"&amp;D581&amp;E581&amp;F581&amp;C581</f>
        <v>\AircraftAWECfA</v>
      </c>
      <c r="L581">
        <f>M581</f>
        <v>0.69476131961554266</v>
      </c>
      <c r="M581">
        <f>N581/$T$596</f>
        <v>0.69476131961554266</v>
      </c>
      <c r="N581">
        <f>AWE!$I$330+AWE!$I$328+AWE!$I$308</f>
        <v>285467.42861463717</v>
      </c>
    </row>
    <row r="582" spans="1:14" x14ac:dyDescent="0.3">
      <c r="C582" t="s">
        <v>788</v>
      </c>
      <c r="D582" t="str">
        <f t="shared" ref="D582" si="285">D581</f>
        <v>Aircraft</v>
      </c>
      <c r="E582" s="42" t="s">
        <v>1172</v>
      </c>
      <c r="F582" t="s">
        <v>33</v>
      </c>
      <c r="G582" s="359">
        <f t="shared" si="282"/>
        <v>14.031509285506061</v>
      </c>
      <c r="H582" t="s">
        <v>162</v>
      </c>
      <c r="I582" t="str">
        <f t="shared" si="283"/>
        <v>\newcommand{\AircraftAWECfB}{14,0}%CED</v>
      </c>
      <c r="J582" t="str">
        <f t="shared" si="284"/>
        <v>\AircraftAWECfB</v>
      </c>
      <c r="L582">
        <f>M582</f>
        <v>14.031509285506061</v>
      </c>
      <c r="M582">
        <f>N582/$T$596</f>
        <v>14.031509285506061</v>
      </c>
      <c r="N582">
        <f>AWE!$L$330+AWE!$L$328+AWE!$L$308</f>
        <v>5765345.2519958215</v>
      </c>
    </row>
    <row r="583" spans="1:14" x14ac:dyDescent="0.3">
      <c r="C583" t="s">
        <v>790</v>
      </c>
      <c r="D583" t="str">
        <f t="shared" ref="D583:D584" si="286">D582</f>
        <v>Aircraft</v>
      </c>
      <c r="E583" s="42" t="s">
        <v>1172</v>
      </c>
      <c r="F583" t="s">
        <v>33</v>
      </c>
      <c r="G583" s="359">
        <f t="shared" si="282"/>
        <v>63.553990596030317</v>
      </c>
      <c r="H583" t="s">
        <v>1897</v>
      </c>
      <c r="I583" t="str">
        <f t="shared" si="283"/>
        <v>\newcommand{\AircraftAWECfC}{63,6}%GWP P of Rotor</v>
      </c>
      <c r="J583" t="str">
        <f t="shared" si="284"/>
        <v>\AircraftAWECfC</v>
      </c>
      <c r="L583">
        <f>100*L581/U605</f>
        <v>63.553990596030317</v>
      </c>
    </row>
    <row r="584" spans="1:14" x14ac:dyDescent="0.3">
      <c r="C584" t="s">
        <v>1786</v>
      </c>
      <c r="D584" t="str">
        <f t="shared" si="286"/>
        <v>Aircraft</v>
      </c>
      <c r="E584" s="42" t="s">
        <v>1172</v>
      </c>
      <c r="F584" t="s">
        <v>33</v>
      </c>
      <c r="G584" s="359">
        <f t="shared" si="282"/>
        <v>73.142868512134172</v>
      </c>
      <c r="H584" t="s">
        <v>1898</v>
      </c>
      <c r="I584" t="str">
        <f t="shared" si="283"/>
        <v>\newcommand{\AircraftAWECfD}{73,1}%CED P of Rotor</v>
      </c>
      <c r="J584" t="str">
        <f t="shared" si="284"/>
        <v>\AircraftAWECfD</v>
      </c>
      <c r="L584">
        <f>100*L582/U606</f>
        <v>73.142868512134172</v>
      </c>
    </row>
    <row r="585" spans="1:14" x14ac:dyDescent="0.3">
      <c r="C585" t="s">
        <v>1784</v>
      </c>
      <c r="D585" t="str">
        <f t="shared" ref="D585:D586" si="287">D584</f>
        <v>Aircraft</v>
      </c>
      <c r="E585" s="42" t="s">
        <v>1172</v>
      </c>
      <c r="F585" t="s">
        <v>33</v>
      </c>
      <c r="G585" s="359">
        <f t="shared" si="282"/>
        <v>8.9091467282873023</v>
      </c>
      <c r="H585" t="s">
        <v>1899</v>
      </c>
      <c r="I585" t="str">
        <f t="shared" si="283"/>
        <v>\newcommand{\AircraftAWECfE}{8,9}%GWP P of Tot</v>
      </c>
      <c r="J585" t="str">
        <f t="shared" si="284"/>
        <v>\AircraftAWECfE</v>
      </c>
      <c r="L585" s="14">
        <f>100*L581/S605</f>
        <v>8.9091467282873023</v>
      </c>
    </row>
    <row r="586" spans="1:14" x14ac:dyDescent="0.3">
      <c r="C586" t="s">
        <v>1783</v>
      </c>
      <c r="D586" t="str">
        <f t="shared" si="287"/>
        <v>Aircraft</v>
      </c>
      <c r="E586" s="42" t="s">
        <v>1172</v>
      </c>
      <c r="F586" t="s">
        <v>33</v>
      </c>
      <c r="G586" s="359">
        <f t="shared" si="282"/>
        <v>11.007730006241793</v>
      </c>
      <c r="H586" t="s">
        <v>1900</v>
      </c>
      <c r="I586" t="str">
        <f t="shared" si="283"/>
        <v>\newcommand{\AircraftAWECfF}{11,0}%CED P of Tot</v>
      </c>
      <c r="J586" t="str">
        <f t="shared" si="284"/>
        <v>\AircraftAWECfF</v>
      </c>
      <c r="L586" s="14">
        <f>100*L582/S606</f>
        <v>11.007730006241793</v>
      </c>
    </row>
    <row r="587" spans="1:14" x14ac:dyDescent="0.3">
      <c r="C587" t="s">
        <v>1782</v>
      </c>
      <c r="D587" t="str">
        <f t="shared" ref="D587" si="288">D586</f>
        <v>Aircraft</v>
      </c>
      <c r="E587" s="42" t="s">
        <v>1172</v>
      </c>
      <c r="F587" t="s">
        <v>33</v>
      </c>
      <c r="G587" s="359">
        <f t="shared" si="282"/>
        <v>0</v>
      </c>
      <c r="I587" t="str">
        <f t="shared" si="283"/>
        <v>\newcommand{\AircraftAWECfG}{0,0}%</v>
      </c>
      <c r="J587" t="str">
        <f t="shared" si="284"/>
        <v>\AircraftAWECfG</v>
      </c>
    </row>
    <row r="588" spans="1:14" x14ac:dyDescent="0.3">
      <c r="C588" t="s">
        <v>1798</v>
      </c>
      <c r="D588" t="str">
        <f t="shared" ref="D588" si="289">D587</f>
        <v>Aircraft</v>
      </c>
      <c r="E588" s="42" t="s">
        <v>1172</v>
      </c>
      <c r="F588" t="s">
        <v>33</v>
      </c>
      <c r="G588" s="359">
        <f t="shared" si="282"/>
        <v>0</v>
      </c>
      <c r="I588" t="str">
        <f t="shared" si="283"/>
        <v>\newcommand{\AircraftAWECfH}{0,0}%</v>
      </c>
      <c r="J588" t="str">
        <f t="shared" si="284"/>
        <v>\AircraftAWECfH</v>
      </c>
    </row>
    <row r="589" spans="1:14" x14ac:dyDescent="0.3">
      <c r="C589" t="s">
        <v>1796</v>
      </c>
      <c r="D589" t="str">
        <f t="shared" ref="D589" si="290">D588</f>
        <v>Aircraft</v>
      </c>
      <c r="E589" s="42" t="s">
        <v>1172</v>
      </c>
      <c r="F589" t="s">
        <v>33</v>
      </c>
      <c r="G589" s="359">
        <f t="shared" si="282"/>
        <v>0</v>
      </c>
      <c r="I589" t="str">
        <f t="shared" si="283"/>
        <v>\newcommand{\AircraftAWECfI}{0,0}%</v>
      </c>
      <c r="J589" t="str">
        <f t="shared" si="284"/>
        <v>\AircraftAWECfI</v>
      </c>
    </row>
    <row r="590" spans="1:14" x14ac:dyDescent="0.3">
      <c r="E590" s="42"/>
    </row>
    <row r="591" spans="1:14" x14ac:dyDescent="0.3">
      <c r="E591" s="42"/>
    </row>
    <row r="592" spans="1:14" x14ac:dyDescent="0.3">
      <c r="A592" s="70"/>
      <c r="B592" s="336" t="s">
        <v>49</v>
      </c>
      <c r="C592" s="47"/>
      <c r="D592" s="47"/>
      <c r="E592" s="47"/>
      <c r="F592" s="47"/>
      <c r="G592" s="361"/>
      <c r="H592" s="70"/>
      <c r="I592" s="70"/>
      <c r="J592" s="70"/>
      <c r="K592" s="70"/>
    </row>
    <row r="596" spans="3:23" x14ac:dyDescent="0.3">
      <c r="C596" s="42"/>
      <c r="D596" s="42"/>
      <c r="E596" s="42" t="s">
        <v>1172</v>
      </c>
      <c r="F596" s="42" t="s">
        <v>1910</v>
      </c>
      <c r="H596" s="42" t="s">
        <v>1791</v>
      </c>
      <c r="I596" s="42" t="str">
        <f>"%" &amp;F596 &amp;H596 &amp;D596 &amp;H596  &amp;E596</f>
        <v>%Installation phase impacts..AWE</v>
      </c>
      <c r="J596" s="42" t="str">
        <f>"\"&amp;D596&amp;E596&amp;F596</f>
        <v>\AWEInstallation phase impacts</v>
      </c>
      <c r="Q596" t="s">
        <v>1888</v>
      </c>
      <c r="T596">
        <f>$E$6</f>
        <v>410885.60999999993</v>
      </c>
    </row>
    <row r="597" spans="3:23" x14ac:dyDescent="0.3">
      <c r="C597" s="42" t="s">
        <v>720</v>
      </c>
      <c r="D597" s="42" t="s">
        <v>1904</v>
      </c>
      <c r="E597" t="str">
        <f t="shared" ref="E597:F605" si="291">E596</f>
        <v>AWE</v>
      </c>
      <c r="F597" t="s">
        <v>32</v>
      </c>
      <c r="G597" s="359">
        <f t="shared" ref="G597:G605" si="292">L597</f>
        <v>0.31725770054351382</v>
      </c>
      <c r="H597" t="s">
        <v>43</v>
      </c>
      <c r="I597" t="str">
        <f t="shared" ref="I597:I605" si="293">"\newcommand{"&amp;J597&amp;"}{"&amp;TEXT(G597,$H$13)&amp;"}%"&amp;H597</f>
        <v>\newcommand{\ImpinstalstageAWEGWPA}{0,3}%Transport</v>
      </c>
      <c r="J597" t="str">
        <f t="shared" ref="J597:J605" si="294">"\"&amp;D597&amp;E597&amp;F597&amp;C597</f>
        <v>\ImpinstalstageAWEGWPA</v>
      </c>
      <c r="L597">
        <f>N597/$T$597</f>
        <v>0.31725770054351382</v>
      </c>
      <c r="N597">
        <f>AWE!J556</f>
        <v>146740.56971699037</v>
      </c>
      <c r="Q597" t="s">
        <v>1889</v>
      </c>
      <c r="T597">
        <f>$E$5</f>
        <v>462528</v>
      </c>
    </row>
    <row r="598" spans="3:23" x14ac:dyDescent="0.3">
      <c r="C598" t="s">
        <v>788</v>
      </c>
      <c r="D598" t="str">
        <f t="shared" ref="D598:D605" si="295">D597</f>
        <v>Impinstalstage</v>
      </c>
      <c r="E598" t="str">
        <f t="shared" si="291"/>
        <v>AWE</v>
      </c>
      <c r="F598" t="str">
        <f t="shared" si="291"/>
        <v>GWP</v>
      </c>
      <c r="G598" s="359">
        <f t="shared" si="292"/>
        <v>3.9211636917116368E-3</v>
      </c>
      <c r="H598" t="s">
        <v>277</v>
      </c>
      <c r="I598" t="str">
        <f t="shared" si="293"/>
        <v>\newcommand{\ImpinstalstageAWEGWPB}{0,0}%digging</v>
      </c>
      <c r="J598" t="str">
        <f t="shared" si="294"/>
        <v>\ImpinstalstageAWEGWPB</v>
      </c>
      <c r="L598">
        <f t="shared" ref="L598:L599" si="296">N598/$T$597</f>
        <v>3.9211636917116368E-3</v>
      </c>
      <c r="N598">
        <f>AWE!J548</f>
        <v>1813.6480000000001</v>
      </c>
    </row>
    <row r="599" spans="3:23" x14ac:dyDescent="0.3">
      <c r="C599" t="s">
        <v>790</v>
      </c>
      <c r="D599" t="str">
        <f t="shared" si="295"/>
        <v>Impinstalstage</v>
      </c>
      <c r="E599" t="str">
        <f t="shared" si="291"/>
        <v>AWE</v>
      </c>
      <c r="F599" t="str">
        <f t="shared" si="291"/>
        <v>GWP</v>
      </c>
      <c r="G599" s="359">
        <f t="shared" si="292"/>
        <v>3.892486508924865E-3</v>
      </c>
      <c r="H599" t="s">
        <v>278</v>
      </c>
      <c r="I599" t="str">
        <f t="shared" si="293"/>
        <v>\newcommand{\ImpinstalstageAWEGWPC}{0,0}%crane operation</v>
      </c>
      <c r="J599" t="str">
        <f t="shared" si="294"/>
        <v>\ImpinstalstageAWEGWPC</v>
      </c>
      <c r="L599">
        <f t="shared" si="296"/>
        <v>3.892486508924865E-3</v>
      </c>
      <c r="N599">
        <f>AWE!J552</f>
        <v>1800.384</v>
      </c>
    </row>
    <row r="600" spans="3:23" x14ac:dyDescent="0.3">
      <c r="C600" t="s">
        <v>1786</v>
      </c>
      <c r="D600" t="str">
        <f t="shared" si="295"/>
        <v>Impinstalstage</v>
      </c>
      <c r="E600" t="str">
        <f t="shared" si="291"/>
        <v>AWE</v>
      </c>
      <c r="F600" t="str">
        <f t="shared" si="291"/>
        <v>GWP</v>
      </c>
      <c r="G600" s="359">
        <f t="shared" si="292"/>
        <v>0.32507135074415039</v>
      </c>
      <c r="H600" t="s">
        <v>191</v>
      </c>
      <c r="I600" t="str">
        <f t="shared" si="293"/>
        <v>\newcommand{\ImpinstalstageAWEGWPD}{0,3}%Total</v>
      </c>
      <c r="J600" t="str">
        <f t="shared" si="294"/>
        <v>\ImpinstalstageAWEGWPD</v>
      </c>
      <c r="L600" s="14">
        <f>V605</f>
        <v>0.32507135074415039</v>
      </c>
      <c r="S600" t="s">
        <v>191</v>
      </c>
      <c r="T600" t="s">
        <v>783</v>
      </c>
      <c r="U600" t="s">
        <v>1618</v>
      </c>
      <c r="V600" t="s">
        <v>1769</v>
      </c>
      <c r="W600" t="s">
        <v>47</v>
      </c>
    </row>
    <row r="601" spans="3:23" x14ac:dyDescent="0.3">
      <c r="C601" t="s">
        <v>1784</v>
      </c>
      <c r="D601" t="str">
        <f t="shared" si="295"/>
        <v>Impinstalstage</v>
      </c>
      <c r="E601" t="str">
        <f t="shared" si="291"/>
        <v>AWE</v>
      </c>
      <c r="F601" t="str">
        <f t="shared" si="291"/>
        <v>GWP</v>
      </c>
      <c r="G601" s="359">
        <f t="shared" si="292"/>
        <v>0</v>
      </c>
      <c r="I601" t="str">
        <f t="shared" si="293"/>
        <v>\newcommand{\ImpinstalstageAWEGWPE}{0,0}%</v>
      </c>
      <c r="J601" t="str">
        <f t="shared" si="294"/>
        <v>\ImpinstalstageAWEGWPE</v>
      </c>
      <c r="Q601" t="s">
        <v>1891</v>
      </c>
      <c r="S601" s="14">
        <f>$G$83</f>
        <v>12.978117802421346</v>
      </c>
      <c r="T601" s="14">
        <f>G79</f>
        <v>11.145283831422619</v>
      </c>
      <c r="U601" s="14">
        <f>G201</f>
        <v>2.6729859537173737</v>
      </c>
      <c r="V601" s="14">
        <f>G80</f>
        <v>0.70451015783057913</v>
      </c>
      <c r="W601" s="14">
        <f>G82</f>
        <v>0.39310824854226534</v>
      </c>
    </row>
    <row r="602" spans="3:23" x14ac:dyDescent="0.3">
      <c r="C602" t="s">
        <v>1783</v>
      </c>
      <c r="D602" t="str">
        <f t="shared" si="295"/>
        <v>Impinstalstage</v>
      </c>
      <c r="E602" t="s">
        <v>1142</v>
      </c>
      <c r="F602" t="str">
        <f t="shared" si="291"/>
        <v>GWP</v>
      </c>
      <c r="G602" s="359">
        <f t="shared" si="292"/>
        <v>0.69100749429928976</v>
      </c>
      <c r="H602" t="s">
        <v>43</v>
      </c>
      <c r="I602" t="str">
        <f t="shared" si="293"/>
        <v>\newcommand{\ImpinstalstageHAWTGWPF}{0,7}%Transport</v>
      </c>
      <c r="J602" t="str">
        <f t="shared" si="294"/>
        <v>\ImpinstalstageHAWTGWPF</v>
      </c>
      <c r="L602">
        <f>M602</f>
        <v>0.69100749429928976</v>
      </c>
      <c r="M602">
        <f>N602/$T$596</f>
        <v>0.69100749429928976</v>
      </c>
      <c r="N602">
        <f>HAWT!J366</f>
        <v>283925.03580973513</v>
      </c>
      <c r="Q602" t="s">
        <v>1890</v>
      </c>
      <c r="S602" s="14">
        <f>$G$77</f>
        <v>195.01445049283734</v>
      </c>
      <c r="T602" s="14">
        <f>G73</f>
        <v>171.27553331760996</v>
      </c>
      <c r="U602" s="14">
        <f>G193</f>
        <v>51.634565239059953</v>
      </c>
      <c r="V602" s="14">
        <f>G74</f>
        <v>10.126259053675444</v>
      </c>
      <c r="W602" s="14">
        <f>G76</f>
        <v>3.5657236475020886</v>
      </c>
    </row>
    <row r="603" spans="3:23" x14ac:dyDescent="0.3">
      <c r="C603" t="s">
        <v>1782</v>
      </c>
      <c r="D603" t="str">
        <f t="shared" si="295"/>
        <v>Impinstalstage</v>
      </c>
      <c r="E603" t="str">
        <f t="shared" si="291"/>
        <v>HAWT</v>
      </c>
      <c r="F603" t="str">
        <f t="shared" si="291"/>
        <v>GWP</v>
      </c>
      <c r="G603" s="359">
        <f t="shared" si="292"/>
        <v>4.7392317820002805E-3</v>
      </c>
      <c r="H603" t="s">
        <v>277</v>
      </c>
      <c r="I603" t="str">
        <f t="shared" si="293"/>
        <v>\newcommand{\ImpinstalstageHAWTGWPG}{0,0}%digging</v>
      </c>
      <c r="J603" t="str">
        <f t="shared" si="294"/>
        <v>\ImpinstalstageHAWTGWPG</v>
      </c>
      <c r="L603">
        <f t="shared" ref="L603:L604" si="297">M603</f>
        <v>4.7392317820002805E-3</v>
      </c>
      <c r="M603">
        <f t="shared" ref="M603:M604" si="298">N603/$T$596</f>
        <v>4.7392317820002805E-3</v>
      </c>
      <c r="N603">
        <f>HAWT!J358</f>
        <v>1947.2821416785719</v>
      </c>
    </row>
    <row r="604" spans="3:23" x14ac:dyDescent="0.3">
      <c r="C604" t="s">
        <v>1798</v>
      </c>
      <c r="D604" t="str">
        <f t="shared" si="295"/>
        <v>Impinstalstage</v>
      </c>
      <c r="E604" t="str">
        <f t="shared" si="291"/>
        <v>HAWT</v>
      </c>
      <c r="F604" t="str">
        <f t="shared" si="291"/>
        <v>GWP</v>
      </c>
      <c r="G604" s="359">
        <f t="shared" si="292"/>
        <v>8.7634317492890548E-3</v>
      </c>
      <c r="H604" t="s">
        <v>278</v>
      </c>
      <c r="I604" t="str">
        <f t="shared" si="293"/>
        <v>\newcommand{\ImpinstalstageHAWTGWPH}{0,0}%crane operation</v>
      </c>
      <c r="J604" t="str">
        <f t="shared" si="294"/>
        <v>\ImpinstalstageHAWTGWPH</v>
      </c>
      <c r="L604">
        <f t="shared" si="297"/>
        <v>8.7634317492890548E-3</v>
      </c>
      <c r="M604">
        <f t="shared" si="298"/>
        <v>8.7634317492890548E-3</v>
      </c>
      <c r="N604">
        <f>HAWT!J362</f>
        <v>3600.768</v>
      </c>
      <c r="S604" t="s">
        <v>191</v>
      </c>
      <c r="T604" t="s">
        <v>783</v>
      </c>
      <c r="U604" t="s">
        <v>15</v>
      </c>
      <c r="V604" t="s">
        <v>1769</v>
      </c>
      <c r="W604" t="s">
        <v>47</v>
      </c>
    </row>
    <row r="605" spans="3:23" x14ac:dyDescent="0.3">
      <c r="C605" t="s">
        <v>1796</v>
      </c>
      <c r="D605" t="str">
        <f t="shared" si="295"/>
        <v>Impinstalstage</v>
      </c>
      <c r="E605" t="str">
        <f t="shared" si="291"/>
        <v>HAWT</v>
      </c>
      <c r="F605" t="str">
        <f t="shared" si="291"/>
        <v>GWP</v>
      </c>
      <c r="G605" s="359">
        <f t="shared" si="292"/>
        <v>0.70451015783057913</v>
      </c>
      <c r="H605" t="s">
        <v>191</v>
      </c>
      <c r="I605" t="str">
        <f t="shared" si="293"/>
        <v>\newcommand{\ImpinstalstageHAWTGWPI}{0,7}%Total</v>
      </c>
      <c r="J605" t="str">
        <f t="shared" si="294"/>
        <v>\ImpinstalstageHAWTGWPI</v>
      </c>
      <c r="L605">
        <f>V601</f>
        <v>0.70451015783057913</v>
      </c>
      <c r="Q605" t="s">
        <v>1893</v>
      </c>
      <c r="S605" s="14">
        <f>'Communication to latex'!$G$112</f>
        <v>7.7982924830457243</v>
      </c>
      <c r="T605" s="14">
        <f>'Communication to latex'!$G$108</f>
        <v>6.3215972714951443</v>
      </c>
      <c r="U605" s="14">
        <f>'Communication to latex'!$G$408</f>
        <v>1.0931828404476911</v>
      </c>
      <c r="V605" s="14">
        <f>G109</f>
        <v>0.32507135074415039</v>
      </c>
      <c r="W605" s="14">
        <f>G111</f>
        <v>0.27122449952203481</v>
      </c>
    </row>
    <row r="606" spans="3:23" x14ac:dyDescent="0.3">
      <c r="Q606" t="s">
        <v>1892</v>
      </c>
      <c r="S606" s="14">
        <f>'Communication to latex'!$G$106</f>
        <v>127.46959888687016</v>
      </c>
      <c r="T606" s="14">
        <f>'Communication to latex'!$G$102</f>
        <v>100.10052301845815</v>
      </c>
      <c r="U606" s="14">
        <f>'Communication to latex'!$G$422</f>
        <v>19.183701119376085</v>
      </c>
      <c r="V606" s="14">
        <f>G103</f>
        <v>4.6602968533030209</v>
      </c>
      <c r="W606" s="14">
        <f>G105</f>
        <v>1.0906210155760316</v>
      </c>
    </row>
    <row r="607" spans="3:23" x14ac:dyDescent="0.3">
      <c r="C607" s="42" t="s">
        <v>720</v>
      </c>
      <c r="D607" s="42" t="str">
        <f>D597</f>
        <v>Impinstalstage</v>
      </c>
      <c r="E607" t="str">
        <f>E603</f>
        <v>HAWT</v>
      </c>
      <c r="F607" t="s">
        <v>162</v>
      </c>
      <c r="G607" s="359">
        <f t="shared" ref="G607:G615" si="299">L607</f>
        <v>4.5440112473953098</v>
      </c>
      <c r="H607" t="str">
        <f>H597</f>
        <v>Transport</v>
      </c>
      <c r="I607" t="str">
        <f t="shared" ref="I607:I615" si="300">"\newcommand{"&amp;J607&amp;"}{"&amp;TEXT(G607,$H$13)&amp;"}%"&amp;H607</f>
        <v>\newcommand{\ImpinstalstageHAWTCEDA}{4,5}%Transport</v>
      </c>
      <c r="J607" t="str">
        <f t="shared" ref="J607:J615" si="301">"\"&amp;D607&amp;E607&amp;F607&amp;C607</f>
        <v>\ImpinstalstageHAWTCEDA</v>
      </c>
      <c r="L607">
        <f>M607</f>
        <v>4.5440112473953098</v>
      </c>
      <c r="M607">
        <f>N607/$T$597</f>
        <v>4.5440112473953098</v>
      </c>
      <c r="N607">
        <f>AWE!M556</f>
        <v>2101732.434235258</v>
      </c>
    </row>
    <row r="608" spans="3:23" x14ac:dyDescent="0.3">
      <c r="C608" t="s">
        <v>788</v>
      </c>
      <c r="D608" t="str">
        <f t="shared" ref="D608:F608" si="302">D607</f>
        <v>Impinstalstage</v>
      </c>
      <c r="E608" t="str">
        <f t="shared" si="302"/>
        <v>HAWT</v>
      </c>
      <c r="F608" t="str">
        <f t="shared" si="302"/>
        <v>CED</v>
      </c>
      <c r="G608" s="359">
        <f t="shared" si="299"/>
        <v>5.8221080669710809E-2</v>
      </c>
      <c r="H608" t="str">
        <f t="shared" ref="H608:H615" si="303">H598</f>
        <v>digging</v>
      </c>
      <c r="I608" t="str">
        <f t="shared" si="300"/>
        <v>\newcommand{\ImpinstalstageHAWTCEDB}{0,1}%digging</v>
      </c>
      <c r="J608" t="str">
        <f t="shared" si="301"/>
        <v>\ImpinstalstageHAWTCEDB</v>
      </c>
      <c r="L608">
        <f t="shared" ref="L608:L609" si="304">M608</f>
        <v>5.8221080669710809E-2</v>
      </c>
      <c r="M608">
        <f t="shared" ref="M608:M609" si="305">N608/$T$597</f>
        <v>5.8221080669710809E-2</v>
      </c>
      <c r="N608">
        <f>AWE!M548</f>
        <v>26928.880000000001</v>
      </c>
    </row>
    <row r="609" spans="2:35" x14ac:dyDescent="0.3">
      <c r="C609" t="s">
        <v>790</v>
      </c>
      <c r="D609" t="str">
        <f t="shared" ref="D609:F609" si="306">D608</f>
        <v>Impinstalstage</v>
      </c>
      <c r="E609" t="str">
        <f t="shared" si="306"/>
        <v>HAWT</v>
      </c>
      <c r="F609" t="str">
        <f t="shared" si="306"/>
        <v>CED</v>
      </c>
      <c r="G609" s="359">
        <f t="shared" si="299"/>
        <v>5.8064525238000243E-2</v>
      </c>
      <c r="H609" t="str">
        <f t="shared" si="303"/>
        <v>crane operation</v>
      </c>
      <c r="I609" t="str">
        <f t="shared" si="300"/>
        <v>\newcommand{\ImpinstalstageHAWTCEDC}{0,1}%crane operation</v>
      </c>
      <c r="J609" t="str">
        <f t="shared" si="301"/>
        <v>\ImpinstalstageHAWTCEDC</v>
      </c>
      <c r="L609">
        <f t="shared" si="304"/>
        <v>5.8064525238000243E-2</v>
      </c>
      <c r="M609">
        <f t="shared" si="305"/>
        <v>5.8064525238000243E-2</v>
      </c>
      <c r="N609">
        <f>AWE!M552</f>
        <v>26856.468729281776</v>
      </c>
    </row>
    <row r="610" spans="2:35" x14ac:dyDescent="0.3">
      <c r="C610" t="s">
        <v>1786</v>
      </c>
      <c r="D610" t="str">
        <f t="shared" ref="D610:F610" si="307">D609</f>
        <v>Impinstalstage</v>
      </c>
      <c r="E610" t="str">
        <f t="shared" si="307"/>
        <v>HAWT</v>
      </c>
      <c r="F610" t="str">
        <f t="shared" si="307"/>
        <v>CED</v>
      </c>
      <c r="G610" s="359">
        <f t="shared" si="299"/>
        <v>4.6602968533030209</v>
      </c>
      <c r="H610" t="str">
        <f t="shared" si="303"/>
        <v>Total</v>
      </c>
      <c r="I610" t="str">
        <f t="shared" si="300"/>
        <v>\newcommand{\ImpinstalstageHAWTCEDD}{4,7}%Total</v>
      </c>
      <c r="J610" t="str">
        <f t="shared" si="301"/>
        <v>\ImpinstalstageHAWTCEDD</v>
      </c>
      <c r="L610" s="14">
        <f>V606</f>
        <v>4.6602968533030209</v>
      </c>
    </row>
    <row r="611" spans="2:35" x14ac:dyDescent="0.3">
      <c r="C611" t="s">
        <v>1784</v>
      </c>
      <c r="D611" t="str">
        <f t="shared" ref="D611:F611" si="308">D610</f>
        <v>Impinstalstage</v>
      </c>
      <c r="E611" t="str">
        <f t="shared" si="308"/>
        <v>HAWT</v>
      </c>
      <c r="F611" t="str">
        <f t="shared" si="308"/>
        <v>CED</v>
      </c>
      <c r="G611" s="359">
        <f t="shared" si="299"/>
        <v>0</v>
      </c>
      <c r="H611">
        <f t="shared" si="303"/>
        <v>0</v>
      </c>
      <c r="I611" t="str">
        <f t="shared" si="300"/>
        <v>\newcommand{\ImpinstalstageHAWTCEDE}{0,0}%0</v>
      </c>
      <c r="J611" t="str">
        <f t="shared" si="301"/>
        <v>\ImpinstalstageHAWTCEDE</v>
      </c>
    </row>
    <row r="612" spans="2:35" x14ac:dyDescent="0.3">
      <c r="C612" t="s">
        <v>1783</v>
      </c>
      <c r="D612" t="str">
        <f t="shared" ref="D612:F612" si="309">D611</f>
        <v>Impinstalstage</v>
      </c>
      <c r="E612" t="s">
        <v>1142</v>
      </c>
      <c r="F612" t="str">
        <f t="shared" si="309"/>
        <v>CED</v>
      </c>
      <c r="G612" s="359">
        <f t="shared" si="299"/>
        <v>9.9251665768679533</v>
      </c>
      <c r="H612" t="str">
        <f t="shared" si="303"/>
        <v>Transport</v>
      </c>
      <c r="I612" t="str">
        <f t="shared" si="300"/>
        <v>\newcommand{\ImpinstalstageHAWTCEDF}{9,9}%Transport</v>
      </c>
      <c r="J612" t="str">
        <f t="shared" si="301"/>
        <v>\ImpinstalstageHAWTCEDF</v>
      </c>
      <c r="L612">
        <f>M612</f>
        <v>9.9251665768679533</v>
      </c>
      <c r="M612">
        <f>N612/$T$596</f>
        <v>9.9251665768679533</v>
      </c>
      <c r="N612">
        <f>HAWT!M366</f>
        <v>4078108.123288</v>
      </c>
    </row>
    <row r="613" spans="2:35" x14ac:dyDescent="0.3">
      <c r="C613" t="s">
        <v>1782</v>
      </c>
      <c r="D613" t="str">
        <f t="shared" ref="D613:F613" si="310">D612</f>
        <v>Impinstalstage</v>
      </c>
      <c r="E613" t="str">
        <f t="shared" si="310"/>
        <v>HAWT</v>
      </c>
      <c r="F613" t="str">
        <f t="shared" si="310"/>
        <v>CED</v>
      </c>
      <c r="G613" s="359">
        <f t="shared" si="299"/>
        <v>7.0367681021715187E-2</v>
      </c>
      <c r="H613" t="str">
        <f t="shared" si="303"/>
        <v>digging</v>
      </c>
      <c r="I613" t="str">
        <f t="shared" si="300"/>
        <v>\newcommand{\ImpinstalstageHAWTCEDG}{0,1}%digging</v>
      </c>
      <c r="J613" t="str">
        <f t="shared" si="301"/>
        <v>\ImpinstalstageHAWTCEDG</v>
      </c>
      <c r="L613">
        <f t="shared" ref="L613:L614" si="311">M613</f>
        <v>7.0367681021715187E-2</v>
      </c>
      <c r="M613">
        <f t="shared" ref="M613:M614" si="312">N613/$T$596</f>
        <v>7.0367681021715187E-2</v>
      </c>
      <c r="N613">
        <f>HAWT!M358</f>
        <v>28913.067540892862</v>
      </c>
    </row>
    <row r="614" spans="2:35" x14ac:dyDescent="0.3">
      <c r="C614" t="s">
        <v>1798</v>
      </c>
      <c r="D614" t="str">
        <f t="shared" ref="D614:F614" si="313">D613</f>
        <v>Impinstalstage</v>
      </c>
      <c r="E614" t="str">
        <f t="shared" si="313"/>
        <v>HAWT</v>
      </c>
      <c r="F614" t="str">
        <f t="shared" si="313"/>
        <v>CED</v>
      </c>
      <c r="G614" s="359">
        <f t="shared" si="299"/>
        <v>0.13072479578577492</v>
      </c>
      <c r="H614" t="str">
        <f t="shared" si="303"/>
        <v>crane operation</v>
      </c>
      <c r="I614" t="str">
        <f t="shared" si="300"/>
        <v>\newcommand{\ImpinstalstageHAWTCEDH}{0,1}%crane operation</v>
      </c>
      <c r="J614" t="str">
        <f t="shared" si="301"/>
        <v>\ImpinstalstageHAWTCEDH</v>
      </c>
      <c r="L614">
        <f t="shared" si="311"/>
        <v>0.13072479578577492</v>
      </c>
      <c r="M614">
        <f t="shared" si="312"/>
        <v>0.13072479578577492</v>
      </c>
      <c r="N614">
        <f>HAWT!M362</f>
        <v>53712.937458563552</v>
      </c>
    </row>
    <row r="615" spans="2:35" x14ac:dyDescent="0.3">
      <c r="C615" t="s">
        <v>1796</v>
      </c>
      <c r="D615" t="str">
        <f t="shared" ref="D615:F615" si="314">D614</f>
        <v>Impinstalstage</v>
      </c>
      <c r="E615" t="str">
        <f t="shared" si="314"/>
        <v>HAWT</v>
      </c>
      <c r="F615" t="str">
        <f t="shared" si="314"/>
        <v>CED</v>
      </c>
      <c r="G615" s="359">
        <f t="shared" si="299"/>
        <v>10.126259053675444</v>
      </c>
      <c r="H615" t="str">
        <f t="shared" si="303"/>
        <v>Total</v>
      </c>
      <c r="I615" t="str">
        <f t="shared" si="300"/>
        <v>\newcommand{\ImpinstalstageHAWTCEDI}{10,1}%Total</v>
      </c>
      <c r="J615" t="str">
        <f t="shared" si="301"/>
        <v>\ImpinstalstageHAWTCEDI</v>
      </c>
      <c r="L615">
        <f>V602</f>
        <v>10.126259053675444</v>
      </c>
    </row>
    <row r="617" spans="2:35" x14ac:dyDescent="0.3">
      <c r="B617" s="42" t="s">
        <v>1876</v>
      </c>
      <c r="C617" s="42"/>
      <c r="E617" s="42" t="s">
        <v>1172</v>
      </c>
      <c r="F617" s="42" t="s">
        <v>1910</v>
      </c>
      <c r="H617" s="42" t="s">
        <v>1791</v>
      </c>
      <c r="I617" s="42" t="str">
        <f>"%" &amp;F617 &amp;H617 &amp;B617 &amp;H617  &amp;E617</f>
        <v>%Installation phase impacts.% of OenM impacts.AWE</v>
      </c>
      <c r="J617" s="42" t="str">
        <f>"\"&amp;B617&amp;E617&amp;F617</f>
        <v>\% of OenM impactsAWEInstallation phase impacts</v>
      </c>
    </row>
    <row r="618" spans="2:35" x14ac:dyDescent="0.3">
      <c r="C618" s="42" t="s">
        <v>720</v>
      </c>
      <c r="D618" s="42" t="s">
        <v>1905</v>
      </c>
      <c r="E618" s="42" t="s">
        <v>1172</v>
      </c>
      <c r="F618" t="s">
        <v>32</v>
      </c>
      <c r="G618" s="359">
        <f t="shared" ref="G618:G627" si="315">L618</f>
        <v>97.596327642300793</v>
      </c>
      <c r="H618" t="str">
        <f>H597</f>
        <v>Transport</v>
      </c>
      <c r="I618" t="str">
        <f t="shared" ref="I618:I627" si="316">"\newcommand{"&amp;J618&amp;"}{"&amp;TEXT(G618,$H$13)&amp;"}%"&amp;H618</f>
        <v>\newcommand{\ImpinstalstagePofInstalAWEGWPA}{97,6}%Transport</v>
      </c>
      <c r="J618" t="str">
        <f t="shared" ref="J618:J627" si="317">"\"&amp;D618&amp;E618&amp;F618&amp;C618</f>
        <v>\ImpinstalstagePofInstalAWEGWPA</v>
      </c>
      <c r="L618">
        <f>M618</f>
        <v>97.596327642300793</v>
      </c>
      <c r="M618">
        <f>100*L597/$V$605</f>
        <v>97.596327642300793</v>
      </c>
    </row>
    <row r="619" spans="2:35" x14ac:dyDescent="0.3">
      <c r="C619" t="s">
        <v>788</v>
      </c>
      <c r="D619" t="str">
        <f t="shared" ref="D619:F627" si="318">D618</f>
        <v>ImpinstalstagePofInstal</v>
      </c>
      <c r="E619" t="str">
        <f t="shared" si="318"/>
        <v>AWE</v>
      </c>
      <c r="F619" t="str">
        <f t="shared" si="318"/>
        <v>GWP</v>
      </c>
      <c r="G619" s="359">
        <f t="shared" si="315"/>
        <v>1.2062470847508844</v>
      </c>
      <c r="H619" t="str">
        <f t="shared" ref="H619:H627" si="319">H598</f>
        <v>digging</v>
      </c>
      <c r="I619" t="str">
        <f t="shared" si="316"/>
        <v>\newcommand{\ImpinstalstagePofInstalAWEGWPB}{1,2}%digging</v>
      </c>
      <c r="J619" t="str">
        <f t="shared" si="317"/>
        <v>\ImpinstalstagePofInstalAWEGWPB</v>
      </c>
      <c r="L619">
        <f t="shared" ref="L619:L621" si="320">M619</f>
        <v>1.2062470847508844</v>
      </c>
      <c r="M619">
        <f t="shared" ref="M619:M621" si="321">100*L598/$V$605</f>
        <v>1.2062470847508844</v>
      </c>
    </row>
    <row r="620" spans="2:35" x14ac:dyDescent="0.3">
      <c r="C620" t="s">
        <v>790</v>
      </c>
      <c r="D620" t="str">
        <f t="shared" si="318"/>
        <v>ImpinstalstagePofInstal</v>
      </c>
      <c r="E620" t="str">
        <f t="shared" si="318"/>
        <v>AWE</v>
      </c>
      <c r="F620" t="str">
        <f t="shared" si="318"/>
        <v>GWP</v>
      </c>
      <c r="G620" s="359">
        <f t="shared" si="315"/>
        <v>1.197425272948299</v>
      </c>
      <c r="H620" t="str">
        <f t="shared" si="319"/>
        <v>crane operation</v>
      </c>
      <c r="I620" t="str">
        <f t="shared" si="316"/>
        <v>\newcommand{\ImpinstalstagePofInstalAWEGWPC}{1,2}%crane operation</v>
      </c>
      <c r="J620" t="str">
        <f t="shared" si="317"/>
        <v>\ImpinstalstagePofInstalAWEGWPC</v>
      </c>
      <c r="L620">
        <f t="shared" si="320"/>
        <v>1.197425272948299</v>
      </c>
      <c r="M620">
        <f t="shared" si="321"/>
        <v>1.197425272948299</v>
      </c>
    </row>
    <row r="621" spans="2:35" x14ac:dyDescent="0.3">
      <c r="C621" t="s">
        <v>1786</v>
      </c>
      <c r="D621" t="str">
        <f t="shared" si="318"/>
        <v>ImpinstalstagePofInstal</v>
      </c>
      <c r="E621" t="str">
        <f t="shared" si="318"/>
        <v>AWE</v>
      </c>
      <c r="F621" t="str">
        <f t="shared" si="318"/>
        <v>GWP</v>
      </c>
      <c r="G621" s="359">
        <f t="shared" si="315"/>
        <v>100</v>
      </c>
      <c r="H621" t="str">
        <f t="shared" si="319"/>
        <v>Total</v>
      </c>
      <c r="I621" t="str">
        <f t="shared" si="316"/>
        <v>\newcommand{\ImpinstalstagePofInstalAWEGWPD}{100,0}%Total</v>
      </c>
      <c r="J621" t="str">
        <f t="shared" si="317"/>
        <v>\ImpinstalstagePofInstalAWEGWPD</v>
      </c>
      <c r="L621">
        <f t="shared" si="320"/>
        <v>100</v>
      </c>
      <c r="M621">
        <f t="shared" si="321"/>
        <v>100</v>
      </c>
    </row>
    <row r="622" spans="2:35" x14ac:dyDescent="0.3">
      <c r="C622" t="s">
        <v>1784</v>
      </c>
      <c r="D622" t="str">
        <f t="shared" si="318"/>
        <v>ImpinstalstagePofInstal</v>
      </c>
      <c r="E622" t="str">
        <f t="shared" si="318"/>
        <v>AWE</v>
      </c>
      <c r="F622" t="str">
        <f t="shared" si="318"/>
        <v>GWP</v>
      </c>
      <c r="G622" s="359">
        <f t="shared" si="315"/>
        <v>0</v>
      </c>
      <c r="H622">
        <f t="shared" si="319"/>
        <v>0</v>
      </c>
      <c r="I622" t="str">
        <f t="shared" si="316"/>
        <v>\newcommand{\ImpinstalstagePofInstalAWEGWPE}{0,0}%0</v>
      </c>
      <c r="J622" t="str">
        <f t="shared" si="317"/>
        <v>\ImpinstalstagePofInstalAWEGWPE</v>
      </c>
    </row>
    <row r="623" spans="2:35" x14ac:dyDescent="0.3">
      <c r="C623" t="s">
        <v>1783</v>
      </c>
      <c r="D623" t="str">
        <f t="shared" si="318"/>
        <v>ImpinstalstagePofInstal</v>
      </c>
      <c r="E623" s="42" t="s">
        <v>1142</v>
      </c>
      <c r="F623" t="str">
        <f t="shared" si="318"/>
        <v>GWP</v>
      </c>
      <c r="G623" s="359">
        <f t="shared" si="315"/>
        <v>98.083396899078295</v>
      </c>
      <c r="H623" t="str">
        <f t="shared" si="319"/>
        <v>Transport</v>
      </c>
      <c r="I623" t="str">
        <f t="shared" si="316"/>
        <v>\newcommand{\ImpinstalstagePofInstalHAWTGWPF}{98,1}%Transport</v>
      </c>
      <c r="J623" t="str">
        <f t="shared" si="317"/>
        <v>\ImpinstalstagePofInstalHAWTGWPF</v>
      </c>
      <c r="L623">
        <f>M623</f>
        <v>98.083396899078295</v>
      </c>
      <c r="M623">
        <f>100*L602/$V$601</f>
        <v>98.083396899078295</v>
      </c>
      <c r="V623" t="s">
        <v>1765</v>
      </c>
      <c r="W623" t="s">
        <v>32</v>
      </c>
      <c r="X623" t="s">
        <v>1765</v>
      </c>
      <c r="Y623" t="s">
        <v>817</v>
      </c>
      <c r="Z623" t="s">
        <v>1765</v>
      </c>
      <c r="AA623" t="s">
        <v>817</v>
      </c>
      <c r="AB623" t="s">
        <v>1765</v>
      </c>
      <c r="AC623" t="s">
        <v>162</v>
      </c>
      <c r="AD623" t="s">
        <v>1765</v>
      </c>
      <c r="AE623" t="s">
        <v>817</v>
      </c>
      <c r="AF623" t="s">
        <v>1765</v>
      </c>
      <c r="AG623" t="s">
        <v>817</v>
      </c>
      <c r="AH623" s="334" t="s">
        <v>1764</v>
      </c>
    </row>
    <row r="624" spans="2:35" x14ac:dyDescent="0.3">
      <c r="C624" t="s">
        <v>1782</v>
      </c>
      <c r="D624" t="str">
        <f t="shared" si="318"/>
        <v>ImpinstalstagePofInstal</v>
      </c>
      <c r="E624" t="str">
        <f t="shared" si="318"/>
        <v>HAWT</v>
      </c>
      <c r="F624" t="str">
        <f t="shared" si="318"/>
        <v>GWP</v>
      </c>
      <c r="G624" s="359">
        <f t="shared" si="315"/>
        <v>0.672698857400999</v>
      </c>
      <c r="H624" t="str">
        <f t="shared" si="319"/>
        <v>digging</v>
      </c>
      <c r="I624" t="str">
        <f t="shared" si="316"/>
        <v>\newcommand{\ImpinstalstagePofInstalHAWTGWPG}{0,7}%digging</v>
      </c>
      <c r="J624" t="str">
        <f t="shared" si="317"/>
        <v>\ImpinstalstagePofInstalHAWTGWPG</v>
      </c>
      <c r="L624">
        <f t="shared" ref="L624:L626" si="322">M624</f>
        <v>0.672698857400999</v>
      </c>
      <c r="M624">
        <f t="shared" ref="M624:M626" si="323">100*L603/$V$601</f>
        <v>0.672698857400999</v>
      </c>
      <c r="T624" t="s">
        <v>1908</v>
      </c>
      <c r="V624" t="s">
        <v>1765</v>
      </c>
      <c r="W624" s="14" t="str">
        <f>J600</f>
        <v>\ImpinstalstageAWEGWPD</v>
      </c>
      <c r="X624" t="s">
        <v>1765</v>
      </c>
      <c r="Y624" s="14" t="str">
        <f>J621</f>
        <v>\ImpinstalstagePofInstalAWEGWPD</v>
      </c>
      <c r="Z624" t="s">
        <v>1765</v>
      </c>
      <c r="AA624" t="str">
        <f>J644</f>
        <v>\ImpinstalstagePofTotAWEGWPD</v>
      </c>
      <c r="AB624" t="s">
        <v>1765</v>
      </c>
      <c r="AC624" t="str">
        <f>J610</f>
        <v>\ImpinstalstageHAWTCEDD</v>
      </c>
      <c r="AD624" t="s">
        <v>1765</v>
      </c>
      <c r="AE624" t="str">
        <f>J632</f>
        <v>\ImpinstalstagePofInstalAWECEDD</v>
      </c>
      <c r="AF624" t="s">
        <v>1765</v>
      </c>
      <c r="AG624" t="str">
        <f>J655</f>
        <v>\ImpinstalstagePofTotAWECEDD</v>
      </c>
      <c r="AH624" s="334" t="s">
        <v>1764</v>
      </c>
      <c r="AI624" t="s">
        <v>1775</v>
      </c>
    </row>
    <row r="625" spans="2:35" x14ac:dyDescent="0.3">
      <c r="C625" t="s">
        <v>1798</v>
      </c>
      <c r="D625" t="str">
        <f t="shared" si="318"/>
        <v>ImpinstalstagePofInstal</v>
      </c>
      <c r="E625" t="str">
        <f t="shared" si="318"/>
        <v>HAWT</v>
      </c>
      <c r="F625" t="str">
        <f t="shared" si="318"/>
        <v>GWP</v>
      </c>
      <c r="G625" s="359">
        <f t="shared" si="315"/>
        <v>1.2439042435207142</v>
      </c>
      <c r="H625" t="str">
        <f t="shared" si="319"/>
        <v>crane operation</v>
      </c>
      <c r="I625" t="str">
        <f t="shared" si="316"/>
        <v>\newcommand{\ImpinstalstagePofInstalHAWTGWPH}{1,2}%crane operation</v>
      </c>
      <c r="J625" t="str">
        <f t="shared" si="317"/>
        <v>\ImpinstalstagePofInstalHAWTGWPH</v>
      </c>
      <c r="L625">
        <f t="shared" si="322"/>
        <v>1.2439042435207142</v>
      </c>
      <c r="M625">
        <f t="shared" si="323"/>
        <v>1.2439042435207142</v>
      </c>
      <c r="T625" t="s">
        <v>1881</v>
      </c>
      <c r="U625" t="s">
        <v>43</v>
      </c>
      <c r="V625" t="s">
        <v>1765</v>
      </c>
      <c r="W625" t="str">
        <f>J597</f>
        <v>\ImpinstalstageAWEGWPA</v>
      </c>
      <c r="X625" t="s">
        <v>1765</v>
      </c>
      <c r="Y625" t="str">
        <f>J618</f>
        <v>\ImpinstalstagePofInstalAWEGWPA</v>
      </c>
      <c r="Z625" t="s">
        <v>1765</v>
      </c>
      <c r="AA625" t="str">
        <f>J641</f>
        <v>\ImpinstalstagePofTotAWEGWPA</v>
      </c>
      <c r="AB625" t="s">
        <v>1765</v>
      </c>
      <c r="AC625" t="str">
        <f>J607</f>
        <v>\ImpinstalstageHAWTCEDA</v>
      </c>
      <c r="AD625" t="s">
        <v>1765</v>
      </c>
      <c r="AE625" t="str">
        <f>J629</f>
        <v>\ImpinstalstagePofInstalAWECEDA</v>
      </c>
      <c r="AF625" t="s">
        <v>1765</v>
      </c>
      <c r="AG625" t="str">
        <f>J652</f>
        <v>\ImpinstalstagePofTotAWECEDA</v>
      </c>
      <c r="AH625" s="334" t="s">
        <v>1764</v>
      </c>
    </row>
    <row r="626" spans="2:35" x14ac:dyDescent="0.3">
      <c r="C626" t="s">
        <v>1796</v>
      </c>
      <c r="D626" t="str">
        <f t="shared" si="318"/>
        <v>ImpinstalstagePofInstal</v>
      </c>
      <c r="E626" t="str">
        <f t="shared" si="318"/>
        <v>HAWT</v>
      </c>
      <c r="F626" t="str">
        <f t="shared" si="318"/>
        <v>GWP</v>
      </c>
      <c r="G626" s="359">
        <f t="shared" si="315"/>
        <v>100</v>
      </c>
      <c r="H626" t="str">
        <f t="shared" si="319"/>
        <v>Total</v>
      </c>
      <c r="I626" t="str">
        <f t="shared" si="316"/>
        <v>\newcommand{\ImpinstalstagePofInstalHAWTGWPI}{100,0}%Total</v>
      </c>
      <c r="J626" t="str">
        <f t="shared" si="317"/>
        <v>\ImpinstalstagePofInstalHAWTGWPI</v>
      </c>
      <c r="L626">
        <f t="shared" si="322"/>
        <v>100</v>
      </c>
      <c r="M626">
        <f t="shared" si="323"/>
        <v>100</v>
      </c>
      <c r="T626" t="s">
        <v>1881</v>
      </c>
      <c r="U626" t="s">
        <v>67</v>
      </c>
      <c r="V626" t="s">
        <v>1765</v>
      </c>
      <c r="W626" t="str">
        <f>J598</f>
        <v>\ImpinstalstageAWEGWPB</v>
      </c>
      <c r="X626" t="s">
        <v>1765</v>
      </c>
      <c r="Y626" t="str">
        <f>J619</f>
        <v>\ImpinstalstagePofInstalAWEGWPB</v>
      </c>
      <c r="Z626" t="s">
        <v>1765</v>
      </c>
      <c r="AA626" t="str">
        <f>J642</f>
        <v>\ImpinstalstagePofTotAWEGWPB</v>
      </c>
      <c r="AB626" t="s">
        <v>1765</v>
      </c>
      <c r="AC626" t="str">
        <f t="shared" ref="AC626:AC627" si="324">J608</f>
        <v>\ImpinstalstageHAWTCEDB</v>
      </c>
      <c r="AD626" t="s">
        <v>1765</v>
      </c>
      <c r="AE626" t="str">
        <f>J630</f>
        <v>\ImpinstalstagePofInstalAWECEDB</v>
      </c>
      <c r="AF626" t="s">
        <v>1765</v>
      </c>
      <c r="AG626" t="str">
        <f>J653</f>
        <v>\ImpinstalstagePofTotAWECEDB</v>
      </c>
      <c r="AH626" s="334" t="s">
        <v>1764</v>
      </c>
    </row>
    <row r="627" spans="2:35" x14ac:dyDescent="0.3">
      <c r="C627" t="s">
        <v>1794</v>
      </c>
      <c r="D627" t="str">
        <f t="shared" si="318"/>
        <v>ImpinstalstagePofInstal</v>
      </c>
      <c r="E627" t="str">
        <f t="shared" si="318"/>
        <v>HAWT</v>
      </c>
      <c r="F627" t="str">
        <f t="shared" si="318"/>
        <v>GWP</v>
      </c>
      <c r="G627" s="359">
        <f t="shared" si="315"/>
        <v>0</v>
      </c>
      <c r="H627">
        <f t="shared" si="319"/>
        <v>0</v>
      </c>
      <c r="I627" t="str">
        <f t="shared" si="316"/>
        <v>\newcommand{\ImpinstalstagePofInstalHAWTGWPJ}{0,0}%0</v>
      </c>
      <c r="J627" t="str">
        <f t="shared" si="317"/>
        <v>\ImpinstalstagePofInstalHAWTGWPJ</v>
      </c>
      <c r="T627" t="s">
        <v>1881</v>
      </c>
      <c r="U627" t="s">
        <v>1907</v>
      </c>
      <c r="V627" t="s">
        <v>1765</v>
      </c>
      <c r="W627" t="str">
        <f>J599</f>
        <v>\ImpinstalstageAWEGWPC</v>
      </c>
      <c r="X627" t="s">
        <v>1765</v>
      </c>
      <c r="Y627" t="str">
        <f>J620</f>
        <v>\ImpinstalstagePofInstalAWEGWPC</v>
      </c>
      <c r="Z627" t="s">
        <v>1765</v>
      </c>
      <c r="AA627" t="str">
        <f>J643</f>
        <v>\ImpinstalstagePofTotAWEGWPC</v>
      </c>
      <c r="AB627" t="s">
        <v>1765</v>
      </c>
      <c r="AC627" t="str">
        <f t="shared" si="324"/>
        <v>\ImpinstalstageHAWTCEDC</v>
      </c>
      <c r="AD627" t="s">
        <v>1765</v>
      </c>
      <c r="AE627" t="str">
        <f>J631</f>
        <v>\ImpinstalstagePofInstalAWECEDC</v>
      </c>
      <c r="AF627" t="s">
        <v>1765</v>
      </c>
      <c r="AG627" t="str">
        <f>J654</f>
        <v>\ImpinstalstagePofTotAWECEDC</v>
      </c>
      <c r="AH627" s="334" t="s">
        <v>1764</v>
      </c>
      <c r="AI627" t="s">
        <v>1775</v>
      </c>
    </row>
    <row r="628" spans="2:35" x14ac:dyDescent="0.3">
      <c r="T628" t="s">
        <v>1909</v>
      </c>
      <c r="V628" t="s">
        <v>1765</v>
      </c>
      <c r="W628" t="str">
        <f>J605</f>
        <v>\ImpinstalstageHAWTGWPI</v>
      </c>
      <c r="X628" t="s">
        <v>1765</v>
      </c>
      <c r="Y628" t="str">
        <f>J626</f>
        <v>\ImpinstalstagePofInstalHAWTGWPI</v>
      </c>
      <c r="Z628" t="s">
        <v>1765</v>
      </c>
      <c r="AA628" t="str">
        <f>J649</f>
        <v>\ImpinstalstagePofTotHAWTGWPI</v>
      </c>
      <c r="AB628" t="s">
        <v>1765</v>
      </c>
      <c r="AC628" t="str">
        <f>J615</f>
        <v>\ImpinstalstageHAWTCEDI</v>
      </c>
      <c r="AD628" t="s">
        <v>1765</v>
      </c>
      <c r="AE628" t="str">
        <f>J637</f>
        <v>\ImpinstalstagePofInstalHAWTCEDI</v>
      </c>
      <c r="AF628" t="s">
        <v>1765</v>
      </c>
      <c r="AG628" t="str">
        <f>J660</f>
        <v>\ImpinstalstagePofTotHAWTCEDI</v>
      </c>
      <c r="AH628" s="334" t="s">
        <v>1764</v>
      </c>
      <c r="AI628" t="s">
        <v>1775</v>
      </c>
    </row>
    <row r="629" spans="2:35" x14ac:dyDescent="0.3">
      <c r="C629" s="42" t="s">
        <v>720</v>
      </c>
      <c r="D629" s="42" t="s">
        <v>1905</v>
      </c>
      <c r="E629" s="42" t="s">
        <v>1172</v>
      </c>
      <c r="F629" t="s">
        <v>162</v>
      </c>
      <c r="G629" s="359">
        <f t="shared" ref="G629:G637" si="325">L629</f>
        <v>97.504759684454598</v>
      </c>
      <c r="H629" t="str">
        <f>H597</f>
        <v>Transport</v>
      </c>
      <c r="I629" t="str">
        <f t="shared" ref="I629:I638" si="326">"\newcommand{"&amp;J629&amp;"}{"&amp;TEXT(G629,$H$13)&amp;"}%"&amp;H629</f>
        <v>\newcommand{\ImpinstalstagePofInstalAWECEDA}{97,5}%Transport</v>
      </c>
      <c r="J629" t="str">
        <f t="shared" ref="J629:J638" si="327">"\"&amp;D629&amp;E629&amp;F629&amp;C629</f>
        <v>\ImpinstalstagePofInstalAWECEDA</v>
      </c>
      <c r="L629">
        <f>M629</f>
        <v>97.504759684454598</v>
      </c>
      <c r="M629">
        <f>100*L607/$V$606</f>
        <v>97.504759684454598</v>
      </c>
      <c r="T629" t="s">
        <v>1881</v>
      </c>
      <c r="U629" t="s">
        <v>43</v>
      </c>
      <c r="V629" t="s">
        <v>1765</v>
      </c>
      <c r="W629" t="str">
        <f>J602</f>
        <v>\ImpinstalstageHAWTGWPF</v>
      </c>
      <c r="X629" t="s">
        <v>1765</v>
      </c>
      <c r="Y629" t="str">
        <f>J623</f>
        <v>\ImpinstalstagePofInstalHAWTGWPF</v>
      </c>
      <c r="Z629" t="s">
        <v>1765</v>
      </c>
      <c r="AA629" t="str">
        <f>J646</f>
        <v>\ImpinstalstagePofTotHAWTGWPF</v>
      </c>
      <c r="AB629" t="s">
        <v>1765</v>
      </c>
      <c r="AC629" t="str">
        <f>J612</f>
        <v>\ImpinstalstageHAWTCEDF</v>
      </c>
      <c r="AD629" t="s">
        <v>1765</v>
      </c>
      <c r="AE629" t="str">
        <f>J634</f>
        <v>\ImpinstalstagePofInstalHAWTCEDF</v>
      </c>
      <c r="AF629" t="s">
        <v>1765</v>
      </c>
      <c r="AG629" t="str">
        <f>J657</f>
        <v>\ImpinstalstagePofTotHAWTCEDF</v>
      </c>
      <c r="AH629" s="334" t="s">
        <v>1764</v>
      </c>
    </row>
    <row r="630" spans="2:35" x14ac:dyDescent="0.3">
      <c r="C630" t="s">
        <v>788</v>
      </c>
      <c r="D630" t="str">
        <f t="shared" ref="D630:F638" si="328">D629</f>
        <v>ImpinstalstagePofInstal</v>
      </c>
      <c r="E630" t="str">
        <f t="shared" si="328"/>
        <v>AWE</v>
      </c>
      <c r="F630" t="str">
        <f t="shared" si="328"/>
        <v>CED</v>
      </c>
      <c r="G630" s="359">
        <f t="shared" si="325"/>
        <v>1.2492998300837033</v>
      </c>
      <c r="H630" t="str">
        <f t="shared" ref="H630:H637" si="329">H598</f>
        <v>digging</v>
      </c>
      <c r="I630" t="str">
        <f t="shared" si="326"/>
        <v>\newcommand{\ImpinstalstagePofInstalAWECEDB}{1,2}%digging</v>
      </c>
      <c r="J630" t="str">
        <f t="shared" si="327"/>
        <v>\ImpinstalstagePofInstalAWECEDB</v>
      </c>
      <c r="L630">
        <f t="shared" ref="L630:L632" si="330">M630</f>
        <v>1.2492998300837033</v>
      </c>
      <c r="M630">
        <f t="shared" ref="M630:M632" si="331">100*L608/$V$606</f>
        <v>1.2492998300837033</v>
      </c>
      <c r="T630" t="s">
        <v>1881</v>
      </c>
      <c r="U630" t="s">
        <v>67</v>
      </c>
      <c r="V630" t="s">
        <v>1765</v>
      </c>
      <c r="W630" t="str">
        <f t="shared" ref="W630:W631" si="332">J603</f>
        <v>\ImpinstalstageHAWTGWPG</v>
      </c>
      <c r="X630" t="s">
        <v>1765</v>
      </c>
      <c r="Y630" t="str">
        <f t="shared" ref="Y630:Y631" si="333">J624</f>
        <v>\ImpinstalstagePofInstalHAWTGWPG</v>
      </c>
      <c r="Z630" t="s">
        <v>1765</v>
      </c>
      <c r="AA630" t="str">
        <f t="shared" ref="AA630:AA631" si="334">J647</f>
        <v>\ImpinstalstagePofTotHAWTGWPG</v>
      </c>
      <c r="AB630" t="s">
        <v>1765</v>
      </c>
      <c r="AC630" t="str">
        <f t="shared" ref="AC630:AC631" si="335">J613</f>
        <v>\ImpinstalstageHAWTCEDG</v>
      </c>
      <c r="AD630" t="s">
        <v>1765</v>
      </c>
      <c r="AE630" t="str">
        <f t="shared" ref="AE630:AE631" si="336">J635</f>
        <v>\ImpinstalstagePofInstalHAWTCEDG</v>
      </c>
      <c r="AF630" t="s">
        <v>1765</v>
      </c>
      <c r="AG630" t="str">
        <f t="shared" ref="AG630:AG631" si="337">J658</f>
        <v>\ImpinstalstagePofTotHAWTCEDG</v>
      </c>
      <c r="AH630" s="334" t="s">
        <v>1764</v>
      </c>
    </row>
    <row r="631" spans="2:35" x14ac:dyDescent="0.3">
      <c r="C631" t="s">
        <v>790</v>
      </c>
      <c r="D631" t="str">
        <f t="shared" si="328"/>
        <v>ImpinstalstagePofInstal</v>
      </c>
      <c r="E631" t="str">
        <f t="shared" si="328"/>
        <v>AWE</v>
      </c>
      <c r="F631" t="str">
        <f t="shared" si="328"/>
        <v>CED</v>
      </c>
      <c r="G631" s="359">
        <f t="shared" si="325"/>
        <v>1.2459404854617053</v>
      </c>
      <c r="H631" t="str">
        <f t="shared" si="329"/>
        <v>crane operation</v>
      </c>
      <c r="I631" t="str">
        <f t="shared" si="326"/>
        <v>\newcommand{\ImpinstalstagePofInstalAWECEDC}{1,2}%crane operation</v>
      </c>
      <c r="J631" t="str">
        <f t="shared" si="327"/>
        <v>\ImpinstalstagePofInstalAWECEDC</v>
      </c>
      <c r="L631">
        <f t="shared" si="330"/>
        <v>1.2459404854617053</v>
      </c>
      <c r="M631">
        <f t="shared" si="331"/>
        <v>1.2459404854617053</v>
      </c>
      <c r="T631" t="s">
        <v>1881</v>
      </c>
      <c r="U631" t="s">
        <v>1907</v>
      </c>
      <c r="V631" t="s">
        <v>1765</v>
      </c>
      <c r="W631" t="str">
        <f t="shared" si="332"/>
        <v>\ImpinstalstageHAWTGWPH</v>
      </c>
      <c r="X631" t="s">
        <v>1765</v>
      </c>
      <c r="Y631" t="str">
        <f t="shared" si="333"/>
        <v>\ImpinstalstagePofInstalHAWTGWPH</v>
      </c>
      <c r="Z631" t="s">
        <v>1765</v>
      </c>
      <c r="AA631" t="str">
        <f t="shared" si="334"/>
        <v>\ImpinstalstagePofTotHAWTGWPH</v>
      </c>
      <c r="AB631" t="s">
        <v>1765</v>
      </c>
      <c r="AC631" t="str">
        <f t="shared" si="335"/>
        <v>\ImpinstalstageHAWTCEDH</v>
      </c>
      <c r="AD631" t="s">
        <v>1765</v>
      </c>
      <c r="AE631" t="str">
        <f t="shared" si="336"/>
        <v>\ImpinstalstagePofInstalHAWTCEDH</v>
      </c>
      <c r="AF631" t="s">
        <v>1765</v>
      </c>
      <c r="AG631" t="str">
        <f t="shared" si="337"/>
        <v>\ImpinstalstagePofTotHAWTCEDH</v>
      </c>
      <c r="AH631" s="334" t="s">
        <v>1764</v>
      </c>
    </row>
    <row r="632" spans="2:35" x14ac:dyDescent="0.3">
      <c r="C632" t="s">
        <v>1786</v>
      </c>
      <c r="D632" t="str">
        <f t="shared" si="328"/>
        <v>ImpinstalstagePofInstal</v>
      </c>
      <c r="E632" t="str">
        <f t="shared" si="328"/>
        <v>AWE</v>
      </c>
      <c r="F632" t="str">
        <f t="shared" si="328"/>
        <v>CED</v>
      </c>
      <c r="G632" s="359">
        <f t="shared" si="325"/>
        <v>100</v>
      </c>
      <c r="H632" t="str">
        <f t="shared" si="329"/>
        <v>Total</v>
      </c>
      <c r="I632" t="str">
        <f t="shared" si="326"/>
        <v>\newcommand{\ImpinstalstagePofInstalAWECEDD}{100,0}%Total</v>
      </c>
      <c r="J632" t="str">
        <f t="shared" si="327"/>
        <v>\ImpinstalstagePofInstalAWECEDD</v>
      </c>
      <c r="L632">
        <f t="shared" si="330"/>
        <v>100</v>
      </c>
      <c r="M632">
        <f t="shared" si="331"/>
        <v>100</v>
      </c>
    </row>
    <row r="633" spans="2:35" ht="23.4" customHeight="1" x14ac:dyDescent="0.3">
      <c r="C633" t="s">
        <v>1784</v>
      </c>
      <c r="D633" t="str">
        <f t="shared" si="328"/>
        <v>ImpinstalstagePofInstal</v>
      </c>
      <c r="E633" t="str">
        <f t="shared" si="328"/>
        <v>AWE</v>
      </c>
      <c r="F633" t="str">
        <f t="shared" si="328"/>
        <v>CED</v>
      </c>
      <c r="G633" s="359">
        <f t="shared" si="325"/>
        <v>0</v>
      </c>
      <c r="H633">
        <f t="shared" si="329"/>
        <v>0</v>
      </c>
      <c r="I633" t="str">
        <f t="shared" si="326"/>
        <v>\newcommand{\ImpinstalstagePofInstalAWECEDE}{0,0}%0</v>
      </c>
      <c r="J633" t="str">
        <f t="shared" si="327"/>
        <v>\ImpinstalstagePofInstalAWECEDE</v>
      </c>
    </row>
    <row r="634" spans="2:35" x14ac:dyDescent="0.3">
      <c r="C634" t="s">
        <v>1783</v>
      </c>
      <c r="D634" t="str">
        <f t="shared" si="328"/>
        <v>ImpinstalstagePofInstal</v>
      </c>
      <c r="E634" s="42" t="s">
        <v>1142</v>
      </c>
      <c r="F634" t="str">
        <f t="shared" si="328"/>
        <v>CED</v>
      </c>
      <c r="G634" s="359">
        <f t="shared" si="325"/>
        <v>98.014148406222134</v>
      </c>
      <c r="H634" t="str">
        <f t="shared" si="329"/>
        <v>Transport</v>
      </c>
      <c r="I634" t="str">
        <f t="shared" si="326"/>
        <v>\newcommand{\ImpinstalstagePofInstalHAWTCEDF}{98,0}%Transport</v>
      </c>
      <c r="J634" t="str">
        <f t="shared" si="327"/>
        <v>\ImpinstalstagePofInstalHAWTCEDF</v>
      </c>
      <c r="L634">
        <f>M634</f>
        <v>98.014148406222134</v>
      </c>
      <c r="M634">
        <f>100*L612/$V$602</f>
        <v>98.014148406222134</v>
      </c>
    </row>
    <row r="635" spans="2:35" x14ac:dyDescent="0.3">
      <c r="C635" t="s">
        <v>1782</v>
      </c>
      <c r="D635" t="str">
        <f t="shared" si="328"/>
        <v>ImpinstalstagePofInstal</v>
      </c>
      <c r="E635" t="str">
        <f t="shared" si="328"/>
        <v>HAWT</v>
      </c>
      <c r="F635" t="str">
        <f t="shared" si="328"/>
        <v>CED</v>
      </c>
      <c r="G635" s="359">
        <f t="shared" si="325"/>
        <v>0.69490303031675271</v>
      </c>
      <c r="H635" t="str">
        <f t="shared" si="329"/>
        <v>digging</v>
      </c>
      <c r="I635" t="str">
        <f t="shared" si="326"/>
        <v>\newcommand{\ImpinstalstagePofInstalHAWTCEDG}{0,7}%digging</v>
      </c>
      <c r="J635" t="str">
        <f t="shared" si="327"/>
        <v>\ImpinstalstagePofInstalHAWTCEDG</v>
      </c>
      <c r="L635">
        <f t="shared" ref="L635:L637" si="338">M635</f>
        <v>0.69490303031675271</v>
      </c>
      <c r="M635">
        <f t="shared" ref="M635:M637" si="339">100*L613/$V$602</f>
        <v>0.69490303031675271</v>
      </c>
      <c r="W635" s="14" t="str">
        <f>J611</f>
        <v>\ImpinstalstageHAWTCEDE</v>
      </c>
    </row>
    <row r="636" spans="2:35" x14ac:dyDescent="0.3">
      <c r="C636" t="s">
        <v>1798</v>
      </c>
      <c r="D636" t="str">
        <f t="shared" si="328"/>
        <v>ImpinstalstagePofInstal</v>
      </c>
      <c r="E636" t="str">
        <f t="shared" si="328"/>
        <v>HAWT</v>
      </c>
      <c r="F636" t="str">
        <f t="shared" si="328"/>
        <v>CED</v>
      </c>
      <c r="G636" s="359">
        <f t="shared" si="325"/>
        <v>1.2909485634611217</v>
      </c>
      <c r="H636" t="str">
        <f t="shared" si="329"/>
        <v>crane operation</v>
      </c>
      <c r="I636" t="str">
        <f t="shared" si="326"/>
        <v>\newcommand{\ImpinstalstagePofInstalHAWTCEDH}{1,3}%crane operation</v>
      </c>
      <c r="J636" t="str">
        <f t="shared" si="327"/>
        <v>\ImpinstalstagePofInstalHAWTCEDH</v>
      </c>
      <c r="L636">
        <f t="shared" si="338"/>
        <v>1.2909485634611217</v>
      </c>
      <c r="M636">
        <f t="shared" si="339"/>
        <v>1.2909485634611217</v>
      </c>
      <c r="W636" t="str">
        <f>J608</f>
        <v>\ImpinstalstageHAWTCEDB</v>
      </c>
    </row>
    <row r="637" spans="2:35" x14ac:dyDescent="0.3">
      <c r="C637" t="s">
        <v>1796</v>
      </c>
      <c r="D637" t="str">
        <f t="shared" si="328"/>
        <v>ImpinstalstagePofInstal</v>
      </c>
      <c r="E637" t="str">
        <f t="shared" si="328"/>
        <v>HAWT</v>
      </c>
      <c r="F637" t="str">
        <f t="shared" si="328"/>
        <v>CED</v>
      </c>
      <c r="G637" s="359">
        <f t="shared" si="325"/>
        <v>100</v>
      </c>
      <c r="H637" t="str">
        <f t="shared" si="329"/>
        <v>Total</v>
      </c>
      <c r="I637" t="str">
        <f t="shared" si="326"/>
        <v>\newcommand{\ImpinstalstagePofInstalHAWTCEDI}{100,0}%Total</v>
      </c>
      <c r="J637" t="str">
        <f t="shared" si="327"/>
        <v>\ImpinstalstagePofInstalHAWTCEDI</v>
      </c>
      <c r="L637">
        <f t="shared" si="338"/>
        <v>100</v>
      </c>
      <c r="M637">
        <f t="shared" si="339"/>
        <v>100</v>
      </c>
      <c r="W637" t="str">
        <f>J609</f>
        <v>\ImpinstalstageHAWTCEDC</v>
      </c>
    </row>
    <row r="638" spans="2:35" x14ac:dyDescent="0.3">
      <c r="C638" t="s">
        <v>1794</v>
      </c>
      <c r="D638" t="str">
        <f t="shared" si="328"/>
        <v>ImpinstalstagePofInstal</v>
      </c>
      <c r="E638" t="str">
        <f t="shared" si="328"/>
        <v>HAWT</v>
      </c>
      <c r="F638" t="str">
        <f t="shared" si="328"/>
        <v>CED</v>
      </c>
      <c r="G638" s="359">
        <f>L638</f>
        <v>0</v>
      </c>
      <c r="I638" t="str">
        <f t="shared" si="326"/>
        <v>\newcommand{\ImpinstalstagePofInstalHAWTCEDJ}{0,0}%</v>
      </c>
      <c r="J638" t="str">
        <f t="shared" si="327"/>
        <v>\ImpinstalstagePofInstalHAWTCEDJ</v>
      </c>
      <c r="W638" t="str">
        <f>J610</f>
        <v>\ImpinstalstageHAWTCEDD</v>
      </c>
    </row>
    <row r="640" spans="2:35" x14ac:dyDescent="0.3">
      <c r="B640" s="42" t="s">
        <v>1875</v>
      </c>
      <c r="C640" s="42"/>
      <c r="E640" s="42" t="s">
        <v>1172</v>
      </c>
      <c r="F640" s="42" t="s">
        <v>1910</v>
      </c>
      <c r="H640" s="42" t="s">
        <v>1791</v>
      </c>
      <c r="I640" s="42" t="str">
        <f>"%" &amp;F640 &amp;H640 &amp;B640 &amp;H640  &amp;E640</f>
        <v>%Installation phase impacts.% of all impacts.AWE</v>
      </c>
      <c r="J640" s="42" t="str">
        <f>"\"&amp;B640&amp;E640&amp;F640</f>
        <v>\% of all impactsAWEInstallation phase impacts</v>
      </c>
    </row>
    <row r="641" spans="2:43" x14ac:dyDescent="0.3">
      <c r="C641" s="42" t="s">
        <v>720</v>
      </c>
      <c r="D641" s="42" t="s">
        <v>1906</v>
      </c>
      <c r="E641" t="str">
        <f>E596</f>
        <v>AWE</v>
      </c>
      <c r="F641" t="s">
        <v>32</v>
      </c>
      <c r="G641" s="359">
        <f t="shared" ref="G641:G649" si="340">L641</f>
        <v>4.0682970180108544</v>
      </c>
      <c r="H641" t="str">
        <f>H597</f>
        <v>Transport</v>
      </c>
      <c r="I641" t="str">
        <f t="shared" ref="I641:I650" si="341">"\newcommand{"&amp;J641&amp;"}{"&amp;TEXT(G641,$H$13)&amp;"}%"&amp;H641</f>
        <v>\newcommand{\ImpinstalstagePofTotAWEGWPA}{4,1}%Transport</v>
      </c>
      <c r="J641" t="str">
        <f t="shared" ref="J641:J650" si="342">"\"&amp;D641&amp;E641&amp;F641&amp;C641</f>
        <v>\ImpinstalstagePofTotAWEGWPA</v>
      </c>
      <c r="L641">
        <f>M641</f>
        <v>4.0682970180108544</v>
      </c>
      <c r="M641">
        <f>100*L597/$S$605</f>
        <v>4.0682970180108544</v>
      </c>
    </row>
    <row r="642" spans="2:43" x14ac:dyDescent="0.3">
      <c r="C642" t="s">
        <v>788</v>
      </c>
      <c r="D642" t="str">
        <f t="shared" ref="D642:F650" si="343">D641</f>
        <v>ImpinstalstagePofTot</v>
      </c>
      <c r="E642" t="str">
        <f t="shared" si="343"/>
        <v>AWE</v>
      </c>
      <c r="F642" t="str">
        <f t="shared" si="343"/>
        <v>GWP</v>
      </c>
      <c r="G642" s="359">
        <f t="shared" si="340"/>
        <v>5.0282336809457234E-2</v>
      </c>
      <c r="H642" t="str">
        <f t="shared" ref="H642:H650" si="344">H598</f>
        <v>digging</v>
      </c>
      <c r="I642" t="str">
        <f t="shared" si="341"/>
        <v>\newcommand{\ImpinstalstagePofTotAWEGWPB}{0,1}%digging</v>
      </c>
      <c r="J642" t="str">
        <f t="shared" si="342"/>
        <v>\ImpinstalstagePofTotAWEGWPB</v>
      </c>
      <c r="L642">
        <f t="shared" ref="L642:L643" si="345">M642</f>
        <v>5.0282336809457234E-2</v>
      </c>
      <c r="M642">
        <f t="shared" ref="M642:M644" si="346">100*L598/$S$605</f>
        <v>5.0282336809457234E-2</v>
      </c>
    </row>
    <row r="643" spans="2:43" x14ac:dyDescent="0.3">
      <c r="C643" t="s">
        <v>790</v>
      </c>
      <c r="D643" t="str">
        <f t="shared" si="343"/>
        <v>ImpinstalstagePofTot</v>
      </c>
      <c r="E643" t="str">
        <f t="shared" si="343"/>
        <v>AWE</v>
      </c>
      <c r="F643" t="str">
        <f t="shared" si="343"/>
        <v>GWP</v>
      </c>
      <c r="G643" s="359">
        <f t="shared" si="340"/>
        <v>4.9914600117750445E-2</v>
      </c>
      <c r="H643" t="str">
        <f t="shared" si="344"/>
        <v>crane operation</v>
      </c>
      <c r="I643" t="str">
        <f t="shared" si="341"/>
        <v>\newcommand{\ImpinstalstagePofTotAWEGWPC}{0,0}%crane operation</v>
      </c>
      <c r="J643" t="str">
        <f t="shared" si="342"/>
        <v>\ImpinstalstagePofTotAWEGWPC</v>
      </c>
      <c r="L643">
        <f t="shared" si="345"/>
        <v>4.9914600117750445E-2</v>
      </c>
      <c r="M643">
        <f t="shared" si="346"/>
        <v>4.9914600117750445E-2</v>
      </c>
    </row>
    <row r="644" spans="2:43" x14ac:dyDescent="0.3">
      <c r="C644" t="s">
        <v>1786</v>
      </c>
      <c r="D644" t="str">
        <f t="shared" si="343"/>
        <v>ImpinstalstagePofTot</v>
      </c>
      <c r="E644" t="str">
        <f t="shared" si="343"/>
        <v>AWE</v>
      </c>
      <c r="F644" t="str">
        <f t="shared" si="343"/>
        <v>GWP</v>
      </c>
      <c r="G644" s="359">
        <f t="shared" si="340"/>
        <v>4.1684939549380626</v>
      </c>
      <c r="H644" t="str">
        <f t="shared" si="344"/>
        <v>Total</v>
      </c>
      <c r="I644" t="str">
        <f t="shared" si="341"/>
        <v>\newcommand{\ImpinstalstagePofTotAWEGWPD}{4,2}%Total</v>
      </c>
      <c r="J644" t="str">
        <f t="shared" si="342"/>
        <v>\ImpinstalstagePofTotAWEGWPD</v>
      </c>
      <c r="L644">
        <f>M644</f>
        <v>4.1684939549380626</v>
      </c>
      <c r="M644">
        <f t="shared" si="346"/>
        <v>4.1684939549380626</v>
      </c>
    </row>
    <row r="645" spans="2:43" x14ac:dyDescent="0.3">
      <c r="C645" t="s">
        <v>1784</v>
      </c>
      <c r="D645" t="str">
        <f t="shared" si="343"/>
        <v>ImpinstalstagePofTot</v>
      </c>
      <c r="E645" t="str">
        <f t="shared" si="343"/>
        <v>AWE</v>
      </c>
      <c r="F645" t="str">
        <f t="shared" si="343"/>
        <v>GWP</v>
      </c>
      <c r="G645" s="359">
        <f>L645</f>
        <v>0</v>
      </c>
      <c r="H645">
        <f t="shared" si="344"/>
        <v>0</v>
      </c>
      <c r="I645" t="str">
        <f t="shared" si="341"/>
        <v>\newcommand{\ImpinstalstagePofTotAWEGWPE}{0,0}%0</v>
      </c>
      <c r="J645" t="str">
        <f t="shared" si="342"/>
        <v>\ImpinstalstagePofTotAWEGWPE</v>
      </c>
    </row>
    <row r="646" spans="2:43" x14ac:dyDescent="0.3">
      <c r="C646" t="s">
        <v>1783</v>
      </c>
      <c r="D646" t="str">
        <f t="shared" si="343"/>
        <v>ImpinstalstagePofTot</v>
      </c>
      <c r="E646" t="s">
        <v>1142</v>
      </c>
      <c r="F646" t="str">
        <f t="shared" si="343"/>
        <v>GWP</v>
      </c>
      <c r="G646" s="359">
        <f t="shared" si="340"/>
        <v>5.3244045463231</v>
      </c>
      <c r="H646" t="str">
        <f t="shared" si="344"/>
        <v>Transport</v>
      </c>
      <c r="I646" t="str">
        <f t="shared" si="341"/>
        <v>\newcommand{\ImpinstalstagePofTotHAWTGWPF}{5,3}%Transport</v>
      </c>
      <c r="J646" t="str">
        <f t="shared" si="342"/>
        <v>\ImpinstalstagePofTotHAWTGWPF</v>
      </c>
      <c r="L646">
        <f>M646</f>
        <v>5.3244045463231</v>
      </c>
      <c r="M646">
        <f>100*L602/$S$601</f>
        <v>5.3244045463231</v>
      </c>
    </row>
    <row r="647" spans="2:43" s="70" customFormat="1" x14ac:dyDescent="0.3">
      <c r="B647"/>
      <c r="C647" t="s">
        <v>1782</v>
      </c>
      <c r="D647" t="str">
        <f t="shared" si="343"/>
        <v>ImpinstalstagePofTot</v>
      </c>
      <c r="E647" t="str">
        <f t="shared" si="343"/>
        <v>HAWT</v>
      </c>
      <c r="F647" t="str">
        <f t="shared" si="343"/>
        <v>GWP</v>
      </c>
      <c r="G647" s="359">
        <f t="shared" si="340"/>
        <v>3.6517096347484804E-2</v>
      </c>
      <c r="H647" t="str">
        <f t="shared" si="344"/>
        <v>digging</v>
      </c>
      <c r="I647" t="str">
        <f t="shared" si="341"/>
        <v>\newcommand{\ImpinstalstagePofTotHAWTGWPG}{0,0}%digging</v>
      </c>
      <c r="J647" t="str">
        <f t="shared" si="342"/>
        <v>\ImpinstalstagePofTotHAWTGWPG</v>
      </c>
      <c r="K647"/>
      <c r="L647">
        <f t="shared" ref="L647:L649" si="347">M647</f>
        <v>3.6517096347484804E-2</v>
      </c>
      <c r="M647">
        <f t="shared" ref="M647:M649" si="348">100*L603/$S$601</f>
        <v>3.6517096347484804E-2</v>
      </c>
      <c r="N647"/>
      <c r="O647"/>
      <c r="P647"/>
      <c r="Q647"/>
      <c r="R647"/>
      <c r="S647"/>
      <c r="T647"/>
      <c r="U647"/>
      <c r="V647"/>
      <c r="X647"/>
      <c r="Y647"/>
      <c r="Z647"/>
      <c r="AA647"/>
      <c r="AB647"/>
      <c r="AD647"/>
      <c r="AE647"/>
    </row>
    <row r="648" spans="2:43" x14ac:dyDescent="0.3">
      <c r="C648" t="s">
        <v>1798</v>
      </c>
      <c r="D648" t="str">
        <f t="shared" si="343"/>
        <v>ImpinstalstagePofTot</v>
      </c>
      <c r="E648" t="str">
        <f t="shared" si="343"/>
        <v>HAWT</v>
      </c>
      <c r="F648" t="str">
        <f t="shared" si="343"/>
        <v>GWP</v>
      </c>
      <c r="G648" s="359">
        <f t="shared" si="340"/>
        <v>6.7524674091446815E-2</v>
      </c>
      <c r="H648" t="str">
        <f t="shared" si="344"/>
        <v>crane operation</v>
      </c>
      <c r="I648" t="str">
        <f t="shared" si="341"/>
        <v>\newcommand{\ImpinstalstagePofTotHAWTGWPH}{0,1}%crane operation</v>
      </c>
      <c r="J648" t="str">
        <f t="shared" si="342"/>
        <v>\ImpinstalstagePofTotHAWTGWPH</v>
      </c>
      <c r="L648">
        <f t="shared" si="347"/>
        <v>6.7524674091446815E-2</v>
      </c>
      <c r="M648">
        <f t="shared" si="348"/>
        <v>6.7524674091446815E-2</v>
      </c>
    </row>
    <row r="649" spans="2:43" x14ac:dyDescent="0.3">
      <c r="C649" t="s">
        <v>1796</v>
      </c>
      <c r="D649" t="str">
        <f t="shared" si="343"/>
        <v>ImpinstalstagePofTot</v>
      </c>
      <c r="E649" t="str">
        <f t="shared" si="343"/>
        <v>HAWT</v>
      </c>
      <c r="F649" t="str">
        <f t="shared" si="343"/>
        <v>GWP</v>
      </c>
      <c r="G649" s="359">
        <f t="shared" si="340"/>
        <v>5.4284463167620318</v>
      </c>
      <c r="H649" t="str">
        <f t="shared" si="344"/>
        <v>Total</v>
      </c>
      <c r="I649" t="str">
        <f t="shared" si="341"/>
        <v>\newcommand{\ImpinstalstagePofTotHAWTGWPI}{5,4}%Total</v>
      </c>
      <c r="J649" t="str">
        <f t="shared" si="342"/>
        <v>\ImpinstalstagePofTotHAWTGWPI</v>
      </c>
      <c r="L649">
        <f t="shared" si="347"/>
        <v>5.4284463167620318</v>
      </c>
      <c r="M649">
        <f t="shared" si="348"/>
        <v>5.4284463167620318</v>
      </c>
    </row>
    <row r="650" spans="2:43" x14ac:dyDescent="0.3">
      <c r="C650" t="s">
        <v>1794</v>
      </c>
      <c r="D650" t="str">
        <f t="shared" si="343"/>
        <v>ImpinstalstagePofTot</v>
      </c>
      <c r="E650" t="str">
        <f t="shared" si="343"/>
        <v>HAWT</v>
      </c>
      <c r="F650" t="str">
        <f t="shared" si="343"/>
        <v>GWP</v>
      </c>
      <c r="G650" s="359">
        <f>N661</f>
        <v>0</v>
      </c>
      <c r="H650">
        <f t="shared" si="344"/>
        <v>0</v>
      </c>
      <c r="I650" t="str">
        <f t="shared" si="341"/>
        <v>\newcommand{\ImpinstalstagePofTotHAWTGWPJ}{0,0}%0</v>
      </c>
      <c r="J650" t="str">
        <f t="shared" si="342"/>
        <v>\ImpinstalstagePofTotHAWTGWPJ</v>
      </c>
    </row>
    <row r="652" spans="2:43" x14ac:dyDescent="0.3">
      <c r="C652" s="42" t="s">
        <v>720</v>
      </c>
      <c r="D652" s="42" t="s">
        <v>1906</v>
      </c>
      <c r="E652" t="s">
        <v>1172</v>
      </c>
      <c r="F652" t="s">
        <v>162</v>
      </c>
      <c r="G652" s="359">
        <f>L652</f>
        <v>3.5647803767140904</v>
      </c>
      <c r="H652" t="str">
        <f>H597</f>
        <v>Transport</v>
      </c>
      <c r="I652" t="str">
        <f t="shared" ref="I652:I661" si="349">"\newcommand{"&amp;J652&amp;"}{"&amp;TEXT(G652,$H$13)&amp;"}%"&amp;H652</f>
        <v>\newcommand{\ImpinstalstagePofTotAWECEDA}{3,6}%Transport</v>
      </c>
      <c r="J652" t="str">
        <f t="shared" ref="J652:J661" si="350">"\"&amp;D652&amp;E652&amp;F652&amp;C652</f>
        <v>\ImpinstalstagePofTotAWECEDA</v>
      </c>
      <c r="L652">
        <f>M652</f>
        <v>3.5647803767140904</v>
      </c>
      <c r="M652">
        <f>100*L607/$S$606</f>
        <v>3.5647803767140904</v>
      </c>
    </row>
    <row r="653" spans="2:43" x14ac:dyDescent="0.3">
      <c r="C653" t="s">
        <v>788</v>
      </c>
      <c r="D653" t="str">
        <f t="shared" ref="D653:F661" si="351">D652</f>
        <v>ImpinstalstagePofTot</v>
      </c>
      <c r="E653" t="str">
        <f t="shared" si="351"/>
        <v>AWE</v>
      </c>
      <c r="F653" t="str">
        <f t="shared" si="351"/>
        <v>CED</v>
      </c>
      <c r="G653" s="359">
        <f t="shared" ref="G653:G658" si="352">L653</f>
        <v>4.5674483310630232E-2</v>
      </c>
      <c r="H653" t="str">
        <f t="shared" ref="H653:H661" si="353">H598</f>
        <v>digging</v>
      </c>
      <c r="I653" t="str">
        <f t="shared" si="349"/>
        <v>\newcommand{\ImpinstalstagePofTotAWECEDB}{0,0}%digging</v>
      </c>
      <c r="J653" t="str">
        <f t="shared" si="350"/>
        <v>\ImpinstalstagePofTotAWECEDB</v>
      </c>
      <c r="L653">
        <f t="shared" ref="L653:L655" si="354">M653</f>
        <v>4.5674483310630232E-2</v>
      </c>
      <c r="M653">
        <f t="shared" ref="M653:M655" si="355">100*L608/$S$606</f>
        <v>4.5674483310630232E-2</v>
      </c>
    </row>
    <row r="654" spans="2:43" x14ac:dyDescent="0.3">
      <c r="C654" t="s">
        <v>790</v>
      </c>
      <c r="D654" t="str">
        <f t="shared" si="351"/>
        <v>ImpinstalstagePofTot</v>
      </c>
      <c r="E654" t="str">
        <f t="shared" si="351"/>
        <v>AWE</v>
      </c>
      <c r="F654" t="str">
        <f t="shared" si="351"/>
        <v>CED</v>
      </c>
      <c r="G654" s="359">
        <f t="shared" si="352"/>
        <v>4.555166545203674E-2</v>
      </c>
      <c r="H654" t="str">
        <f t="shared" si="353"/>
        <v>crane operation</v>
      </c>
      <c r="I654" t="str">
        <f t="shared" si="349"/>
        <v>\newcommand{\ImpinstalstagePofTotAWECEDC}{0,0}%crane operation</v>
      </c>
      <c r="J654" t="str">
        <f t="shared" si="350"/>
        <v>\ImpinstalstagePofTotAWECEDC</v>
      </c>
      <c r="L654">
        <f t="shared" si="354"/>
        <v>4.555166545203674E-2</v>
      </c>
      <c r="M654">
        <f t="shared" si="355"/>
        <v>4.555166545203674E-2</v>
      </c>
    </row>
    <row r="655" spans="2:43" x14ac:dyDescent="0.3">
      <c r="C655" t="s">
        <v>1786</v>
      </c>
      <c r="D655" t="str">
        <f t="shared" si="351"/>
        <v>ImpinstalstagePofTot</v>
      </c>
      <c r="E655" t="str">
        <f t="shared" si="351"/>
        <v>AWE</v>
      </c>
      <c r="F655" t="str">
        <f t="shared" si="351"/>
        <v>CED</v>
      </c>
      <c r="G655" s="359">
        <f t="shared" si="352"/>
        <v>3.6560065254767569</v>
      </c>
      <c r="H655" t="str">
        <f t="shared" si="353"/>
        <v>Total</v>
      </c>
      <c r="I655" t="str">
        <f t="shared" si="349"/>
        <v>\newcommand{\ImpinstalstagePofTotAWECEDD}{3,7}%Total</v>
      </c>
      <c r="J655" t="str">
        <f t="shared" si="350"/>
        <v>\ImpinstalstagePofTotAWECEDD</v>
      </c>
      <c r="L655">
        <f t="shared" si="354"/>
        <v>3.6560065254767569</v>
      </c>
      <c r="M655">
        <f t="shared" si="355"/>
        <v>3.6560065254767569</v>
      </c>
      <c r="AD655" t="s">
        <v>1765</v>
      </c>
      <c r="AE655" t="s">
        <v>32</v>
      </c>
      <c r="AF655" t="s">
        <v>1765</v>
      </c>
      <c r="AG655" t="s">
        <v>817</v>
      </c>
      <c r="AH655" t="s">
        <v>1765</v>
      </c>
      <c r="AI655" t="s">
        <v>817</v>
      </c>
      <c r="AJ655" t="s">
        <v>1765</v>
      </c>
      <c r="AK655" t="s">
        <v>162</v>
      </c>
      <c r="AL655" t="s">
        <v>1765</v>
      </c>
      <c r="AM655" t="s">
        <v>817</v>
      </c>
      <c r="AN655" t="s">
        <v>1765</v>
      </c>
      <c r="AO655" t="s">
        <v>817</v>
      </c>
      <c r="AP655" s="334" t="s">
        <v>1764</v>
      </c>
    </row>
    <row r="656" spans="2:43" x14ac:dyDescent="0.3">
      <c r="C656" t="s">
        <v>1784</v>
      </c>
      <c r="D656" t="str">
        <f t="shared" si="351"/>
        <v>ImpinstalstagePofTot</v>
      </c>
      <c r="E656" t="str">
        <f t="shared" si="351"/>
        <v>AWE</v>
      </c>
      <c r="F656" t="str">
        <f t="shared" si="351"/>
        <v>CED</v>
      </c>
      <c r="G656" s="359">
        <f t="shared" si="352"/>
        <v>0</v>
      </c>
      <c r="H656">
        <f t="shared" si="353"/>
        <v>0</v>
      </c>
      <c r="I656" t="str">
        <f t="shared" si="349"/>
        <v>\newcommand{\ImpinstalstagePofTotAWECEDE}{0,0}%0</v>
      </c>
      <c r="J656" t="str">
        <f t="shared" si="350"/>
        <v>\ImpinstalstagePofTotAWECEDE</v>
      </c>
      <c r="AB656" t="s">
        <v>1945</v>
      </c>
      <c r="AD656" t="s">
        <v>1765</v>
      </c>
      <c r="AE656" s="14" t="str">
        <f>J672</f>
        <v>\ImpEOLstageAWEGWPD</v>
      </c>
      <c r="AF656" t="s">
        <v>1765</v>
      </c>
      <c r="AG656" s="14" t="str">
        <f>J693</f>
        <v>\ImpEOLstagePofInstalAWEGWPD</v>
      </c>
      <c r="AH656" t="s">
        <v>1765</v>
      </c>
      <c r="AI656" s="14" t="str">
        <f>J716</f>
        <v>\ImpEOLstagePofTotAWEGWPD</v>
      </c>
      <c r="AJ656" t="s">
        <v>1765</v>
      </c>
      <c r="AK656" s="14" t="str">
        <f>J682</f>
        <v>\ImpEOLstageHAWTCEDD</v>
      </c>
      <c r="AL656" t="s">
        <v>1765</v>
      </c>
      <c r="AM656" s="14" t="str">
        <f>J704</f>
        <v>\ImpEOLstagePofInstalAWECEDD</v>
      </c>
      <c r="AN656" t="s">
        <v>1765</v>
      </c>
      <c r="AO656" s="14" t="str">
        <f>J727</f>
        <v>\ImpEOLstagePofTotAWECEDD</v>
      </c>
      <c r="AP656" s="334" t="s">
        <v>1764</v>
      </c>
      <c r="AQ656" t="s">
        <v>1775</v>
      </c>
    </row>
    <row r="657" spans="1:43" x14ac:dyDescent="0.3">
      <c r="C657" t="s">
        <v>1783</v>
      </c>
      <c r="D657" t="str">
        <f t="shared" si="351"/>
        <v>ImpinstalstagePofTot</v>
      </c>
      <c r="E657" t="s">
        <v>1142</v>
      </c>
      <c r="F657" t="str">
        <f t="shared" si="351"/>
        <v>CED</v>
      </c>
      <c r="G657" s="359">
        <f t="shared" si="352"/>
        <v>5.0894518594828408</v>
      </c>
      <c r="H657" t="str">
        <f t="shared" si="353"/>
        <v>Transport</v>
      </c>
      <c r="I657" t="str">
        <f t="shared" si="349"/>
        <v>\newcommand{\ImpinstalstagePofTotHAWTCEDF}{5,1}%Transport</v>
      </c>
      <c r="J657" t="str">
        <f t="shared" si="350"/>
        <v>\ImpinstalstagePofTotHAWTCEDF</v>
      </c>
      <c r="L657">
        <f>M657</f>
        <v>5.0894518594828408</v>
      </c>
      <c r="M657">
        <f>100*L612/$S$602</f>
        <v>5.0894518594828408</v>
      </c>
      <c r="AB657" t="s">
        <v>1881</v>
      </c>
      <c r="AC657" t="s">
        <v>43</v>
      </c>
      <c r="AD657" t="s">
        <v>1765</v>
      </c>
      <c r="AE657" t="str">
        <f>J669</f>
        <v>\ImpEOLstageAWEGWPA</v>
      </c>
      <c r="AF657" t="s">
        <v>1765</v>
      </c>
      <c r="AG657" t="str">
        <f>J690</f>
        <v>\ImpEOLstagePofInstalAWEGWPA</v>
      </c>
      <c r="AH657" t="s">
        <v>1765</v>
      </c>
      <c r="AI657" t="str">
        <f>J713</f>
        <v>\ImpEOLstagePofTotAWEGWPA</v>
      </c>
      <c r="AJ657" t="s">
        <v>1765</v>
      </c>
      <c r="AK657" t="str">
        <f>J679</f>
        <v>\ImpEOLstageHAWTCEDA</v>
      </c>
      <c r="AL657" t="s">
        <v>1765</v>
      </c>
      <c r="AM657" t="str">
        <f>J701</f>
        <v>\ImpEOLstagePofInstalAWECEDA</v>
      </c>
      <c r="AN657" t="s">
        <v>1765</v>
      </c>
      <c r="AO657" t="str">
        <f>J724</f>
        <v>\ImpEOLstagePofTotAWECEDA</v>
      </c>
      <c r="AP657" s="334" t="s">
        <v>1764</v>
      </c>
    </row>
    <row r="658" spans="1:43" x14ac:dyDescent="0.3">
      <c r="C658" t="s">
        <v>1782</v>
      </c>
      <c r="D658" t="str">
        <f t="shared" si="351"/>
        <v>ImpinstalstagePofTot</v>
      </c>
      <c r="E658" t="str">
        <f t="shared" si="351"/>
        <v>HAWT</v>
      </c>
      <c r="F658" t="str">
        <f t="shared" si="351"/>
        <v>CED</v>
      </c>
      <c r="G658" s="359">
        <f t="shared" si="352"/>
        <v>3.6083316310090423E-2</v>
      </c>
      <c r="H658" t="str">
        <f t="shared" si="353"/>
        <v>digging</v>
      </c>
      <c r="I658" t="str">
        <f t="shared" si="349"/>
        <v>\newcommand{\ImpinstalstagePofTotHAWTCEDG}{0,0}%digging</v>
      </c>
      <c r="J658" t="str">
        <f t="shared" si="350"/>
        <v>\ImpinstalstagePofTotHAWTCEDG</v>
      </c>
      <c r="L658">
        <f t="shared" ref="L658:L659" si="356">M658</f>
        <v>3.6083316310090423E-2</v>
      </c>
      <c r="M658">
        <f t="shared" ref="M658:M660" si="357">100*L613/$S$602</f>
        <v>3.6083316310090423E-2</v>
      </c>
      <c r="AB658" t="s">
        <v>1881</v>
      </c>
      <c r="AC658" t="s">
        <v>1944</v>
      </c>
      <c r="AD658" t="s">
        <v>1765</v>
      </c>
      <c r="AE658" t="str">
        <f>J670</f>
        <v>\ImpEOLstageAWEGWPB</v>
      </c>
      <c r="AF658" t="s">
        <v>1765</v>
      </c>
      <c r="AG658" t="str">
        <f>J691</f>
        <v>\ImpEOLstagePofInstalAWEGWPB</v>
      </c>
      <c r="AH658" t="s">
        <v>1765</v>
      </c>
      <c r="AI658" t="str">
        <f>J714</f>
        <v>\ImpEOLstagePofTotAWEGWPB</v>
      </c>
      <c r="AJ658" t="s">
        <v>1765</v>
      </c>
      <c r="AK658" t="str">
        <f>J680</f>
        <v>\ImpEOLstageHAWTCEDB</v>
      </c>
      <c r="AL658" t="s">
        <v>1765</v>
      </c>
      <c r="AM658" t="str">
        <f>J702</f>
        <v>\ImpEOLstagePofInstalAWECEDB</v>
      </c>
      <c r="AN658" t="s">
        <v>1765</v>
      </c>
      <c r="AO658" t="str">
        <f>J725</f>
        <v>\ImpEOLstagePofTotAWECEDB</v>
      </c>
      <c r="AP658" s="334" t="s">
        <v>1764</v>
      </c>
    </row>
    <row r="659" spans="1:43" x14ac:dyDescent="0.3">
      <c r="C659" t="s">
        <v>1798</v>
      </c>
      <c r="D659" t="str">
        <f t="shared" si="351"/>
        <v>ImpinstalstagePofTot</v>
      </c>
      <c r="E659" t="str">
        <f t="shared" si="351"/>
        <v>HAWT</v>
      </c>
      <c r="F659" t="str">
        <f t="shared" si="351"/>
        <v>CED</v>
      </c>
      <c r="G659" s="359">
        <f>L659</f>
        <v>6.7033389297772222E-2</v>
      </c>
      <c r="H659" t="str">
        <f t="shared" si="353"/>
        <v>crane operation</v>
      </c>
      <c r="I659" t="str">
        <f t="shared" si="349"/>
        <v>\newcommand{\ImpinstalstagePofTotHAWTCEDH}{0,1}%crane operation</v>
      </c>
      <c r="J659" t="str">
        <f t="shared" si="350"/>
        <v>\ImpinstalstagePofTotHAWTCEDH</v>
      </c>
      <c r="L659">
        <f t="shared" si="356"/>
        <v>6.7033389297772222E-2</v>
      </c>
      <c r="M659">
        <f t="shared" si="357"/>
        <v>6.7033389297772222E-2</v>
      </c>
      <c r="AB659" t="s">
        <v>1881</v>
      </c>
      <c r="AC659" t="s">
        <v>1580</v>
      </c>
      <c r="AD659" t="s">
        <v>1765</v>
      </c>
      <c r="AE659" t="str">
        <f>J671</f>
        <v>\ImpEOLstageAWEGWPC</v>
      </c>
      <c r="AF659" t="s">
        <v>1765</v>
      </c>
      <c r="AG659" t="str">
        <f>J692</f>
        <v>\ImpEOLstagePofInstalAWEGWPC</v>
      </c>
      <c r="AH659" t="s">
        <v>1765</v>
      </c>
      <c r="AI659" t="str">
        <f>J715</f>
        <v>\ImpEOLstagePofTotAWEGWPC</v>
      </c>
      <c r="AJ659" t="s">
        <v>1765</v>
      </c>
      <c r="AK659" t="str">
        <f>J681</f>
        <v>\ImpEOLstageHAWTCEDC</v>
      </c>
      <c r="AL659" t="s">
        <v>1765</v>
      </c>
      <c r="AM659" t="str">
        <f>J703</f>
        <v>\ImpEOLstagePofInstalAWECEDC</v>
      </c>
      <c r="AN659" t="s">
        <v>1765</v>
      </c>
      <c r="AO659" t="str">
        <f>J726</f>
        <v>\ImpEOLstagePofTotAWECEDC</v>
      </c>
      <c r="AP659" s="334" t="s">
        <v>1764</v>
      </c>
      <c r="AQ659" t="s">
        <v>1775</v>
      </c>
    </row>
    <row r="660" spans="1:43" x14ac:dyDescent="0.3">
      <c r="C660" t="s">
        <v>1796</v>
      </c>
      <c r="D660" t="str">
        <f t="shared" si="351"/>
        <v>ImpinstalstagePofTot</v>
      </c>
      <c r="E660" t="str">
        <f t="shared" si="351"/>
        <v>HAWT</v>
      </c>
      <c r="F660" t="str">
        <f t="shared" si="351"/>
        <v>CED</v>
      </c>
      <c r="G660" s="359">
        <f>L660</f>
        <v>5.1925685650907036</v>
      </c>
      <c r="H660" t="str">
        <f t="shared" si="353"/>
        <v>Total</v>
      </c>
      <c r="I660" t="str">
        <f t="shared" si="349"/>
        <v>\newcommand{\ImpinstalstagePofTotHAWTCEDI}{5,2}%Total</v>
      </c>
      <c r="J660" t="str">
        <f t="shared" si="350"/>
        <v>\ImpinstalstagePofTotHAWTCEDI</v>
      </c>
      <c r="L660">
        <f>M660</f>
        <v>5.1925685650907036</v>
      </c>
      <c r="M660">
        <f t="shared" si="357"/>
        <v>5.1925685650907036</v>
      </c>
      <c r="AB660" t="s">
        <v>1946</v>
      </c>
      <c r="AD660" t="s">
        <v>1765</v>
      </c>
      <c r="AE660" t="str">
        <f>J677</f>
        <v>\ImpEOLstageHAWTGWPI</v>
      </c>
      <c r="AF660" t="s">
        <v>1765</v>
      </c>
      <c r="AG660" t="str">
        <f>J698</f>
        <v>\ImpEOLstagePofInstalHAWTGWPI</v>
      </c>
      <c r="AH660" t="s">
        <v>1765</v>
      </c>
      <c r="AI660" t="str">
        <f>J721</f>
        <v>\ImpEOLstagePofTotHAWTGWPI</v>
      </c>
      <c r="AJ660" t="s">
        <v>1765</v>
      </c>
      <c r="AK660" t="str">
        <f>J687</f>
        <v>\ImpEOLstageHAWTCEDI</v>
      </c>
      <c r="AL660" t="s">
        <v>1765</v>
      </c>
      <c r="AM660" t="str">
        <f>J709</f>
        <v>\ImpEOLstagePofInstalHAWTCEDI</v>
      </c>
      <c r="AN660" t="s">
        <v>1765</v>
      </c>
      <c r="AO660" t="str">
        <f>J732</f>
        <v>\ImpEOLstagePofTotHAWTCEDI</v>
      </c>
      <c r="AP660" s="334" t="s">
        <v>1764</v>
      </c>
      <c r="AQ660" t="s">
        <v>1775</v>
      </c>
    </row>
    <row r="661" spans="1:43" x14ac:dyDescent="0.3">
      <c r="C661" t="s">
        <v>1794</v>
      </c>
      <c r="D661" t="str">
        <f t="shared" si="351"/>
        <v>ImpinstalstagePofTot</v>
      </c>
      <c r="E661" t="str">
        <f t="shared" si="351"/>
        <v>HAWT</v>
      </c>
      <c r="F661" t="str">
        <f t="shared" si="351"/>
        <v>CED</v>
      </c>
      <c r="G661" s="359">
        <f t="shared" ref="G661" si="358">L661</f>
        <v>0</v>
      </c>
      <c r="H661">
        <f t="shared" si="353"/>
        <v>0</v>
      </c>
      <c r="I661" t="str">
        <f t="shared" si="349"/>
        <v>\newcommand{\ImpinstalstagePofTotHAWTCEDJ}{0,0}%0</v>
      </c>
      <c r="J661" t="str">
        <f t="shared" si="350"/>
        <v>\ImpinstalstagePofTotHAWTCEDJ</v>
      </c>
      <c r="AB661" t="s">
        <v>1881</v>
      </c>
      <c r="AC661" t="s">
        <v>43</v>
      </c>
      <c r="AD661" t="s">
        <v>1765</v>
      </c>
      <c r="AE661" t="str">
        <f>J674</f>
        <v>\ImpEOLstageHAWTGWPF</v>
      </c>
      <c r="AF661" t="s">
        <v>1765</v>
      </c>
      <c r="AG661" t="str">
        <f>J695</f>
        <v>\ImpEOLstagePofInstalHAWTGWPF</v>
      </c>
      <c r="AH661" t="s">
        <v>1765</v>
      </c>
      <c r="AI661" t="str">
        <f>J718</f>
        <v>\ImpEOLstagePofTotHAWTGWPF</v>
      </c>
      <c r="AJ661" t="s">
        <v>1765</v>
      </c>
      <c r="AK661" t="str">
        <f>J684</f>
        <v>\ImpEOLstageHAWTCEDF</v>
      </c>
      <c r="AL661" t="s">
        <v>1765</v>
      </c>
      <c r="AM661" t="str">
        <f>J706</f>
        <v>\ImpEOLstagePofInstalHAWTCEDF</v>
      </c>
      <c r="AN661" t="s">
        <v>1765</v>
      </c>
      <c r="AO661" t="str">
        <f>J729</f>
        <v>\ImpEOLstagePofTotHAWTCEDF</v>
      </c>
      <c r="AP661" s="334" t="s">
        <v>1764</v>
      </c>
    </row>
    <row r="662" spans="1:43" x14ac:dyDescent="0.3">
      <c r="AB662" t="s">
        <v>1881</v>
      </c>
      <c r="AC662" t="s">
        <v>1944</v>
      </c>
      <c r="AD662" t="s">
        <v>1765</v>
      </c>
      <c r="AE662" t="str">
        <f>J675</f>
        <v>\ImpEOLstageHAWTGWPG</v>
      </c>
      <c r="AF662" t="s">
        <v>1765</v>
      </c>
      <c r="AG662" t="str">
        <f>J696</f>
        <v>\ImpEOLstagePofInstalHAWTGWPG</v>
      </c>
      <c r="AH662" t="s">
        <v>1765</v>
      </c>
      <c r="AI662" t="str">
        <f>J719</f>
        <v>\ImpEOLstagePofTotHAWTGWPG</v>
      </c>
      <c r="AJ662" t="s">
        <v>1765</v>
      </c>
      <c r="AK662" t="str">
        <f>J685</f>
        <v>\ImpEOLstageHAWTCEDG</v>
      </c>
      <c r="AL662" t="s">
        <v>1765</v>
      </c>
      <c r="AM662" t="str">
        <f>J707</f>
        <v>\ImpEOLstagePofInstalHAWTCEDG</v>
      </c>
      <c r="AN662" t="s">
        <v>1765</v>
      </c>
      <c r="AO662" t="str">
        <f>J730</f>
        <v>\ImpEOLstagePofTotHAWTCEDG</v>
      </c>
      <c r="AP662" s="334" t="s">
        <v>1764</v>
      </c>
    </row>
    <row r="663" spans="1:43" x14ac:dyDescent="0.3">
      <c r="AB663" t="s">
        <v>1881</v>
      </c>
      <c r="AC663" t="s">
        <v>1580</v>
      </c>
      <c r="AD663" t="s">
        <v>1765</v>
      </c>
      <c r="AE663" t="str">
        <f>J676</f>
        <v>\ImpEOLstageHAWTGWPH</v>
      </c>
      <c r="AF663" t="s">
        <v>1765</v>
      </c>
      <c r="AG663" t="str">
        <f>J697</f>
        <v>\ImpEOLstagePofInstalHAWTGWPH</v>
      </c>
      <c r="AH663" t="s">
        <v>1765</v>
      </c>
      <c r="AI663" t="str">
        <f>J720</f>
        <v>\ImpEOLstagePofTotHAWTGWPH</v>
      </c>
      <c r="AJ663" t="s">
        <v>1765</v>
      </c>
      <c r="AK663" t="str">
        <f>J686</f>
        <v>\ImpEOLstageHAWTCEDH</v>
      </c>
      <c r="AL663" t="s">
        <v>1765</v>
      </c>
      <c r="AM663" t="str">
        <f>J708</f>
        <v>\ImpEOLstagePofInstalHAWTCEDH</v>
      </c>
      <c r="AN663" t="s">
        <v>1765</v>
      </c>
      <c r="AO663" t="str">
        <f>J731</f>
        <v>\ImpEOLstagePofTotHAWTCEDH</v>
      </c>
      <c r="AP663" s="334" t="s">
        <v>1764</v>
      </c>
    </row>
    <row r="664" spans="1:43" x14ac:dyDescent="0.3">
      <c r="A664" s="70"/>
      <c r="B664" s="336" t="s">
        <v>47</v>
      </c>
      <c r="C664" s="47"/>
      <c r="D664" s="47"/>
      <c r="E664" s="47"/>
      <c r="F664" s="47"/>
      <c r="G664" s="361"/>
      <c r="H664" s="70"/>
      <c r="I664" s="70"/>
      <c r="J664" s="70"/>
      <c r="K664" s="70"/>
    </row>
    <row r="668" spans="1:43" x14ac:dyDescent="0.3">
      <c r="C668" s="42"/>
      <c r="D668" s="42"/>
      <c r="E668" s="42" t="s">
        <v>1172</v>
      </c>
      <c r="F668" s="42" t="s">
        <v>1947</v>
      </c>
      <c r="H668" s="42" t="s">
        <v>1791</v>
      </c>
      <c r="I668" s="42" t="str">
        <f>"%" &amp;F668 &amp;H668 &amp;D668 &amp;H668  &amp;E668</f>
        <v>%EOL phase impacts..AWE</v>
      </c>
      <c r="J668" s="42" t="str">
        <f>"\"&amp;D668&amp;E668&amp;F668</f>
        <v>\AWEEOL phase impacts</v>
      </c>
    </row>
    <row r="669" spans="1:43" x14ac:dyDescent="0.3">
      <c r="C669" s="42" t="s">
        <v>720</v>
      </c>
      <c r="D669" s="42" t="s">
        <v>1940</v>
      </c>
      <c r="E669" t="str">
        <f t="shared" ref="E669" si="359">E668</f>
        <v>AWE</v>
      </c>
      <c r="F669" t="s">
        <v>32</v>
      </c>
      <c r="G669" s="359">
        <f t="shared" ref="G669:G677" si="360">L669</f>
        <v>3.3923294353583378E-2</v>
      </c>
      <c r="H669" t="s">
        <v>43</v>
      </c>
      <c r="I669" t="str">
        <f t="shared" ref="I669:I677" si="361">"\newcommand{"&amp;J669&amp;"}{"&amp;TEXT(G669,$H$13)&amp;"}%"&amp;H669</f>
        <v>\newcommand{\ImpEOLstageAWEGWPA}{0,0}%Transport</v>
      </c>
      <c r="J669" t="str">
        <f t="shared" ref="J669:J677" si="362">"\"&amp;D669&amp;E669&amp;F669&amp;C669</f>
        <v>\ImpEOLstageAWEGWPA</v>
      </c>
      <c r="L669">
        <f>N669/$T$597</f>
        <v>3.3923294353583378E-2</v>
      </c>
      <c r="N669">
        <f>AWE!$F$666</f>
        <v>15690.473490774213</v>
      </c>
    </row>
    <row r="670" spans="1:43" x14ac:dyDescent="0.3">
      <c r="C670" t="s">
        <v>788</v>
      </c>
      <c r="D670" t="str">
        <f t="shared" ref="D670:F677" si="363">D669</f>
        <v>ImpEOLstage</v>
      </c>
      <c r="E670" t="str">
        <f t="shared" si="363"/>
        <v>AWE</v>
      </c>
      <c r="F670" t="str">
        <f t="shared" si="363"/>
        <v>GWP</v>
      </c>
      <c r="G670" s="359">
        <f t="shared" si="360"/>
        <v>0.22621625000811521</v>
      </c>
      <c r="H670" t="s">
        <v>1944</v>
      </c>
      <c r="I670" t="str">
        <f t="shared" si="361"/>
        <v>\newcommand{\ImpEOLstageAWEGWPB}{0,2}%Treatment</v>
      </c>
      <c r="J670" t="str">
        <f t="shared" si="362"/>
        <v>\ImpEOLstageAWEGWPB</v>
      </c>
      <c r="L670">
        <f t="shared" ref="L670:L671" si="364">N670/$T$597</f>
        <v>0.22621625000811521</v>
      </c>
      <c r="N670">
        <f>AWE!$F$665</f>
        <v>104631.34968375351</v>
      </c>
      <c r="R670" t="str">
        <f t="shared" ref="R670:V670" si="365">S600</f>
        <v>Total</v>
      </c>
      <c r="S670" t="str">
        <f t="shared" si="365"/>
        <v>manuf</v>
      </c>
      <c r="T670" t="str">
        <f t="shared" si="365"/>
        <v>Rotor</v>
      </c>
      <c r="U670" t="str">
        <f t="shared" si="365"/>
        <v>instal</v>
      </c>
      <c r="V670" t="str">
        <f t="shared" si="365"/>
        <v>EOL</v>
      </c>
    </row>
    <row r="671" spans="1:43" x14ac:dyDescent="0.3">
      <c r="C671" t="s">
        <v>790</v>
      </c>
      <c r="D671" t="str">
        <f t="shared" si="363"/>
        <v>ImpEOLstage</v>
      </c>
      <c r="E671" t="str">
        <f t="shared" si="363"/>
        <v>AWE</v>
      </c>
      <c r="F671" t="str">
        <f t="shared" si="363"/>
        <v>GWP</v>
      </c>
      <c r="G671" s="359">
        <f t="shared" si="360"/>
        <v>1.108495516033624E-2</v>
      </c>
      <c r="H671" t="s">
        <v>1580</v>
      </c>
      <c r="I671" t="str">
        <f t="shared" si="361"/>
        <v>\newcommand{\ImpEOLstageAWEGWPC}{0,0}%Disassembly</v>
      </c>
      <c r="J671" t="str">
        <f t="shared" si="362"/>
        <v>\ImpEOLstageAWEGWPC</v>
      </c>
      <c r="L671">
        <f t="shared" si="364"/>
        <v>1.108495516033624E-2</v>
      </c>
      <c r="N671">
        <f>AWE!$F$667</f>
        <v>5127.1021404000003</v>
      </c>
      <c r="P671" t="str">
        <f t="shared" ref="P671:V671" si="366">Q601</f>
        <v>HAWT GWP</v>
      </c>
      <c r="R671">
        <f t="shared" si="366"/>
        <v>12.978117802421346</v>
      </c>
      <c r="S671">
        <f t="shared" si="366"/>
        <v>11.145283831422619</v>
      </c>
      <c r="T671">
        <f t="shared" si="366"/>
        <v>2.6729859537173737</v>
      </c>
      <c r="U671">
        <f t="shared" si="366"/>
        <v>0.70451015783057913</v>
      </c>
      <c r="V671">
        <f t="shared" si="366"/>
        <v>0.39310824854226534</v>
      </c>
    </row>
    <row r="672" spans="1:43" x14ac:dyDescent="0.3">
      <c r="C672" t="s">
        <v>1786</v>
      </c>
      <c r="D672" t="str">
        <f t="shared" si="363"/>
        <v>ImpEOLstage</v>
      </c>
      <c r="E672" t="str">
        <f t="shared" si="363"/>
        <v>AWE</v>
      </c>
      <c r="F672" t="str">
        <f t="shared" si="363"/>
        <v>GWP</v>
      </c>
      <c r="G672" s="359">
        <f t="shared" si="360"/>
        <v>0.27122449952203481</v>
      </c>
      <c r="H672" t="s">
        <v>191</v>
      </c>
      <c r="I672" t="str">
        <f t="shared" si="361"/>
        <v>\newcommand{\ImpEOLstageAWEGWPD}{0,3}%Total</v>
      </c>
      <c r="J672" t="str">
        <f t="shared" si="362"/>
        <v>\ImpEOLstageAWEGWPD</v>
      </c>
      <c r="L672" s="14">
        <f>V675</f>
        <v>0.27122449952203481</v>
      </c>
      <c r="P672" t="str">
        <f t="shared" ref="P672:V672" si="367">Q602</f>
        <v>HAWT CED</v>
      </c>
      <c r="R672">
        <f t="shared" si="367"/>
        <v>195.01445049283734</v>
      </c>
      <c r="S672">
        <f t="shared" si="367"/>
        <v>171.27553331760996</v>
      </c>
      <c r="T672">
        <f t="shared" si="367"/>
        <v>51.634565239059953</v>
      </c>
      <c r="U672">
        <f t="shared" si="367"/>
        <v>10.126259053675444</v>
      </c>
      <c r="V672">
        <f t="shared" si="367"/>
        <v>3.5657236475020886</v>
      </c>
    </row>
    <row r="673" spans="3:27" x14ac:dyDescent="0.3">
      <c r="C673" t="s">
        <v>1784</v>
      </c>
      <c r="D673" t="str">
        <f t="shared" si="363"/>
        <v>ImpEOLstage</v>
      </c>
      <c r="E673" t="str">
        <f t="shared" si="363"/>
        <v>AWE</v>
      </c>
      <c r="F673" t="str">
        <f t="shared" si="363"/>
        <v>GWP</v>
      </c>
      <c r="G673" s="359">
        <f t="shared" si="360"/>
        <v>0</v>
      </c>
      <c r="I673" t="str">
        <f t="shared" si="361"/>
        <v>\newcommand{\ImpEOLstageAWEGWPE}{0,0}%</v>
      </c>
      <c r="J673" t="str">
        <f t="shared" si="362"/>
        <v>\ImpEOLstageAWEGWPE</v>
      </c>
    </row>
    <row r="674" spans="3:27" x14ac:dyDescent="0.3">
      <c r="C674" t="s">
        <v>1783</v>
      </c>
      <c r="D674" t="str">
        <f t="shared" si="363"/>
        <v>ImpEOLstage</v>
      </c>
      <c r="E674" t="s">
        <v>1142</v>
      </c>
      <c r="F674" t="str">
        <f t="shared" ref="F674" si="368">F673</f>
        <v>GWP</v>
      </c>
      <c r="G674" s="359">
        <f t="shared" si="360"/>
        <v>0.11869291109353108</v>
      </c>
      <c r="H674" t="s">
        <v>43</v>
      </c>
      <c r="I674" t="str">
        <f t="shared" si="361"/>
        <v>\newcommand{\ImpEOLstageHAWTGWPF}{0,1}%Transport</v>
      </c>
      <c r="J674" t="str">
        <f t="shared" si="362"/>
        <v>\ImpEOLstageHAWTGWPF</v>
      </c>
      <c r="L674">
        <f>M674</f>
        <v>0.11869291109353108</v>
      </c>
      <c r="M674">
        <f>N674/$T$596</f>
        <v>0.11869291109353108</v>
      </c>
      <c r="N674">
        <f>HAWT!$F$475</f>
        <v>48769.209177341276</v>
      </c>
      <c r="R674" t="str">
        <f t="shared" ref="R674:V674" si="369">S604</f>
        <v>Total</v>
      </c>
      <c r="S674" t="str">
        <f t="shared" si="369"/>
        <v>manuf</v>
      </c>
      <c r="T674" t="str">
        <f t="shared" si="369"/>
        <v>Aircraft</v>
      </c>
      <c r="U674" t="str">
        <f t="shared" si="369"/>
        <v>instal</v>
      </c>
      <c r="V674" t="str">
        <f t="shared" si="369"/>
        <v>EOL</v>
      </c>
    </row>
    <row r="675" spans="3:27" x14ac:dyDescent="0.3">
      <c r="C675" t="s">
        <v>1782</v>
      </c>
      <c r="D675" t="str">
        <f t="shared" si="363"/>
        <v>ImpEOLstage</v>
      </c>
      <c r="E675" t="str">
        <f t="shared" si="363"/>
        <v>HAWT</v>
      </c>
      <c r="F675" t="str">
        <f t="shared" si="363"/>
        <v>GWP</v>
      </c>
      <c r="G675" s="359">
        <f t="shared" si="360"/>
        <v>0.24153945762873869</v>
      </c>
      <c r="H675" t="s">
        <v>274</v>
      </c>
      <c r="I675" t="str">
        <f t="shared" si="361"/>
        <v>\newcommand{\ImpEOLstageHAWTGWPG}{0,2}%treatment</v>
      </c>
      <c r="J675" t="str">
        <f t="shared" si="362"/>
        <v>\ImpEOLstageHAWTGWPG</v>
      </c>
      <c r="L675">
        <f t="shared" ref="L675:L676" si="370">M675</f>
        <v>0.24153945762873869</v>
      </c>
      <c r="M675">
        <f t="shared" ref="M675:M676" si="371">N675/$T$596</f>
        <v>0.24153945762873869</v>
      </c>
      <c r="N675">
        <f>HAWT!$F$474</f>
        <v>99245.087386853425</v>
      </c>
      <c r="P675" t="str">
        <f t="shared" ref="P675:V675" si="372">Q605</f>
        <v>AWE GWP</v>
      </c>
      <c r="R675">
        <f t="shared" si="372"/>
        <v>7.7982924830457243</v>
      </c>
      <c r="S675">
        <f t="shared" si="372"/>
        <v>6.3215972714951443</v>
      </c>
      <c r="T675">
        <f t="shared" si="372"/>
        <v>1.0931828404476911</v>
      </c>
      <c r="U675">
        <f t="shared" si="372"/>
        <v>0.32507135074415039</v>
      </c>
      <c r="V675">
        <f t="shared" si="372"/>
        <v>0.27122449952203481</v>
      </c>
    </row>
    <row r="676" spans="3:27" x14ac:dyDescent="0.3">
      <c r="C676" t="s">
        <v>1798</v>
      </c>
      <c r="D676" t="str">
        <f t="shared" si="363"/>
        <v>ImpEOLstage</v>
      </c>
      <c r="E676" t="str">
        <f t="shared" si="363"/>
        <v>HAWT</v>
      </c>
      <c r="F676" t="str">
        <f t="shared" si="363"/>
        <v>GWP</v>
      </c>
      <c r="G676" s="359">
        <f t="shared" si="360"/>
        <v>3.2875879819995547E-2</v>
      </c>
      <c r="H676" t="s">
        <v>1580</v>
      </c>
      <c r="I676" t="str">
        <f t="shared" si="361"/>
        <v>\newcommand{\ImpEOLstageHAWTGWPH}{0,0}%Disassembly</v>
      </c>
      <c r="J676" t="str">
        <f t="shared" si="362"/>
        <v>\ImpEOLstageHAWTGWPH</v>
      </c>
      <c r="L676">
        <f t="shared" si="370"/>
        <v>3.2875879819995547E-2</v>
      </c>
      <c r="M676">
        <f t="shared" si="371"/>
        <v>3.2875879819995547E-2</v>
      </c>
      <c r="N676">
        <f>HAWT!$F$476</f>
        <v>13508.225934125558</v>
      </c>
      <c r="P676" t="str">
        <f t="shared" ref="P676:V676" si="373">Q606</f>
        <v>AWE CED</v>
      </c>
      <c r="R676">
        <f t="shared" si="373"/>
        <v>127.46959888687016</v>
      </c>
      <c r="S676">
        <f t="shared" si="373"/>
        <v>100.10052301845815</v>
      </c>
      <c r="T676">
        <f t="shared" si="373"/>
        <v>19.183701119376085</v>
      </c>
      <c r="U676">
        <f t="shared" si="373"/>
        <v>4.6602968533030209</v>
      </c>
      <c r="V676">
        <f t="shared" si="373"/>
        <v>1.0906210155760316</v>
      </c>
    </row>
    <row r="677" spans="3:27" x14ac:dyDescent="0.3">
      <c r="C677" t="s">
        <v>1796</v>
      </c>
      <c r="D677" t="str">
        <f t="shared" si="363"/>
        <v>ImpEOLstage</v>
      </c>
      <c r="E677" t="str">
        <f t="shared" si="363"/>
        <v>HAWT</v>
      </c>
      <c r="F677" t="str">
        <f t="shared" si="363"/>
        <v>GWP</v>
      </c>
      <c r="G677" s="359">
        <f t="shared" si="360"/>
        <v>0.39310824854226534</v>
      </c>
      <c r="H677" t="s">
        <v>191</v>
      </c>
      <c r="I677" t="str">
        <f t="shared" si="361"/>
        <v>\newcommand{\ImpEOLstageHAWTGWPI}{0,4}%Total</v>
      </c>
      <c r="J677" t="str">
        <f t="shared" si="362"/>
        <v>\ImpEOLstageHAWTGWPI</v>
      </c>
      <c r="L677">
        <f>V671</f>
        <v>0.39310824854226534</v>
      </c>
    </row>
    <row r="679" spans="3:27" x14ac:dyDescent="0.3">
      <c r="C679" s="42" t="s">
        <v>720</v>
      </c>
      <c r="D679" s="42" t="str">
        <f>D669</f>
        <v>ImpEOLstage</v>
      </c>
      <c r="E679" t="str">
        <f>E675</f>
        <v>HAWT</v>
      </c>
      <c r="F679" t="s">
        <v>162</v>
      </c>
      <c r="G679" s="359">
        <f t="shared" ref="G679:G687" si="374">L679</f>
        <v>0.5461174490044215</v>
      </c>
      <c r="H679" t="str">
        <f>H669</f>
        <v>Transport</v>
      </c>
      <c r="I679" t="str">
        <f t="shared" ref="I679:I687" si="375">"\newcommand{"&amp;J679&amp;"}{"&amp;TEXT(G679,$H$13)&amp;"}%"&amp;H679</f>
        <v>\newcommand{\ImpEOLstageHAWTCEDA}{0,5}%Transport</v>
      </c>
      <c r="J679" t="str">
        <f t="shared" ref="J679:J687" si="376">"\"&amp;D679&amp;E679&amp;F679&amp;C679</f>
        <v>\ImpEOLstageHAWTCEDA</v>
      </c>
      <c r="L679">
        <f>M679</f>
        <v>0.5461174490044215</v>
      </c>
      <c r="M679">
        <f>N679/$T$597</f>
        <v>0.5461174490044215</v>
      </c>
      <c r="N679">
        <f>AWE!$H$666</f>
        <v>252594.61145311708</v>
      </c>
    </row>
    <row r="680" spans="3:27" x14ac:dyDescent="0.3">
      <c r="C680" t="s">
        <v>788</v>
      </c>
      <c r="D680" t="str">
        <f t="shared" ref="D680:F680" si="377">D679</f>
        <v>ImpEOLstage</v>
      </c>
      <c r="E680" t="str">
        <f t="shared" si="377"/>
        <v>HAWT</v>
      </c>
      <c r="F680" t="str">
        <f t="shared" si="377"/>
        <v>CED</v>
      </c>
      <c r="G680" s="359">
        <f t="shared" si="374"/>
        <v>0.37940802768686854</v>
      </c>
      <c r="H680" t="str">
        <f t="shared" ref="H680:H687" si="378">H670</f>
        <v>Treatment</v>
      </c>
      <c r="I680" t="str">
        <f t="shared" si="375"/>
        <v>\newcommand{\ImpEOLstageHAWTCEDB}{0,4}%Treatment</v>
      </c>
      <c r="J680" t="str">
        <f t="shared" si="376"/>
        <v>\ImpEOLstageHAWTCEDB</v>
      </c>
      <c r="L680">
        <f t="shared" ref="L680:L681" si="379">M680</f>
        <v>0.37940802768686854</v>
      </c>
      <c r="M680">
        <f t="shared" ref="M680:M681" si="380">N680/$T$597</f>
        <v>0.37940802768686854</v>
      </c>
      <c r="N680">
        <f>AWE!$H$665</f>
        <v>175486.83622995194</v>
      </c>
    </row>
    <row r="681" spans="3:27" x14ac:dyDescent="0.3">
      <c r="C681" t="s">
        <v>790</v>
      </c>
      <c r="D681" t="str">
        <f t="shared" ref="D681:F681" si="381">D680</f>
        <v>ImpEOLstage</v>
      </c>
      <c r="E681" t="str">
        <f t="shared" si="381"/>
        <v>HAWT</v>
      </c>
      <c r="F681" t="str">
        <f t="shared" si="381"/>
        <v>CED</v>
      </c>
      <c r="G681" s="359">
        <f t="shared" si="374"/>
        <v>0.16509553888474163</v>
      </c>
      <c r="H681" t="str">
        <f t="shared" si="378"/>
        <v>Disassembly</v>
      </c>
      <c r="I681" t="str">
        <f t="shared" si="375"/>
        <v>\newcommand{\ImpEOLstageHAWTCEDC}{0,2}%Disassembly</v>
      </c>
      <c r="J681" t="str">
        <f t="shared" si="376"/>
        <v>\ImpEOLstageHAWTCEDC</v>
      </c>
      <c r="L681">
        <f t="shared" si="379"/>
        <v>0.16509553888474163</v>
      </c>
      <c r="M681">
        <f t="shared" si="380"/>
        <v>0.16509553888474163</v>
      </c>
      <c r="N681">
        <f>AWE!$H$667</f>
        <v>76361.309409281777</v>
      </c>
    </row>
    <row r="682" spans="3:27" x14ac:dyDescent="0.3">
      <c r="C682" t="s">
        <v>1786</v>
      </c>
      <c r="D682" t="str">
        <f t="shared" ref="D682:F682" si="382">D681</f>
        <v>ImpEOLstage</v>
      </c>
      <c r="E682" t="str">
        <f t="shared" si="382"/>
        <v>HAWT</v>
      </c>
      <c r="F682" t="str">
        <f t="shared" si="382"/>
        <v>CED</v>
      </c>
      <c r="G682" s="359">
        <f t="shared" si="374"/>
        <v>1.0906210155760316</v>
      </c>
      <c r="H682" t="str">
        <f t="shared" si="378"/>
        <v>Total</v>
      </c>
      <c r="I682" t="str">
        <f t="shared" si="375"/>
        <v>\newcommand{\ImpEOLstageHAWTCEDD}{1,1}%Total</v>
      </c>
      <c r="J682" t="str">
        <f t="shared" si="376"/>
        <v>\ImpEOLstageHAWTCEDD</v>
      </c>
      <c r="L682" s="14">
        <f>V676</f>
        <v>1.0906210155760316</v>
      </c>
    </row>
    <row r="683" spans="3:27" x14ac:dyDescent="0.3">
      <c r="C683" t="s">
        <v>1784</v>
      </c>
      <c r="D683" t="str">
        <f t="shared" ref="D683:F683" si="383">D682</f>
        <v>ImpEOLstage</v>
      </c>
      <c r="E683" t="str">
        <f t="shared" si="383"/>
        <v>HAWT</v>
      </c>
      <c r="F683" t="str">
        <f t="shared" si="383"/>
        <v>CED</v>
      </c>
      <c r="G683" s="359">
        <f t="shared" si="374"/>
        <v>0</v>
      </c>
      <c r="H683">
        <f t="shared" si="378"/>
        <v>0</v>
      </c>
      <c r="I683" t="str">
        <f t="shared" si="375"/>
        <v>\newcommand{\ImpEOLstageHAWTCEDE}{0,0}%0</v>
      </c>
      <c r="J683" t="str">
        <f t="shared" si="376"/>
        <v>\ImpEOLstageHAWTCEDE</v>
      </c>
    </row>
    <row r="684" spans="3:27" x14ac:dyDescent="0.3">
      <c r="C684" t="s">
        <v>1783</v>
      </c>
      <c r="D684" t="str">
        <f t="shared" ref="D684" si="384">D683</f>
        <v>ImpEOLstage</v>
      </c>
      <c r="E684" t="s">
        <v>1142</v>
      </c>
      <c r="F684" t="str">
        <f t="shared" ref="F684" si="385">F683</f>
        <v>CED</v>
      </c>
      <c r="G684" s="359">
        <f t="shared" si="374"/>
        <v>1.9676873837190054</v>
      </c>
      <c r="H684" t="str">
        <f t="shared" si="378"/>
        <v>Transport</v>
      </c>
      <c r="I684" t="str">
        <f t="shared" si="375"/>
        <v>\newcommand{\ImpEOLstageHAWTCEDF}{2,0}%Transport</v>
      </c>
      <c r="J684" t="str">
        <f t="shared" si="376"/>
        <v>\ImpEOLstageHAWTCEDF</v>
      </c>
      <c r="L684">
        <f>M684</f>
        <v>1.9676873837190054</v>
      </c>
      <c r="M684">
        <f>N684/$T$596</f>
        <v>1.9676873837190054</v>
      </c>
      <c r="N684">
        <f>HAWT!$H$475</f>
        <v>808494.43094868748</v>
      </c>
    </row>
    <row r="685" spans="3:27" x14ac:dyDescent="0.3">
      <c r="C685" t="s">
        <v>1782</v>
      </c>
      <c r="D685" t="str">
        <f t="shared" ref="D685:F685" si="386">D684</f>
        <v>ImpEOLstage</v>
      </c>
      <c r="E685" t="str">
        <f t="shared" si="386"/>
        <v>HAWT</v>
      </c>
      <c r="F685" t="str">
        <f t="shared" si="386"/>
        <v>CED</v>
      </c>
      <c r="G685" s="359">
        <f t="shared" si="374"/>
        <v>1.107883182644757</v>
      </c>
      <c r="H685" t="str">
        <f t="shared" si="378"/>
        <v>treatment</v>
      </c>
      <c r="I685" t="str">
        <f t="shared" si="375"/>
        <v>\newcommand{\ImpEOLstageHAWTCEDG}{1,1}%treatment</v>
      </c>
      <c r="J685" t="str">
        <f t="shared" si="376"/>
        <v>\ImpEOLstageHAWTCEDG</v>
      </c>
      <c r="L685">
        <f t="shared" ref="L685:L686" si="387">M685</f>
        <v>1.107883182644757</v>
      </c>
      <c r="M685">
        <f t="shared" ref="M685:M686" si="388">N685/$T$596</f>
        <v>1.107883182644757</v>
      </c>
      <c r="N685">
        <f>HAWT!$H$474</f>
        <v>455213.25730973232</v>
      </c>
    </row>
    <row r="686" spans="3:27" x14ac:dyDescent="0.3">
      <c r="C686" t="s">
        <v>1798</v>
      </c>
      <c r="D686" t="str">
        <f t="shared" ref="D686:F686" si="389">D685</f>
        <v>ImpEOLstage</v>
      </c>
      <c r="E686" t="str">
        <f t="shared" si="389"/>
        <v>HAWT</v>
      </c>
      <c r="F686" t="str">
        <f t="shared" si="389"/>
        <v>CED</v>
      </c>
      <c r="G686" s="359">
        <f t="shared" si="374"/>
        <v>0.49015308113832623</v>
      </c>
      <c r="H686" t="str">
        <f t="shared" si="378"/>
        <v>Disassembly</v>
      </c>
      <c r="I686" t="str">
        <f t="shared" si="375"/>
        <v>\newcommand{\ImpEOLstageHAWTCEDH}{0,5}%Disassembly</v>
      </c>
      <c r="J686" t="str">
        <f t="shared" si="376"/>
        <v>\ImpEOLstageHAWTCEDH</v>
      </c>
      <c r="L686">
        <f t="shared" si="387"/>
        <v>0.49015308113832623</v>
      </c>
      <c r="M686">
        <f t="shared" si="388"/>
        <v>0.49015308113832623</v>
      </c>
      <c r="N686">
        <f>HAWT!$H$476</f>
        <v>201396.84773690064</v>
      </c>
    </row>
    <row r="687" spans="3:27" x14ac:dyDescent="0.3">
      <c r="C687" t="s">
        <v>1796</v>
      </c>
      <c r="D687" t="str">
        <f t="shared" ref="D687:F687" si="390">D686</f>
        <v>ImpEOLstage</v>
      </c>
      <c r="E687" t="str">
        <f t="shared" si="390"/>
        <v>HAWT</v>
      </c>
      <c r="F687" t="str">
        <f t="shared" si="390"/>
        <v>CED</v>
      </c>
      <c r="G687" s="359">
        <f t="shared" si="374"/>
        <v>3.5657236475020886</v>
      </c>
      <c r="H687" t="str">
        <f t="shared" si="378"/>
        <v>Total</v>
      </c>
      <c r="I687" t="str">
        <f t="shared" si="375"/>
        <v>\newcommand{\ImpEOLstageHAWTCEDI}{3,6}%Total</v>
      </c>
      <c r="J687" t="str">
        <f t="shared" si="376"/>
        <v>\ImpEOLstageHAWTCEDI</v>
      </c>
      <c r="L687">
        <f>V672</f>
        <v>3.5657236475020886</v>
      </c>
      <c r="AA687" s="14"/>
    </row>
    <row r="689" spans="2:43" x14ac:dyDescent="0.3">
      <c r="B689" s="42" t="s">
        <v>1943</v>
      </c>
      <c r="C689" s="42"/>
      <c r="E689" s="42" t="s">
        <v>1172</v>
      </c>
      <c r="F689" s="42" t="s">
        <v>1947</v>
      </c>
      <c r="H689" s="42" t="s">
        <v>1791</v>
      </c>
      <c r="I689" s="42" t="str">
        <f>"%" &amp;F689 &amp;H689 &amp;B689 &amp;H689  &amp;E689</f>
        <v>%EOL phase impacts.% of EOL impacts.AWE</v>
      </c>
      <c r="J689" s="42" t="str">
        <f>"\"&amp;B689&amp;E689&amp;F689</f>
        <v>\% of EOL impactsAWEEOL phase impacts</v>
      </c>
    </row>
    <row r="690" spans="2:43" x14ac:dyDescent="0.3">
      <c r="C690" s="42" t="s">
        <v>720</v>
      </c>
      <c r="D690" s="42" t="s">
        <v>1941</v>
      </c>
      <c r="E690" s="42" t="s">
        <v>1172</v>
      </c>
      <c r="F690" t="s">
        <v>32</v>
      </c>
      <c r="G690" s="359">
        <f t="shared" ref="G690:G699" si="391">L690</f>
        <v>12.50745947116307</v>
      </c>
      <c r="H690" t="str">
        <f>H669</f>
        <v>Transport</v>
      </c>
      <c r="I690" t="str">
        <f t="shared" ref="I690:I699" si="392">"\newcommand{"&amp;J690&amp;"}{"&amp;TEXT(G690,$H$13)&amp;"}%"&amp;H690</f>
        <v>\newcommand{\ImpEOLstagePofInstalAWEGWPA}{12,5}%Transport</v>
      </c>
      <c r="J690" t="str">
        <f t="shared" ref="J690:J699" si="393">"\"&amp;D690&amp;E690&amp;F690&amp;C690</f>
        <v>\ImpEOLstagePofInstalAWEGWPA</v>
      </c>
      <c r="L690">
        <f>M690</f>
        <v>12.50745947116307</v>
      </c>
      <c r="M690">
        <f t="shared" ref="M690:M692" si="394">100*L669/$W$605</f>
        <v>12.50745947116307</v>
      </c>
    </row>
    <row r="691" spans="2:43" x14ac:dyDescent="0.3">
      <c r="C691" t="s">
        <v>788</v>
      </c>
      <c r="D691" t="str">
        <f t="shared" ref="D691:F691" si="395">D690</f>
        <v>ImpEOLstagePofInstal</v>
      </c>
      <c r="E691" t="str">
        <f t="shared" si="395"/>
        <v>AWE</v>
      </c>
      <c r="F691" t="str">
        <f t="shared" si="395"/>
        <v>GWP</v>
      </c>
      <c r="G691" s="359">
        <f t="shared" si="391"/>
        <v>83.40553689167632</v>
      </c>
      <c r="H691" t="str">
        <f t="shared" ref="H691:H699" si="396">H670</f>
        <v>Treatment</v>
      </c>
      <c r="I691" t="str">
        <f t="shared" si="392"/>
        <v>\newcommand{\ImpEOLstagePofInstalAWEGWPB}{83,4}%Treatment</v>
      </c>
      <c r="J691" t="str">
        <f t="shared" si="393"/>
        <v>\ImpEOLstagePofInstalAWEGWPB</v>
      </c>
      <c r="L691">
        <f t="shared" ref="L691:L693" si="397">M691</f>
        <v>83.40553689167632</v>
      </c>
      <c r="M691">
        <f t="shared" si="394"/>
        <v>83.40553689167632</v>
      </c>
    </row>
    <row r="692" spans="2:43" x14ac:dyDescent="0.3">
      <c r="C692" t="s">
        <v>790</v>
      </c>
      <c r="D692" t="str">
        <f t="shared" ref="D692:F692" si="398">D691</f>
        <v>ImpEOLstagePofInstal</v>
      </c>
      <c r="E692" t="str">
        <f t="shared" si="398"/>
        <v>AWE</v>
      </c>
      <c r="F692" t="str">
        <f t="shared" si="398"/>
        <v>GWP</v>
      </c>
      <c r="G692" s="359">
        <f t="shared" si="391"/>
        <v>4.087003637160616</v>
      </c>
      <c r="H692" t="str">
        <f t="shared" si="396"/>
        <v>Disassembly</v>
      </c>
      <c r="I692" t="str">
        <f t="shared" si="392"/>
        <v>\newcommand{\ImpEOLstagePofInstalAWEGWPC}{4,1}%Disassembly</v>
      </c>
      <c r="J692" t="str">
        <f t="shared" si="393"/>
        <v>\ImpEOLstagePofInstalAWEGWPC</v>
      </c>
      <c r="L692">
        <f t="shared" si="397"/>
        <v>4.087003637160616</v>
      </c>
      <c r="M692">
        <f t="shared" si="394"/>
        <v>4.087003637160616</v>
      </c>
    </row>
    <row r="693" spans="2:43" x14ac:dyDescent="0.3">
      <c r="C693" t="s">
        <v>1786</v>
      </c>
      <c r="D693" t="str">
        <f t="shared" ref="D693:F693" si="399">D692</f>
        <v>ImpEOLstagePofInstal</v>
      </c>
      <c r="E693" t="str">
        <f t="shared" si="399"/>
        <v>AWE</v>
      </c>
      <c r="F693" t="str">
        <f t="shared" si="399"/>
        <v>GWP</v>
      </c>
      <c r="G693" s="359">
        <f t="shared" si="391"/>
        <v>100</v>
      </c>
      <c r="H693" t="str">
        <f t="shared" si="396"/>
        <v>Total</v>
      </c>
      <c r="I693" t="str">
        <f t="shared" si="392"/>
        <v>\newcommand{\ImpEOLstagePofInstalAWEGWPD}{100,0}%Total</v>
      </c>
      <c r="J693" t="str">
        <f t="shared" si="393"/>
        <v>\ImpEOLstagePofInstalAWEGWPD</v>
      </c>
      <c r="L693">
        <f t="shared" si="397"/>
        <v>100</v>
      </c>
      <c r="M693">
        <f>100*L672/$W$605</f>
        <v>100</v>
      </c>
    </row>
    <row r="694" spans="2:43" x14ac:dyDescent="0.3">
      <c r="C694" t="s">
        <v>1784</v>
      </c>
      <c r="D694" t="str">
        <f t="shared" ref="D694:F694" si="400">D693</f>
        <v>ImpEOLstagePofInstal</v>
      </c>
      <c r="E694" t="str">
        <f t="shared" si="400"/>
        <v>AWE</v>
      </c>
      <c r="F694" t="str">
        <f t="shared" si="400"/>
        <v>GWP</v>
      </c>
      <c r="G694" s="359">
        <f t="shared" si="391"/>
        <v>0</v>
      </c>
      <c r="H694">
        <f t="shared" si="396"/>
        <v>0</v>
      </c>
      <c r="I694" t="str">
        <f t="shared" si="392"/>
        <v>\newcommand{\ImpEOLstagePofInstalAWEGWPE}{0,0}%0</v>
      </c>
      <c r="J694" t="str">
        <f t="shared" si="393"/>
        <v>\ImpEOLstagePofInstalAWEGWPE</v>
      </c>
      <c r="T694" t="s">
        <v>1172</v>
      </c>
      <c r="Z694" t="s">
        <v>1142</v>
      </c>
      <c r="AF694" t="s">
        <v>1172</v>
      </c>
      <c r="AL694" t="s">
        <v>1142</v>
      </c>
    </row>
    <row r="695" spans="2:43" x14ac:dyDescent="0.3">
      <c r="C695" t="s">
        <v>1783</v>
      </c>
      <c r="D695" t="str">
        <f t="shared" ref="D695" si="401">D694</f>
        <v>ImpEOLstagePofInstal</v>
      </c>
      <c r="E695" s="42" t="s">
        <v>1142</v>
      </c>
      <c r="F695" t="str">
        <f t="shared" ref="F695" si="402">F694</f>
        <v>GWP</v>
      </c>
      <c r="G695" s="359">
        <f t="shared" si="391"/>
        <v>30.193442018495251</v>
      </c>
      <c r="H695" t="str">
        <f t="shared" si="396"/>
        <v>Transport</v>
      </c>
      <c r="I695" t="str">
        <f t="shared" si="392"/>
        <v>\newcommand{\ImpEOLstagePofInstalHAWTGWPF}{30,2}%Transport</v>
      </c>
      <c r="J695" t="str">
        <f t="shared" si="393"/>
        <v>\ImpEOLstagePofInstalHAWTGWPF</v>
      </c>
      <c r="L695">
        <f>M695</f>
        <v>30.193442018495251</v>
      </c>
      <c r="M695">
        <f t="shared" ref="M695:M697" si="403">100*L674/$W$601</f>
        <v>30.193442018495251</v>
      </c>
      <c r="T695" t="s">
        <v>162</v>
      </c>
      <c r="V695" t="s">
        <v>817</v>
      </c>
      <c r="X695" t="s">
        <v>817</v>
      </c>
      <c r="Z695" t="s">
        <v>162</v>
      </c>
      <c r="AB695" t="s">
        <v>817</v>
      </c>
      <c r="AD695" t="s">
        <v>817</v>
      </c>
      <c r="AF695" t="s">
        <v>32</v>
      </c>
      <c r="AH695" t="s">
        <v>817</v>
      </c>
      <c r="AJ695" t="s">
        <v>817</v>
      </c>
      <c r="AL695" t="s">
        <v>32</v>
      </c>
      <c r="AN695" t="s">
        <v>817</v>
      </c>
      <c r="AP695" t="s">
        <v>817</v>
      </c>
    </row>
    <row r="696" spans="2:43" x14ac:dyDescent="0.3">
      <c r="C696" t="s">
        <v>1782</v>
      </c>
      <c r="D696" t="str">
        <f t="shared" ref="D696:F696" si="404">D695</f>
        <v>ImpEOLstagePofInstal</v>
      </c>
      <c r="E696" t="str">
        <f t="shared" si="404"/>
        <v>HAWT</v>
      </c>
      <c r="F696" t="str">
        <f t="shared" si="404"/>
        <v>GWP</v>
      </c>
      <c r="G696" s="359">
        <f t="shared" si="391"/>
        <v>61.443497694190299</v>
      </c>
      <c r="H696" t="str">
        <f t="shared" si="396"/>
        <v>treatment</v>
      </c>
      <c r="I696" t="str">
        <f t="shared" si="392"/>
        <v>\newcommand{\ImpEOLstagePofInstalHAWTGWPG}{61,4}%treatment</v>
      </c>
      <c r="J696" t="str">
        <f t="shared" si="393"/>
        <v>\ImpEOLstagePofInstalHAWTGWPG</v>
      </c>
      <c r="L696">
        <f t="shared" ref="L696:L698" si="405">M696</f>
        <v>61.443497694190299</v>
      </c>
      <c r="M696">
        <f t="shared" si="403"/>
        <v>61.443497694190299</v>
      </c>
      <c r="R696" t="s">
        <v>1182</v>
      </c>
      <c r="S696" t="s">
        <v>1765</v>
      </c>
      <c r="T696" s="14">
        <f>'Communication to latex'!L137</f>
        <v>2.0777024182320742</v>
      </c>
      <c r="U696" t="s">
        <v>1765</v>
      </c>
      <c r="V696" s="14">
        <f t="shared" ref="V696:V702" si="406">100*T696/$T$702</f>
        <v>2.0756159464311237</v>
      </c>
      <c r="W696" t="s">
        <v>1765</v>
      </c>
      <c r="X696" s="14">
        <f>100*T696/'Communication to latex'!$L$106</f>
        <v>1.6299591717363482</v>
      </c>
      <c r="Y696" t="s">
        <v>1765</v>
      </c>
      <c r="Z696" s="14">
        <f>'Communication to latex'!L192</f>
        <v>63.183633737484676</v>
      </c>
      <c r="AA696" t="s">
        <v>1765</v>
      </c>
      <c r="AB696" s="14">
        <f t="shared" ref="AB696:AB702" si="407">100*Z696/$Z$702</f>
        <v>36.890052253008136</v>
      </c>
      <c r="AC696" t="s">
        <v>1765</v>
      </c>
      <c r="AD696" s="14">
        <f>100*Z696/'Communication to latex'!$L$77</f>
        <v>32.399462489988835</v>
      </c>
      <c r="AE696" t="s">
        <v>1765</v>
      </c>
      <c r="AF696" s="14">
        <f>'Communication to latex'!L145</f>
        <v>6.4194436116937009E-2</v>
      </c>
      <c r="AG696" t="s">
        <v>1765</v>
      </c>
      <c r="AH696" s="14">
        <f t="shared" ref="AH696:AH702" si="408">100*AF696/$AF$702</f>
        <v>1.0154781040291443</v>
      </c>
      <c r="AI696" t="s">
        <v>1765</v>
      </c>
      <c r="AJ696" s="14">
        <f>100*AF696/'Communication to latex'!$L$112</f>
        <v>0.82318579684594029</v>
      </c>
      <c r="AK696" t="s">
        <v>1765</v>
      </c>
      <c r="AL696" s="14">
        <f>'Communication to latex'!L200</f>
        <v>4.4366640225996186</v>
      </c>
      <c r="AM696" t="s">
        <v>1765</v>
      </c>
      <c r="AN696" s="14">
        <f t="shared" ref="AN696:AN702" si="409">100*AL696/$AL$702</f>
        <v>39.807546310225369</v>
      </c>
      <c r="AO696" t="s">
        <v>1765</v>
      </c>
      <c r="AP696" s="14">
        <f>100*AL696/'Communication to latex'!$L$83</f>
        <v>34.185727777658663</v>
      </c>
      <c r="AQ696" s="334" t="s">
        <v>1764</v>
      </c>
    </row>
    <row r="697" spans="2:43" x14ac:dyDescent="0.3">
      <c r="C697" t="s">
        <v>1798</v>
      </c>
      <c r="D697" t="str">
        <f t="shared" ref="D697:F697" si="410">D696</f>
        <v>ImpEOLstagePofInstal</v>
      </c>
      <c r="E697" t="str">
        <f t="shared" si="410"/>
        <v>HAWT</v>
      </c>
      <c r="F697" t="str">
        <f t="shared" si="410"/>
        <v>GWP</v>
      </c>
      <c r="G697" s="359">
        <f t="shared" si="391"/>
        <v>8.3630602873144433</v>
      </c>
      <c r="H697" t="str">
        <f t="shared" si="396"/>
        <v>Disassembly</v>
      </c>
      <c r="I697" t="str">
        <f t="shared" si="392"/>
        <v>\newcommand{\ImpEOLstagePofInstalHAWTGWPH}{8,4}%Disassembly</v>
      </c>
      <c r="J697" t="str">
        <f t="shared" si="393"/>
        <v>\ImpEOLstagePofInstalHAWTGWPH</v>
      </c>
      <c r="L697">
        <f t="shared" si="405"/>
        <v>8.3630602873144433</v>
      </c>
      <c r="M697">
        <f t="shared" si="403"/>
        <v>8.3630602873144433</v>
      </c>
      <c r="R697" t="s">
        <v>1183</v>
      </c>
      <c r="S697" t="s">
        <v>1765</v>
      </c>
      <c r="T697" s="14">
        <f>'Communication to latex'!L138</f>
        <v>16.327139786872973</v>
      </c>
      <c r="U697" t="s">
        <v>1765</v>
      </c>
      <c r="V697" s="14">
        <f t="shared" si="406"/>
        <v>16.310743734937645</v>
      </c>
      <c r="W697" t="s">
        <v>1765</v>
      </c>
      <c r="X697" s="14">
        <f>100*T697/'Communication to latex'!$L$106</f>
        <v>12.808653929603546</v>
      </c>
      <c r="Y697" t="s">
        <v>1765</v>
      </c>
      <c r="Z697" s="14">
        <f>'Communication to latex'!L193</f>
        <v>51.634565239059953</v>
      </c>
      <c r="AA697" t="s">
        <v>1765</v>
      </c>
      <c r="AB697" s="14">
        <f t="shared" si="407"/>
        <v>30.14707602358466</v>
      </c>
      <c r="AC697" t="s">
        <v>1765</v>
      </c>
      <c r="AD697" s="14">
        <f>100*Z697/'Communication to latex'!$L$77</f>
        <v>26.477302122263211</v>
      </c>
      <c r="AE697" t="s">
        <v>1765</v>
      </c>
      <c r="AF697" s="14">
        <f>'Communication to latex'!L146</f>
        <v>0.89223475341296021</v>
      </c>
      <c r="AG697" t="s">
        <v>1765</v>
      </c>
      <c r="AH697" s="14">
        <f t="shared" si="408"/>
        <v>14.114071414136992</v>
      </c>
      <c r="AI697" t="s">
        <v>1765</v>
      </c>
      <c r="AJ697" s="14">
        <f>100*AF697/'Communication to latex'!$L$112</f>
        <v>11.441411762289869</v>
      </c>
      <c r="AK697" t="s">
        <v>1765</v>
      </c>
      <c r="AL697" s="14">
        <f>'Communication to latex'!L201</f>
        <v>2.6729859537173737</v>
      </c>
      <c r="AM697" t="s">
        <v>1765</v>
      </c>
      <c r="AN697" s="14">
        <f t="shared" si="409"/>
        <v>23.983112446012832</v>
      </c>
      <c r="AO697" t="s">
        <v>1765</v>
      </c>
      <c r="AP697" s="14">
        <f>100*AL697/'Communication to latex'!$L$83</f>
        <v>20.596098713317819</v>
      </c>
      <c r="AQ697" s="334" t="s">
        <v>1764</v>
      </c>
    </row>
    <row r="698" spans="2:43" x14ac:dyDescent="0.3">
      <c r="C698" t="s">
        <v>1796</v>
      </c>
      <c r="D698" t="str">
        <f t="shared" ref="D698:F698" si="411">D697</f>
        <v>ImpEOLstagePofInstal</v>
      </c>
      <c r="E698" t="str">
        <f t="shared" si="411"/>
        <v>HAWT</v>
      </c>
      <c r="F698" t="str">
        <f t="shared" si="411"/>
        <v>GWP</v>
      </c>
      <c r="G698" s="359">
        <f t="shared" si="391"/>
        <v>100</v>
      </c>
      <c r="H698" t="str">
        <f t="shared" si="396"/>
        <v>Total</v>
      </c>
      <c r="I698" t="str">
        <f t="shared" si="392"/>
        <v>\newcommand{\ImpEOLstagePofInstalHAWTGWPI}{100,0}%Total</v>
      </c>
      <c r="J698" t="str">
        <f t="shared" si="393"/>
        <v>\ImpEOLstagePofInstalHAWTGWPI</v>
      </c>
      <c r="L698">
        <f t="shared" si="405"/>
        <v>100</v>
      </c>
      <c r="M698">
        <f>100*L677/$W$601</f>
        <v>100</v>
      </c>
      <c r="R698" t="s">
        <v>1763</v>
      </c>
      <c r="S698" t="s">
        <v>1765</v>
      </c>
      <c r="T698" s="14">
        <f>'Communication to latex'!L139</f>
        <v>42.260221460120128</v>
      </c>
      <c r="U698" t="s">
        <v>1765</v>
      </c>
      <c r="V698" s="14">
        <f t="shared" si="406"/>
        <v>42.217782870452659</v>
      </c>
      <c r="W698" t="s">
        <v>1765</v>
      </c>
      <c r="X698" s="14">
        <f>100*T698/'Communication to latex'!$L$106</f>
        <v>33.153176780313139</v>
      </c>
      <c r="Y698" t="s">
        <v>1765</v>
      </c>
      <c r="Z698" s="14">
        <f>'Communication to latex'!L194</f>
        <v>35.147250945705572</v>
      </c>
      <c r="AA698" t="s">
        <v>1765</v>
      </c>
      <c r="AB698" s="14">
        <f t="shared" si="407"/>
        <v>20.520882501372338</v>
      </c>
      <c r="AC698" t="s">
        <v>1765</v>
      </c>
      <c r="AD698" s="14">
        <f>100*Z698/'Communication to latex'!$L$77</f>
        <v>18.02289566587605</v>
      </c>
      <c r="AE698" t="s">
        <v>1765</v>
      </c>
      <c r="AF698" s="14">
        <f>'Communication to latex'!L147</f>
        <v>2.6537687263994019</v>
      </c>
      <c r="AG698" t="s">
        <v>1765</v>
      </c>
      <c r="AH698" s="14">
        <f t="shared" si="408"/>
        <v>41.979401920548938</v>
      </c>
      <c r="AI698" t="s">
        <v>1765</v>
      </c>
      <c r="AJ698" s="14">
        <f>100*AF698/'Communication to latex'!$L$112</f>
        <v>34.030125596968354</v>
      </c>
      <c r="AK698" t="s">
        <v>1765</v>
      </c>
      <c r="AL698" s="14">
        <f>'Communication to latex'!L202</f>
        <v>2.2766164712812915</v>
      </c>
      <c r="AM698" t="s">
        <v>1765</v>
      </c>
      <c r="AN698" s="14">
        <f t="shared" si="409"/>
        <v>20.426724933309281</v>
      </c>
      <c r="AO698" t="s">
        <v>1765</v>
      </c>
      <c r="AP698" s="14">
        <f>100*AL698/'Communication to latex'!$L$83</f>
        <v>17.541961830987077</v>
      </c>
      <c r="AQ698" s="334" t="s">
        <v>1764</v>
      </c>
    </row>
    <row r="699" spans="2:43" x14ac:dyDescent="0.3">
      <c r="C699" t="s">
        <v>1794</v>
      </c>
      <c r="D699" t="str">
        <f t="shared" ref="D699:F699" si="412">D698</f>
        <v>ImpEOLstagePofInstal</v>
      </c>
      <c r="E699" t="str">
        <f t="shared" si="412"/>
        <v>HAWT</v>
      </c>
      <c r="F699" t="str">
        <f t="shared" si="412"/>
        <v>GWP</v>
      </c>
      <c r="G699" s="359">
        <f t="shared" si="391"/>
        <v>0</v>
      </c>
      <c r="H699">
        <f t="shared" si="396"/>
        <v>0</v>
      </c>
      <c r="I699" t="str">
        <f t="shared" si="392"/>
        <v>\newcommand{\ImpEOLstagePofInstalHAWTGWPJ}{0,0}%0</v>
      </c>
      <c r="J699" t="str">
        <f t="shared" si="393"/>
        <v>\ImpEOLstagePofInstalHAWTGWPJ</v>
      </c>
      <c r="R699" t="s">
        <v>16</v>
      </c>
      <c r="S699" t="s">
        <v>1765</v>
      </c>
      <c r="T699" s="14">
        <f>'Communication to latex'!L140</f>
        <v>27.438370182299941</v>
      </c>
      <c r="U699" t="s">
        <v>1765</v>
      </c>
      <c r="V699" s="14">
        <f t="shared" si="406"/>
        <v>27.41081600267006</v>
      </c>
      <c r="W699" t="s">
        <v>1765</v>
      </c>
      <c r="X699" s="14">
        <f>100*T699/'Communication to latex'!$L$106</f>
        <v>21.525422863102925</v>
      </c>
      <c r="Y699" t="s">
        <v>1765</v>
      </c>
      <c r="Z699" s="14">
        <f>'Communication to latex'!L195</f>
        <v>0</v>
      </c>
      <c r="AA699" t="s">
        <v>1765</v>
      </c>
      <c r="AB699" s="14">
        <f t="shared" si="407"/>
        <v>0</v>
      </c>
      <c r="AC699" t="s">
        <v>1765</v>
      </c>
      <c r="AD699" s="14">
        <f>100*Z699/'Communication to latex'!$L$77</f>
        <v>0</v>
      </c>
      <c r="AE699" t="s">
        <v>1765</v>
      </c>
      <c r="AF699" s="14">
        <f>'Communication to latex'!L148</f>
        <v>1.8922335259316396</v>
      </c>
      <c r="AG699" t="s">
        <v>1765</v>
      </c>
      <c r="AH699" s="14">
        <f t="shared" si="408"/>
        <v>29.93283888019808</v>
      </c>
      <c r="AI699" t="s">
        <v>1765</v>
      </c>
      <c r="AJ699" s="14">
        <f>100*AF699/'Communication to latex'!$L$112</f>
        <v>24.264716026560254</v>
      </c>
      <c r="AK699" t="s">
        <v>1765</v>
      </c>
      <c r="AL699" s="14">
        <f>'Communication to latex'!L203</f>
        <v>0</v>
      </c>
      <c r="AM699" t="s">
        <v>1765</v>
      </c>
      <c r="AN699" s="14">
        <f t="shared" si="409"/>
        <v>0</v>
      </c>
      <c r="AO699" t="s">
        <v>1765</v>
      </c>
      <c r="AP699" s="14">
        <f>100*AL699/'Communication to latex'!$L$83</f>
        <v>0</v>
      </c>
      <c r="AQ699" s="334" t="s">
        <v>1764</v>
      </c>
    </row>
    <row r="700" spans="2:43" x14ac:dyDescent="0.3">
      <c r="R700" t="s">
        <v>50</v>
      </c>
      <c r="S700" t="s">
        <v>1765</v>
      </c>
      <c r="T700" s="14">
        <f>'Communication to latex'!L141</f>
        <v>1.5148950391480474</v>
      </c>
      <c r="U700" t="s">
        <v>1765</v>
      </c>
      <c r="V700" s="14">
        <f t="shared" si="406"/>
        <v>1.51337375017382</v>
      </c>
      <c r="W700" t="s">
        <v>1765</v>
      </c>
      <c r="X700" s="14">
        <f>100*T700/'Communication to latex'!$L$106</f>
        <v>1.1884363427647746</v>
      </c>
      <c r="Y700" t="s">
        <v>1765</v>
      </c>
      <c r="Z700" s="14">
        <f>'Communication to latex'!L196</f>
        <v>9.9770965773956988</v>
      </c>
      <c r="AA700" t="s">
        <v>1765</v>
      </c>
      <c r="AB700" s="14">
        <f t="shared" si="407"/>
        <v>5.8251732656376358</v>
      </c>
      <c r="AC700" t="s">
        <v>1765</v>
      </c>
      <c r="AD700" s="14">
        <f>100*Z700/'Communication to latex'!$L$77</f>
        <v>5.1160806556548719</v>
      </c>
      <c r="AE700" t="s">
        <v>1765</v>
      </c>
      <c r="AF700" s="14">
        <f>'Communication to latex'!L149</f>
        <v>0.16241719355147477</v>
      </c>
      <c r="AG700" t="s">
        <v>1765</v>
      </c>
      <c r="AH700" s="14">
        <f t="shared" si="408"/>
        <v>2.5692429709787712</v>
      </c>
      <c r="AI700" t="s">
        <v>1765</v>
      </c>
      <c r="AJ700" s="14">
        <f>100*AF700/'Communication to latex'!$L$112</f>
        <v>2.0827276471687379</v>
      </c>
      <c r="AK700" t="s">
        <v>1765</v>
      </c>
      <c r="AL700" s="14">
        <f>'Communication to latex'!L204</f>
        <v>1.0470725989414846</v>
      </c>
      <c r="AM700" t="s">
        <v>1765</v>
      </c>
      <c r="AN700" s="14">
        <f t="shared" si="409"/>
        <v>9.3947593868305574</v>
      </c>
      <c r="AO700" t="s">
        <v>1765</v>
      </c>
      <c r="AP700" s="14">
        <f>100*AL700/'Communication to latex'!$L$83</f>
        <v>8.067985010477642</v>
      </c>
      <c r="AQ700" s="334" t="s">
        <v>1764</v>
      </c>
    </row>
    <row r="701" spans="2:43" x14ac:dyDescent="0.3">
      <c r="C701" s="42" t="s">
        <v>720</v>
      </c>
      <c r="D701" s="42" t="str">
        <f>D690</f>
        <v>ImpEOLstagePofInstal</v>
      </c>
      <c r="E701" s="42" t="s">
        <v>1172</v>
      </c>
      <c r="F701" t="s">
        <v>162</v>
      </c>
      <c r="G701" s="359">
        <f t="shared" ref="G701:G709" si="413">L701</f>
        <v>50.073989149748726</v>
      </c>
      <c r="H701" t="str">
        <f>H669</f>
        <v>Transport</v>
      </c>
      <c r="I701" t="str">
        <f t="shared" ref="I701:I710" si="414">"\newcommand{"&amp;J701&amp;"}{"&amp;TEXT(G701,$H$13)&amp;"}%"&amp;H701</f>
        <v>\newcommand{\ImpEOLstagePofInstalAWECEDA}{50,1}%Transport</v>
      </c>
      <c r="J701" t="str">
        <f t="shared" ref="J701:J710" si="415">"\"&amp;D701&amp;E701&amp;F701&amp;C701</f>
        <v>\ImpEOLstagePofInstalAWECEDA</v>
      </c>
      <c r="L701">
        <f>M701</f>
        <v>50.073989149748726</v>
      </c>
      <c r="M701">
        <f t="shared" ref="M701:M703" si="416">100*L679/$W$606</f>
        <v>50.073989149748726</v>
      </c>
      <c r="R701" t="s">
        <v>139</v>
      </c>
      <c r="S701" t="s">
        <v>1765</v>
      </c>
      <c r="T701" s="14">
        <f>'Communication to latex'!L142</f>
        <v>10.482194131784958</v>
      </c>
      <c r="U701" t="s">
        <v>1765</v>
      </c>
      <c r="V701" s="14">
        <f t="shared" si="406"/>
        <v>10.471667695334705</v>
      </c>
      <c r="W701" t="s">
        <v>1765</v>
      </c>
      <c r="X701" s="14">
        <f>100*T701/'Communication to latex'!$L$106</f>
        <v>8.2232894928052236</v>
      </c>
      <c r="Y701" t="s">
        <v>1765</v>
      </c>
      <c r="Z701" s="14">
        <f>'Communication to latex'!L197</f>
        <v>11.332986817964082</v>
      </c>
      <c r="AA701" t="s">
        <v>1765</v>
      </c>
      <c r="AB701" s="14">
        <f t="shared" si="407"/>
        <v>6.616815956397236</v>
      </c>
      <c r="AC701" t="s">
        <v>1765</v>
      </c>
      <c r="AD701" s="14">
        <f>100*Z701/'Communication to latex'!$L$77</f>
        <v>5.8113574606002487</v>
      </c>
      <c r="AE701" t="s">
        <v>1765</v>
      </c>
      <c r="AF701" s="14">
        <f>'Communication to latex'!L150</f>
        <v>0.65674863608273137</v>
      </c>
      <c r="AG701" t="s">
        <v>1765</v>
      </c>
      <c r="AH701" s="14">
        <f t="shared" si="408"/>
        <v>10.388966710108082</v>
      </c>
      <c r="AI701" t="s">
        <v>1765</v>
      </c>
      <c r="AJ701" s="14">
        <f>100*AF701/'Communication to latex'!$L$112</f>
        <v>8.4216979231103384</v>
      </c>
      <c r="AK701" t="s">
        <v>1765</v>
      </c>
      <c r="AL701" s="14">
        <f>'Communication to latex'!L205</f>
        <v>0.7119447848828484</v>
      </c>
      <c r="AM701" t="s">
        <v>1765</v>
      </c>
      <c r="AN701" s="14">
        <f t="shared" si="409"/>
        <v>6.3878569236219596</v>
      </c>
      <c r="AO701" t="s">
        <v>1765</v>
      </c>
      <c r="AP701" s="14">
        <f>100*AL701/'Communication to latex'!$L$83</f>
        <v>5.4857321818270126</v>
      </c>
      <c r="AQ701" t="s">
        <v>1766</v>
      </c>
    </row>
    <row r="702" spans="2:43" x14ac:dyDescent="0.3">
      <c r="C702" t="s">
        <v>788</v>
      </c>
      <c r="D702" t="str">
        <f t="shared" ref="D702:F702" si="417">D701</f>
        <v>ImpEOLstagePofInstal</v>
      </c>
      <c r="E702" t="str">
        <f t="shared" si="417"/>
        <v>AWE</v>
      </c>
      <c r="F702" t="str">
        <f t="shared" si="417"/>
        <v>CED</v>
      </c>
      <c r="G702" s="359">
        <f t="shared" si="413"/>
        <v>34.788255706449704</v>
      </c>
      <c r="H702" t="str">
        <f t="shared" ref="H702:H709" si="418">H670</f>
        <v>Treatment</v>
      </c>
      <c r="I702" t="str">
        <f t="shared" si="414"/>
        <v>\newcommand{\ImpEOLstagePofInstalAWECEDB}{34,8}%Treatment</v>
      </c>
      <c r="J702" t="str">
        <f t="shared" si="415"/>
        <v>\ImpEOLstagePofInstalAWECEDB</v>
      </c>
      <c r="L702">
        <f t="shared" ref="L702:L704" si="419">M702</f>
        <v>34.788255706449704</v>
      </c>
      <c r="M702">
        <f t="shared" si="416"/>
        <v>34.788255706449704</v>
      </c>
      <c r="R702" t="s">
        <v>191</v>
      </c>
      <c r="S702" t="s">
        <v>1765</v>
      </c>
      <c r="T702" s="14">
        <f>'Communication to latex'!L143</f>
        <v>100.10052301845811</v>
      </c>
      <c r="U702" t="s">
        <v>1765</v>
      </c>
      <c r="V702" s="14">
        <f t="shared" si="406"/>
        <v>99.999999999999986</v>
      </c>
      <c r="W702" t="s">
        <v>1765</v>
      </c>
      <c r="X702" s="14">
        <f>100*T702/'Communication to latex'!$L$106</f>
        <v>78.528938580325928</v>
      </c>
      <c r="Y702" t="s">
        <v>1765</v>
      </c>
      <c r="Z702" s="14">
        <f>'Communication to latex'!L198</f>
        <v>171.27553331760998</v>
      </c>
      <c r="AA702" t="s">
        <v>1765</v>
      </c>
      <c r="AB702" s="14">
        <f t="shared" si="407"/>
        <v>100</v>
      </c>
      <c r="AC702" t="s">
        <v>1765</v>
      </c>
      <c r="AD702" s="14">
        <f>100*Z702/'Communication to latex'!$L$77</f>
        <v>87.827098394383214</v>
      </c>
      <c r="AE702" t="s">
        <v>1765</v>
      </c>
      <c r="AF702" s="14">
        <f>'Communication to latex'!L151</f>
        <v>6.3215972714951443</v>
      </c>
      <c r="AG702" t="s">
        <v>1765</v>
      </c>
      <c r="AH702" s="14">
        <f t="shared" si="408"/>
        <v>100</v>
      </c>
      <c r="AI702" t="s">
        <v>1765</v>
      </c>
      <c r="AJ702" s="14">
        <f>100*AF702/'Communication to latex'!$L$112</f>
        <v>81.063864752943488</v>
      </c>
      <c r="AK702" t="s">
        <v>1765</v>
      </c>
      <c r="AL702" s="14">
        <f>'Communication to latex'!L206</f>
        <v>11.145283831422617</v>
      </c>
      <c r="AM702" t="s">
        <v>1765</v>
      </c>
      <c r="AN702" s="14">
        <f t="shared" si="409"/>
        <v>100</v>
      </c>
      <c r="AO702" t="s">
        <v>1765</v>
      </c>
      <c r="AP702" s="14">
        <f>100*AL702/'Communication to latex'!$L$83</f>
        <v>85.877505514268208</v>
      </c>
      <c r="AQ702" s="334" t="s">
        <v>1764</v>
      </c>
    </row>
    <row r="703" spans="2:43" x14ac:dyDescent="0.3">
      <c r="C703" t="s">
        <v>790</v>
      </c>
      <c r="D703" t="str">
        <f t="shared" ref="D703:F703" si="420">D702</f>
        <v>ImpEOLstagePofInstal</v>
      </c>
      <c r="E703" t="str">
        <f t="shared" si="420"/>
        <v>AWE</v>
      </c>
      <c r="F703" t="str">
        <f t="shared" si="420"/>
        <v>CED</v>
      </c>
      <c r="G703" s="359">
        <f t="shared" si="413"/>
        <v>15.137755143801567</v>
      </c>
      <c r="H703" t="str">
        <f t="shared" si="418"/>
        <v>Disassembly</v>
      </c>
      <c r="I703" t="str">
        <f t="shared" si="414"/>
        <v>\newcommand{\ImpEOLstagePofInstalAWECEDC}{15,1}%Disassembly</v>
      </c>
      <c r="J703" t="str">
        <f t="shared" si="415"/>
        <v>\ImpEOLstagePofInstalAWECEDC</v>
      </c>
      <c r="L703">
        <f t="shared" si="419"/>
        <v>15.137755143801567</v>
      </c>
      <c r="M703">
        <f t="shared" si="416"/>
        <v>15.137755143801567</v>
      </c>
    </row>
    <row r="704" spans="2:43" x14ac:dyDescent="0.3">
      <c r="C704" t="s">
        <v>1786</v>
      </c>
      <c r="D704" t="str">
        <f t="shared" ref="D704:F704" si="421">D703</f>
        <v>ImpEOLstagePofInstal</v>
      </c>
      <c r="E704" t="str">
        <f t="shared" si="421"/>
        <v>AWE</v>
      </c>
      <c r="F704" t="str">
        <f t="shared" si="421"/>
        <v>CED</v>
      </c>
      <c r="G704" s="359">
        <f t="shared" si="413"/>
        <v>100</v>
      </c>
      <c r="H704" t="str">
        <f t="shared" si="418"/>
        <v>Total</v>
      </c>
      <c r="I704" t="str">
        <f t="shared" si="414"/>
        <v>\newcommand{\ImpEOLstagePofInstalAWECEDD}{100,0}%Total</v>
      </c>
      <c r="J704" t="str">
        <f t="shared" si="415"/>
        <v>\ImpEOLstagePofInstalAWECEDD</v>
      </c>
      <c r="L704">
        <f t="shared" si="419"/>
        <v>100</v>
      </c>
      <c r="M704">
        <f>100*L682/$W$606</f>
        <v>100</v>
      </c>
      <c r="X704">
        <f>'Communication to latex'!$L$106</f>
        <v>127.46959888687016</v>
      </c>
      <c r="Z704" s="352"/>
    </row>
    <row r="705" spans="1:43" x14ac:dyDescent="0.3">
      <c r="C705" t="s">
        <v>1784</v>
      </c>
      <c r="D705" t="str">
        <f t="shared" ref="D705:F705" si="422">D704</f>
        <v>ImpEOLstagePofInstal</v>
      </c>
      <c r="E705" t="str">
        <f t="shared" si="422"/>
        <v>AWE</v>
      </c>
      <c r="F705" t="str">
        <f t="shared" si="422"/>
        <v>CED</v>
      </c>
      <c r="G705" s="359">
        <f t="shared" si="413"/>
        <v>0</v>
      </c>
      <c r="H705">
        <f t="shared" si="418"/>
        <v>0</v>
      </c>
      <c r="I705" t="str">
        <f t="shared" si="414"/>
        <v>\newcommand{\ImpEOLstagePofInstalAWECEDE}{0,0}%0</v>
      </c>
      <c r="J705" t="str">
        <f t="shared" si="415"/>
        <v>\ImpEOLstagePofInstalAWECEDE</v>
      </c>
    </row>
    <row r="706" spans="1:43" x14ac:dyDescent="0.3">
      <c r="C706" t="s">
        <v>1783</v>
      </c>
      <c r="D706" t="str">
        <f t="shared" ref="D706" si="423">D705</f>
        <v>ImpEOLstagePofInstal</v>
      </c>
      <c r="E706" s="42" t="s">
        <v>1142</v>
      </c>
      <c r="F706" t="str">
        <f t="shared" ref="F706" si="424">F705</f>
        <v>CED</v>
      </c>
      <c r="G706" s="359">
        <f t="shared" si="413"/>
        <v>55.183395524704721</v>
      </c>
      <c r="H706" t="str">
        <f t="shared" si="418"/>
        <v>Transport</v>
      </c>
      <c r="I706" t="str">
        <f t="shared" si="414"/>
        <v>\newcommand{\ImpEOLstagePofInstalHAWTCEDF}{55,2}%Transport</v>
      </c>
      <c r="J706" t="str">
        <f t="shared" si="415"/>
        <v>\ImpEOLstagePofInstalHAWTCEDF</v>
      </c>
      <c r="L706">
        <f>M706</f>
        <v>55.183395524704721</v>
      </c>
      <c r="M706">
        <f t="shared" ref="M706:M708" si="425">100*L684/$W$602</f>
        <v>55.183395524704721</v>
      </c>
      <c r="Q706" s="14"/>
    </row>
    <row r="707" spans="1:43" x14ac:dyDescent="0.3">
      <c r="C707" t="s">
        <v>1782</v>
      </c>
      <c r="D707" t="str">
        <f t="shared" ref="D707:F707" si="426">D706</f>
        <v>ImpEOLstagePofInstal</v>
      </c>
      <c r="E707" t="str">
        <f t="shared" si="426"/>
        <v>HAWT</v>
      </c>
      <c r="F707" t="str">
        <f t="shared" si="426"/>
        <v>CED</v>
      </c>
      <c r="G707" s="359">
        <f t="shared" si="413"/>
        <v>31.070360245692825</v>
      </c>
      <c r="H707" t="str">
        <f t="shared" si="418"/>
        <v>treatment</v>
      </c>
      <c r="I707" t="str">
        <f t="shared" si="414"/>
        <v>\newcommand{\ImpEOLstagePofInstalHAWTCEDG}{31,1}%treatment</v>
      </c>
      <c r="J707" t="str">
        <f t="shared" si="415"/>
        <v>\ImpEOLstagePofInstalHAWTCEDG</v>
      </c>
      <c r="L707">
        <f t="shared" ref="L707:L709" si="427">M707</f>
        <v>31.070360245692825</v>
      </c>
      <c r="M707">
        <f t="shared" si="425"/>
        <v>31.070360245692825</v>
      </c>
    </row>
    <row r="708" spans="1:43" x14ac:dyDescent="0.3">
      <c r="C708" t="s">
        <v>1798</v>
      </c>
      <c r="D708" t="str">
        <f t="shared" ref="D708:F708" si="428">D707</f>
        <v>ImpEOLstagePofInstal</v>
      </c>
      <c r="E708" t="str">
        <f t="shared" si="428"/>
        <v>HAWT</v>
      </c>
      <c r="F708" t="str">
        <f t="shared" si="428"/>
        <v>CED</v>
      </c>
      <c r="G708" s="359">
        <f t="shared" si="413"/>
        <v>13.746244229602461</v>
      </c>
      <c r="H708" t="str">
        <f t="shared" si="418"/>
        <v>Disassembly</v>
      </c>
      <c r="I708" t="str">
        <f t="shared" si="414"/>
        <v>\newcommand{\ImpEOLstagePofInstalHAWTCEDH}{13,7}%Disassembly</v>
      </c>
      <c r="J708" t="str">
        <f t="shared" si="415"/>
        <v>\ImpEOLstagePofInstalHAWTCEDH</v>
      </c>
      <c r="L708">
        <f t="shared" si="427"/>
        <v>13.746244229602461</v>
      </c>
      <c r="M708">
        <f t="shared" si="425"/>
        <v>13.746244229602461</v>
      </c>
      <c r="T708" t="s">
        <v>1172</v>
      </c>
      <c r="Z708" t="s">
        <v>1142</v>
      </c>
      <c r="AF708" t="s">
        <v>1172</v>
      </c>
      <c r="AL708" t="s">
        <v>1142</v>
      </c>
    </row>
    <row r="709" spans="1:43" x14ac:dyDescent="0.3">
      <c r="C709" t="s">
        <v>1796</v>
      </c>
      <c r="D709" t="str">
        <f t="shared" ref="D709:F709" si="429">D708</f>
        <v>ImpEOLstagePofInstal</v>
      </c>
      <c r="E709" t="str">
        <f t="shared" si="429"/>
        <v>HAWT</v>
      </c>
      <c r="F709" t="str">
        <f t="shared" si="429"/>
        <v>CED</v>
      </c>
      <c r="G709" s="359">
        <f t="shared" si="413"/>
        <v>100</v>
      </c>
      <c r="H709" t="str">
        <f t="shared" si="418"/>
        <v>Total</v>
      </c>
      <c r="I709" t="str">
        <f t="shared" si="414"/>
        <v>\newcommand{\ImpEOLstagePofInstalHAWTCEDI}{100,0}%Total</v>
      </c>
      <c r="J709" t="str">
        <f t="shared" si="415"/>
        <v>\ImpEOLstagePofInstalHAWTCEDI</v>
      </c>
      <c r="L709">
        <f t="shared" si="427"/>
        <v>100</v>
      </c>
      <c r="M709">
        <f>100*L687/$W$602</f>
        <v>100</v>
      </c>
      <c r="T709" t="s">
        <v>162</v>
      </c>
      <c r="V709" t="s">
        <v>817</v>
      </c>
      <c r="X709" t="s">
        <v>817</v>
      </c>
      <c r="Z709" t="s">
        <v>162</v>
      </c>
      <c r="AB709" t="s">
        <v>817</v>
      </c>
      <c r="AD709" t="s">
        <v>817</v>
      </c>
      <c r="AF709" t="s">
        <v>32</v>
      </c>
      <c r="AH709" t="s">
        <v>817</v>
      </c>
      <c r="AJ709" t="s">
        <v>817</v>
      </c>
      <c r="AL709" t="s">
        <v>32</v>
      </c>
      <c r="AN709" t="s">
        <v>817</v>
      </c>
      <c r="AP709" t="s">
        <v>817</v>
      </c>
    </row>
    <row r="710" spans="1:43" x14ac:dyDescent="0.3">
      <c r="C710" t="s">
        <v>1794</v>
      </c>
      <c r="D710" t="str">
        <f t="shared" ref="D710:F710" si="430">D709</f>
        <v>ImpEOLstagePofInstal</v>
      </c>
      <c r="E710" t="str">
        <f t="shared" si="430"/>
        <v>HAWT</v>
      </c>
      <c r="F710" t="str">
        <f t="shared" si="430"/>
        <v>CED</v>
      </c>
      <c r="G710" s="359">
        <f>L710</f>
        <v>0</v>
      </c>
      <c r="I710" t="str">
        <f t="shared" si="414"/>
        <v>\newcommand{\ImpEOLstagePofInstalHAWTCEDJ}{0,0}%</v>
      </c>
      <c r="J710" t="str">
        <f t="shared" si="415"/>
        <v>\ImpEOLstagePofInstalHAWTCEDJ</v>
      </c>
      <c r="R710" t="s">
        <v>1182</v>
      </c>
      <c r="S710" t="s">
        <v>1765</v>
      </c>
      <c r="T710" s="14" t="str">
        <f>'Communication to latex'!J137</f>
        <v>\CEDAWEmanufA</v>
      </c>
      <c r="U710" t="s">
        <v>1765</v>
      </c>
      <c r="V710" s="14" t="str">
        <f>'Communication to latex'!J171</f>
        <v>\CEDAWEmanufPofManA</v>
      </c>
      <c r="W710" t="s">
        <v>1765</v>
      </c>
      <c r="X710" s="14" t="str">
        <f>'Communication to latex'!J154</f>
        <v>\CEDAWEmanufPofAllA</v>
      </c>
      <c r="Y710" t="s">
        <v>1765</v>
      </c>
      <c r="Z710" s="14" t="str">
        <f>'Communication to latex'!J192</f>
        <v>\CEDHAWTmanufA</v>
      </c>
      <c r="AA710" t="s">
        <v>1765</v>
      </c>
      <c r="AB710" s="14" t="str">
        <f>'Communication to latex'!J226</f>
        <v>\CEDHAWTmanufPofManA</v>
      </c>
      <c r="AC710" t="s">
        <v>1765</v>
      </c>
      <c r="AD710" s="14" t="str">
        <f>'Communication to latex'!J209</f>
        <v>\CEDHAWTmanufPofAllA</v>
      </c>
      <c r="AE710" t="s">
        <v>1765</v>
      </c>
      <c r="AF710" s="14" t="str">
        <f>'Communication to latex'!J145</f>
        <v>\GWPAWEmanufA</v>
      </c>
      <c r="AG710" t="s">
        <v>1765</v>
      </c>
      <c r="AH710" s="14" t="str">
        <f>'Communication to latex'!J179</f>
        <v>\GWPAWEmanufPofManA</v>
      </c>
      <c r="AI710" t="s">
        <v>1765</v>
      </c>
      <c r="AJ710" s="14" t="str">
        <f>'Communication to latex'!J162</f>
        <v>\GWPAWEmanufPofAllA</v>
      </c>
      <c r="AK710" t="s">
        <v>1765</v>
      </c>
      <c r="AL710" s="14" t="str">
        <f>'Communication to latex'!J200</f>
        <v>\GWPHAWTmanufA</v>
      </c>
      <c r="AM710" t="s">
        <v>1765</v>
      </c>
      <c r="AN710" s="14" t="str">
        <f>'Communication to latex'!J234</f>
        <v>\GWPHAWTmanufPofManA</v>
      </c>
      <c r="AO710" t="s">
        <v>1765</v>
      </c>
      <c r="AP710" s="14" t="str">
        <f>'Communication to latex'!J217</f>
        <v>\GWPHAWTmanufPofAllA</v>
      </c>
      <c r="AQ710" s="334" t="s">
        <v>1764</v>
      </c>
    </row>
    <row r="711" spans="1:43" x14ac:dyDescent="0.3">
      <c r="R711" t="s">
        <v>1183</v>
      </c>
      <c r="S711" t="s">
        <v>1765</v>
      </c>
      <c r="T711" s="14" t="str">
        <f>'Communication to latex'!J138</f>
        <v>\CEDAWEmanufB</v>
      </c>
      <c r="U711" t="s">
        <v>1765</v>
      </c>
      <c r="V711" s="14" t="str">
        <f>'Communication to latex'!J172</f>
        <v>\CEDAWEmanufPofManB</v>
      </c>
      <c r="W711" t="s">
        <v>1765</v>
      </c>
      <c r="X711" s="14" t="str">
        <f>'Communication to latex'!J155</f>
        <v>\CEDAWEmanufPofAllB</v>
      </c>
      <c r="Y711" t="s">
        <v>1765</v>
      </c>
      <c r="Z711" s="14" t="str">
        <f>'Communication to latex'!J193</f>
        <v>\CEDHAWTmanufB</v>
      </c>
      <c r="AA711" t="s">
        <v>1765</v>
      </c>
      <c r="AB711" s="14" t="str">
        <f>'Communication to latex'!J227</f>
        <v>\CEDHAWTmanufPofManB</v>
      </c>
      <c r="AC711" t="s">
        <v>1765</v>
      </c>
      <c r="AD711" s="14" t="str">
        <f>'Communication to latex'!J210</f>
        <v>\CEDHAWTmanufPofAllB</v>
      </c>
      <c r="AE711" t="s">
        <v>1765</v>
      </c>
      <c r="AF711" s="14" t="str">
        <f>'Communication to latex'!J146</f>
        <v>\GWPAWEmanufB</v>
      </c>
      <c r="AG711" t="s">
        <v>1765</v>
      </c>
      <c r="AH711" s="14" t="str">
        <f>'Communication to latex'!J180</f>
        <v>\GWPAWEmanufPofManB</v>
      </c>
      <c r="AI711" t="s">
        <v>1765</v>
      </c>
      <c r="AJ711" s="14" t="str">
        <f>'Communication to latex'!J163</f>
        <v>\GWPAWEmanufPofAllB</v>
      </c>
      <c r="AK711" t="s">
        <v>1765</v>
      </c>
      <c r="AL711" s="14" t="str">
        <f>'Communication to latex'!J201</f>
        <v>\GWPHAWTmanufB</v>
      </c>
      <c r="AM711" t="s">
        <v>1765</v>
      </c>
      <c r="AN711" s="14" t="str">
        <f>'Communication to latex'!J235</f>
        <v>\GWPHAWTmanufPofManB</v>
      </c>
      <c r="AO711" t="s">
        <v>1765</v>
      </c>
      <c r="AP711" s="14" t="str">
        <f>'Communication to latex'!J218</f>
        <v>\GWPHAWTmanufPofAllB</v>
      </c>
      <c r="AQ711" s="334" t="s">
        <v>1764</v>
      </c>
    </row>
    <row r="712" spans="1:43" x14ac:dyDescent="0.3">
      <c r="B712" s="42" t="s">
        <v>1875</v>
      </c>
      <c r="C712" s="42"/>
      <c r="E712" s="42" t="s">
        <v>1172</v>
      </c>
      <c r="F712" s="42" t="str">
        <f>F689</f>
        <v>EOL phase impacts</v>
      </c>
      <c r="H712" s="42" t="s">
        <v>1791</v>
      </c>
      <c r="I712" s="42" t="str">
        <f>"%" &amp;F712 &amp;H712 &amp;B712 &amp;H712  &amp;E712</f>
        <v>%EOL phase impacts.% of all impacts.AWE</v>
      </c>
      <c r="J712" s="42" t="str">
        <f>"\"&amp;B712&amp;E712&amp;F712</f>
        <v>\% of all impactsAWEEOL phase impacts</v>
      </c>
      <c r="R712" t="s">
        <v>1763</v>
      </c>
      <c r="S712" t="s">
        <v>1765</v>
      </c>
      <c r="T712" s="14" t="str">
        <f>'Communication to latex'!J139</f>
        <v>\CEDAWEmanufC</v>
      </c>
      <c r="U712" t="s">
        <v>1765</v>
      </c>
      <c r="V712" s="14" t="str">
        <f>'Communication to latex'!J173</f>
        <v>\CEDAWEmanufPofManC</v>
      </c>
      <c r="W712" t="s">
        <v>1765</v>
      </c>
      <c r="X712" s="14" t="str">
        <f>'Communication to latex'!J156</f>
        <v>\CEDAWEmanufPofAllC</v>
      </c>
      <c r="Y712" t="s">
        <v>1765</v>
      </c>
      <c r="Z712" s="14" t="str">
        <f>'Communication to latex'!J194</f>
        <v>\CEDHAWTmanufC</v>
      </c>
      <c r="AA712" t="s">
        <v>1765</v>
      </c>
      <c r="AB712" s="14" t="str">
        <f>'Communication to latex'!J228</f>
        <v>\CEDHAWTmanufPofManC</v>
      </c>
      <c r="AC712" t="s">
        <v>1765</v>
      </c>
      <c r="AD712" s="14" t="str">
        <f>'Communication to latex'!J211</f>
        <v>\CEDHAWTmanufPofAllC</v>
      </c>
      <c r="AE712" t="s">
        <v>1765</v>
      </c>
      <c r="AF712" s="14" t="str">
        <f>'Communication to latex'!J147</f>
        <v>\GWPAWEmanufC</v>
      </c>
      <c r="AG712" t="s">
        <v>1765</v>
      </c>
      <c r="AH712" s="14" t="str">
        <f>'Communication to latex'!J181</f>
        <v>\GWPAWEmanufPofManC</v>
      </c>
      <c r="AI712" t="s">
        <v>1765</v>
      </c>
      <c r="AJ712" s="14" t="str">
        <f>'Communication to latex'!J164</f>
        <v>\GWPAWEmanufPofAllC</v>
      </c>
      <c r="AK712" t="s">
        <v>1765</v>
      </c>
      <c r="AL712" s="14" t="str">
        <f>'Communication to latex'!J202</f>
        <v>\GWPHAWTmanufC</v>
      </c>
      <c r="AM712" t="s">
        <v>1765</v>
      </c>
      <c r="AN712" s="14" t="str">
        <f>'Communication to latex'!J236</f>
        <v>\GWPHAWTmanufPofManC</v>
      </c>
      <c r="AO712" t="s">
        <v>1765</v>
      </c>
      <c r="AP712" s="14" t="str">
        <f>'Communication to latex'!J219</f>
        <v>\GWPHAWTmanufPofAllC</v>
      </c>
      <c r="AQ712" s="334" t="s">
        <v>1764</v>
      </c>
    </row>
    <row r="713" spans="1:43" x14ac:dyDescent="0.3">
      <c r="C713" s="42" t="s">
        <v>720</v>
      </c>
      <c r="D713" s="42" t="s">
        <v>1942</v>
      </c>
      <c r="E713" t="str">
        <f>E668</f>
        <v>AWE</v>
      </c>
      <c r="F713" t="s">
        <v>32</v>
      </c>
      <c r="G713" s="359">
        <f t="shared" ref="G713:G716" si="431">L713</f>
        <v>0.43500925910814514</v>
      </c>
      <c r="H713" t="str">
        <f>H669</f>
        <v>Transport</v>
      </c>
      <c r="I713" t="str">
        <f t="shared" ref="I713:I722" si="432">"\newcommand{"&amp;J713&amp;"}{"&amp;TEXT(G713,$H$13)&amp;"}%"&amp;H713</f>
        <v>\newcommand{\ImpEOLstagePofTotAWEGWPA}{0,4}%Transport</v>
      </c>
      <c r="J713" t="str">
        <f t="shared" ref="J713:J722" si="433">"\"&amp;D713&amp;E713&amp;F713&amp;C713</f>
        <v>\ImpEOLstagePofTotAWEGWPA</v>
      </c>
      <c r="L713">
        <f>M713</f>
        <v>0.43500925910814514</v>
      </c>
      <c r="M713">
        <f>100*L669/$S$605</f>
        <v>0.43500925910814514</v>
      </c>
      <c r="R713" t="s">
        <v>16</v>
      </c>
      <c r="S713" t="s">
        <v>1765</v>
      </c>
      <c r="T713" s="14" t="str">
        <f>'Communication to latex'!J140</f>
        <v>\CEDAWEmanufD</v>
      </c>
      <c r="U713" t="s">
        <v>1765</v>
      </c>
      <c r="V713" s="14" t="str">
        <f>'Communication to latex'!J174</f>
        <v>\CEDAWEmanufPofManD</v>
      </c>
      <c r="W713" t="s">
        <v>1765</v>
      </c>
      <c r="X713" s="14" t="str">
        <f>'Communication to latex'!J157</f>
        <v>\CEDAWEmanufPofAllD</v>
      </c>
      <c r="Y713" t="s">
        <v>1765</v>
      </c>
      <c r="Z713" s="14" t="str">
        <f>'Communication to latex'!J195</f>
        <v>\CEDHAWTmanufD</v>
      </c>
      <c r="AA713" t="s">
        <v>1765</v>
      </c>
      <c r="AB713" s="14" t="str">
        <f>'Communication to latex'!J229</f>
        <v>\CEDHAWTmanufPofManD</v>
      </c>
      <c r="AC713" t="s">
        <v>1765</v>
      </c>
      <c r="AD713" s="14" t="str">
        <f>'Communication to latex'!J212</f>
        <v>\CEDHAWTmanufPofAllD</v>
      </c>
      <c r="AE713" t="s">
        <v>1765</v>
      </c>
      <c r="AF713" s="14" t="str">
        <f>'Communication to latex'!J148</f>
        <v>\GWPAWEmanufD</v>
      </c>
      <c r="AG713" t="s">
        <v>1765</v>
      </c>
      <c r="AH713" s="14" t="str">
        <f>'Communication to latex'!J182</f>
        <v>\GWPAWEmanufPofManD</v>
      </c>
      <c r="AI713" t="s">
        <v>1765</v>
      </c>
      <c r="AJ713" s="14" t="str">
        <f>'Communication to latex'!J165</f>
        <v>\GWPAWEmanufPofAllD</v>
      </c>
      <c r="AK713" t="s">
        <v>1765</v>
      </c>
      <c r="AL713" s="14" t="str">
        <f>'Communication to latex'!J203</f>
        <v>\GWPHAWTmanufD</v>
      </c>
      <c r="AM713" t="s">
        <v>1765</v>
      </c>
      <c r="AN713" s="14" t="str">
        <f>'Communication to latex'!J237</f>
        <v>\GWPHAWTmanufPofManD</v>
      </c>
      <c r="AO713" t="s">
        <v>1765</v>
      </c>
      <c r="AP713" s="14" t="str">
        <f>'Communication to latex'!J220</f>
        <v>\GWPHAWTmanufPofAllD</v>
      </c>
      <c r="AQ713" s="334" t="s">
        <v>1764</v>
      </c>
    </row>
    <row r="714" spans="1:43" x14ac:dyDescent="0.3">
      <c r="C714" t="s">
        <v>788</v>
      </c>
      <c r="D714" t="str">
        <f t="shared" ref="D714:F714" si="434">D713</f>
        <v>ImpEOLstagePofTot</v>
      </c>
      <c r="E714" t="str">
        <f t="shared" si="434"/>
        <v>AWE</v>
      </c>
      <c r="F714" t="str">
        <f t="shared" si="434"/>
        <v>GWP</v>
      </c>
      <c r="G714" s="359">
        <f t="shared" si="431"/>
        <v>2.900843364107363</v>
      </c>
      <c r="H714" t="str">
        <f t="shared" ref="H714:H722" si="435">H670</f>
        <v>Treatment</v>
      </c>
      <c r="I714" t="str">
        <f t="shared" si="432"/>
        <v>\newcommand{\ImpEOLstagePofTotAWEGWPB}{2,9}%Treatment</v>
      </c>
      <c r="J714" t="str">
        <f t="shared" si="433"/>
        <v>\ImpEOLstagePofTotAWEGWPB</v>
      </c>
      <c r="L714">
        <f t="shared" ref="L714:L715" si="436">M714</f>
        <v>2.900843364107363</v>
      </c>
      <c r="M714">
        <f t="shared" ref="M714:M716" si="437">100*L670/$S$605</f>
        <v>2.900843364107363</v>
      </c>
      <c r="R714" t="s">
        <v>50</v>
      </c>
      <c r="S714" t="s">
        <v>1765</v>
      </c>
      <c r="T714" s="14" t="str">
        <f>'Communication to latex'!J141</f>
        <v>\CEDAWEmanufE</v>
      </c>
      <c r="U714" t="s">
        <v>1765</v>
      </c>
      <c r="V714" s="14" t="str">
        <f>'Communication to latex'!J175</f>
        <v>\CEDAWEmanufPofManE</v>
      </c>
      <c r="W714" t="s">
        <v>1765</v>
      </c>
      <c r="X714" s="14" t="str">
        <f>'Communication to latex'!J158</f>
        <v>\CEDAWEmanufPofAllE</v>
      </c>
      <c r="Y714" t="s">
        <v>1765</v>
      </c>
      <c r="Z714" s="14" t="str">
        <f>'Communication to latex'!J196</f>
        <v>\CEDHAWTmanufE</v>
      </c>
      <c r="AA714" t="s">
        <v>1765</v>
      </c>
      <c r="AB714" s="14" t="str">
        <f>'Communication to latex'!J230</f>
        <v>\CEDHAWTmanufPofManE</v>
      </c>
      <c r="AC714" t="s">
        <v>1765</v>
      </c>
      <c r="AD714" s="14" t="str">
        <f>'Communication to latex'!J213</f>
        <v>\CEDHAWTmanufPofAllE</v>
      </c>
      <c r="AE714" t="s">
        <v>1765</v>
      </c>
      <c r="AF714" s="14" t="str">
        <f>'Communication to latex'!J149</f>
        <v>\GWPAWEmanufE</v>
      </c>
      <c r="AG714" t="s">
        <v>1765</v>
      </c>
      <c r="AH714" s="14" t="str">
        <f>'Communication to latex'!J183</f>
        <v>\GWPAWEmanufPofManE</v>
      </c>
      <c r="AI714" t="s">
        <v>1765</v>
      </c>
      <c r="AJ714" s="14" t="str">
        <f>'Communication to latex'!J166</f>
        <v>\GWPAWEmanufPofAllE</v>
      </c>
      <c r="AK714" t="s">
        <v>1765</v>
      </c>
      <c r="AL714" s="14" t="str">
        <f>'Communication to latex'!J204</f>
        <v>\GWPHAWTmanufE</v>
      </c>
      <c r="AM714" t="s">
        <v>1765</v>
      </c>
      <c r="AN714" s="14" t="str">
        <f>'Communication to latex'!J238</f>
        <v>\GWPHAWTmanufPofManE</v>
      </c>
      <c r="AO714" t="s">
        <v>1765</v>
      </c>
      <c r="AP714" s="14" t="str">
        <f>'Communication to latex'!J221</f>
        <v>\GWPHAWTmanufPofAllE</v>
      </c>
      <c r="AQ714" s="334" t="s">
        <v>1764</v>
      </c>
    </row>
    <row r="715" spans="1:43" x14ac:dyDescent="0.3">
      <c r="C715" t="s">
        <v>790</v>
      </c>
      <c r="D715" t="str">
        <f t="shared" ref="D715:F715" si="438">D714</f>
        <v>ImpEOLstagePofTot</v>
      </c>
      <c r="E715" t="str">
        <f t="shared" si="438"/>
        <v>AWE</v>
      </c>
      <c r="F715" t="str">
        <f t="shared" si="438"/>
        <v>GWP</v>
      </c>
      <c r="G715" s="359">
        <f t="shared" si="431"/>
        <v>0.14214592725825625</v>
      </c>
      <c r="H715" t="str">
        <f t="shared" si="435"/>
        <v>Disassembly</v>
      </c>
      <c r="I715" t="str">
        <f t="shared" si="432"/>
        <v>\newcommand{\ImpEOLstagePofTotAWEGWPC}{0,1}%Disassembly</v>
      </c>
      <c r="J715" t="str">
        <f t="shared" si="433"/>
        <v>\ImpEOLstagePofTotAWEGWPC</v>
      </c>
      <c r="L715">
        <f t="shared" si="436"/>
        <v>0.14214592725825625</v>
      </c>
      <c r="M715">
        <f t="shared" si="437"/>
        <v>0.14214592725825625</v>
      </c>
      <c r="R715" t="s">
        <v>139</v>
      </c>
      <c r="S715" t="s">
        <v>1765</v>
      </c>
      <c r="T715" s="14" t="str">
        <f>'Communication to latex'!J142</f>
        <v>\CEDAWEmanufF</v>
      </c>
      <c r="U715" t="s">
        <v>1765</v>
      </c>
      <c r="V715" s="14" t="str">
        <f>'Communication to latex'!J176</f>
        <v>\CEDAWEmanufPofManF</v>
      </c>
      <c r="W715" t="s">
        <v>1765</v>
      </c>
      <c r="X715" s="14" t="str">
        <f>'Communication to latex'!J159</f>
        <v>\CEDAWEmanufPofAllF</v>
      </c>
      <c r="Y715" t="s">
        <v>1765</v>
      </c>
      <c r="Z715" s="14" t="str">
        <f>'Communication to latex'!J197</f>
        <v>\CEDHAWTmanufF</v>
      </c>
      <c r="AA715" t="s">
        <v>1765</v>
      </c>
      <c r="AB715" s="14" t="str">
        <f>'Communication to latex'!J231</f>
        <v>\CEDHAWTmanufPofManF</v>
      </c>
      <c r="AC715" t="s">
        <v>1765</v>
      </c>
      <c r="AD715" s="14" t="str">
        <f>'Communication to latex'!J214</f>
        <v>\CEDHAWTmanufPofAllF</v>
      </c>
      <c r="AE715" t="s">
        <v>1765</v>
      </c>
      <c r="AF715" s="14" t="str">
        <f>'Communication to latex'!J150</f>
        <v>\GWPAWEmanufF</v>
      </c>
      <c r="AG715" t="s">
        <v>1765</v>
      </c>
      <c r="AH715" s="14" t="str">
        <f>'Communication to latex'!J184</f>
        <v>\GWPAWEmanufPofManF</v>
      </c>
      <c r="AI715" t="s">
        <v>1765</v>
      </c>
      <c r="AJ715" s="14" t="str">
        <f>'Communication to latex'!J167</f>
        <v>\GWPAWEmanufPofAllF</v>
      </c>
      <c r="AK715" t="s">
        <v>1765</v>
      </c>
      <c r="AL715" s="14" t="str">
        <f>'Communication to latex'!J205</f>
        <v>\GWPHAWTmanufF</v>
      </c>
      <c r="AM715" t="s">
        <v>1765</v>
      </c>
      <c r="AN715" s="14" t="str">
        <f>'Communication to latex'!J239</f>
        <v>\GWPHAWTmanufPofManF</v>
      </c>
      <c r="AO715" t="s">
        <v>1765</v>
      </c>
      <c r="AP715" s="14" t="str">
        <f>'Communication to latex'!J222</f>
        <v>\GWPHAWTmanufPofAllF</v>
      </c>
      <c r="AQ715" t="s">
        <v>1766</v>
      </c>
    </row>
    <row r="716" spans="1:43" x14ac:dyDescent="0.3">
      <c r="C716" t="s">
        <v>1786</v>
      </c>
      <c r="D716" t="str">
        <f t="shared" ref="D716:F716" si="439">D715</f>
        <v>ImpEOLstagePofTot</v>
      </c>
      <c r="E716" t="str">
        <f t="shared" si="439"/>
        <v>AWE</v>
      </c>
      <c r="F716" t="str">
        <f t="shared" si="439"/>
        <v>GWP</v>
      </c>
      <c r="G716" s="359">
        <f t="shared" si="431"/>
        <v>3.4779985504737643</v>
      </c>
      <c r="H716" t="str">
        <f t="shared" si="435"/>
        <v>Total</v>
      </c>
      <c r="I716" t="str">
        <f t="shared" si="432"/>
        <v>\newcommand{\ImpEOLstagePofTotAWEGWPD}{3,5}%Total</v>
      </c>
      <c r="J716" t="str">
        <f t="shared" si="433"/>
        <v>\ImpEOLstagePofTotAWEGWPD</v>
      </c>
      <c r="L716">
        <f>M716</f>
        <v>3.4779985504737643</v>
      </c>
      <c r="M716">
        <f t="shared" si="437"/>
        <v>3.4779985504737643</v>
      </c>
      <c r="R716" t="s">
        <v>191</v>
      </c>
      <c r="S716" t="s">
        <v>1765</v>
      </c>
      <c r="T716" s="14" t="str">
        <f>'Communication to latex'!J143</f>
        <v>\CEDAWEmanufG</v>
      </c>
      <c r="U716" t="s">
        <v>1765</v>
      </c>
      <c r="V716" s="14" t="str">
        <f>'Communication to latex'!J177</f>
        <v>\CEDAWEmanufPofManG</v>
      </c>
      <c r="W716" t="s">
        <v>1765</v>
      </c>
      <c r="X716" s="14" t="str">
        <f>'Communication to latex'!J160</f>
        <v>\CEDAWEmanufPofAllG</v>
      </c>
      <c r="Y716" t="s">
        <v>1765</v>
      </c>
      <c r="Z716" s="14" t="str">
        <f>'Communication to latex'!J198</f>
        <v>\CEDHAWTmanufG</v>
      </c>
      <c r="AA716" t="s">
        <v>1765</v>
      </c>
      <c r="AB716" s="14" t="str">
        <f>'Communication to latex'!J232</f>
        <v>\CEDHAWTmanufPofManG</v>
      </c>
      <c r="AC716" t="s">
        <v>1765</v>
      </c>
      <c r="AD716" s="14" t="str">
        <f>'Communication to latex'!J215</f>
        <v>\CEDHAWTmanufPofAllG</v>
      </c>
      <c r="AE716" t="s">
        <v>1765</v>
      </c>
      <c r="AF716" s="14" t="str">
        <f>'Communication to latex'!J151</f>
        <v>\GWPAWEmanufG</v>
      </c>
      <c r="AG716" t="s">
        <v>1765</v>
      </c>
      <c r="AH716" s="14" t="str">
        <f>'Communication to latex'!J185</f>
        <v>\GWPAWEmanufPofManG</v>
      </c>
      <c r="AI716" t="s">
        <v>1765</v>
      </c>
      <c r="AJ716" s="14" t="str">
        <f>'Communication to latex'!J168</f>
        <v>\GWPAWEmanufPofAllG</v>
      </c>
      <c r="AK716" t="s">
        <v>1765</v>
      </c>
      <c r="AL716" s="14" t="str">
        <f>'Communication to latex'!J206</f>
        <v>\GWPHAWTmanufG</v>
      </c>
      <c r="AM716" t="s">
        <v>1765</v>
      </c>
      <c r="AN716" s="14" t="str">
        <f>'Communication to latex'!J240</f>
        <v>\GWPHAWTmanufPofManG</v>
      </c>
      <c r="AO716" t="s">
        <v>1765</v>
      </c>
      <c r="AP716" s="14" t="str">
        <f>'Communication to latex'!J223</f>
        <v>\GWPHAWTmanufPofAllG</v>
      </c>
      <c r="AQ716" s="334" t="s">
        <v>1764</v>
      </c>
    </row>
    <row r="717" spans="1:43" x14ac:dyDescent="0.3">
      <c r="C717" t="s">
        <v>1784</v>
      </c>
      <c r="D717" t="str">
        <f t="shared" ref="D717:F717" si="440">D716</f>
        <v>ImpEOLstagePofTot</v>
      </c>
      <c r="E717" t="str">
        <f t="shared" si="440"/>
        <v>AWE</v>
      </c>
      <c r="F717" t="str">
        <f t="shared" si="440"/>
        <v>GWP</v>
      </c>
      <c r="G717" s="359">
        <f>L717</f>
        <v>0</v>
      </c>
      <c r="H717">
        <f t="shared" si="435"/>
        <v>0</v>
      </c>
      <c r="I717" t="str">
        <f t="shared" si="432"/>
        <v>\newcommand{\ImpEOLstagePofTotAWEGWPE}{0,0}%0</v>
      </c>
      <c r="J717" t="str">
        <f t="shared" si="433"/>
        <v>\ImpEOLstagePofTotAWEGWPE</v>
      </c>
    </row>
    <row r="718" spans="1:43" x14ac:dyDescent="0.3">
      <c r="C718" t="s">
        <v>1783</v>
      </c>
      <c r="D718" t="str">
        <f t="shared" ref="D718" si="441">D717</f>
        <v>ImpEOLstagePofTot</v>
      </c>
      <c r="E718" t="s">
        <v>1142</v>
      </c>
      <c r="F718" t="str">
        <f t="shared" ref="F718" si="442">F717</f>
        <v>GWP</v>
      </c>
      <c r="G718" s="359">
        <f t="shared" ref="G718:G721" si="443">L718</f>
        <v>0.91456182553209964</v>
      </c>
      <c r="H718" t="str">
        <f t="shared" si="435"/>
        <v>Transport</v>
      </c>
      <c r="I718" t="str">
        <f t="shared" si="432"/>
        <v>\newcommand{\ImpEOLstagePofTotHAWTGWPF}{0,9}%Transport</v>
      </c>
      <c r="J718" t="str">
        <f t="shared" si="433"/>
        <v>\ImpEOLstagePofTotHAWTGWPF</v>
      </c>
      <c r="L718">
        <f>M718</f>
        <v>0.91456182553209964</v>
      </c>
      <c r="M718">
        <f>100*L674/$S$601</f>
        <v>0.91456182553209964</v>
      </c>
    </row>
    <row r="719" spans="1:43" x14ac:dyDescent="0.3">
      <c r="A719" s="70"/>
      <c r="C719" t="s">
        <v>1782</v>
      </c>
      <c r="D719" t="str">
        <f t="shared" ref="D719:F719" si="444">D718</f>
        <v>ImpEOLstagePofTot</v>
      </c>
      <c r="E719" t="str">
        <f t="shared" si="444"/>
        <v>HAWT</v>
      </c>
      <c r="F719" t="str">
        <f t="shared" si="444"/>
        <v>GWP</v>
      </c>
      <c r="G719" s="359">
        <f t="shared" si="443"/>
        <v>1.8611285650656855</v>
      </c>
      <c r="H719" t="str">
        <f t="shared" si="435"/>
        <v>treatment</v>
      </c>
      <c r="I719" t="str">
        <f t="shared" si="432"/>
        <v>\newcommand{\ImpEOLstagePofTotHAWTGWPG}{1,9}%treatment</v>
      </c>
      <c r="J719" t="str">
        <f t="shared" si="433"/>
        <v>\ImpEOLstagePofTotHAWTGWPG</v>
      </c>
      <c r="L719">
        <f t="shared" ref="L719:L721" si="445">M719</f>
        <v>1.8611285650656855</v>
      </c>
      <c r="M719">
        <f t="shared" ref="M719:M721" si="446">100*L675/$S$601</f>
        <v>1.8611285650656855</v>
      </c>
      <c r="R719">
        <f t="shared" ref="R719:AQ719" si="447">R708</f>
        <v>0</v>
      </c>
      <c r="S719">
        <f t="shared" si="447"/>
        <v>0</v>
      </c>
      <c r="T719" t="str">
        <f t="shared" si="447"/>
        <v>AWE</v>
      </c>
      <c r="U719">
        <f t="shared" si="447"/>
        <v>0</v>
      </c>
      <c r="V719">
        <f t="shared" si="447"/>
        <v>0</v>
      </c>
      <c r="W719">
        <f t="shared" si="447"/>
        <v>0</v>
      </c>
      <c r="X719">
        <f t="shared" si="447"/>
        <v>0</v>
      </c>
      <c r="Y719">
        <f t="shared" si="447"/>
        <v>0</v>
      </c>
      <c r="Z719" t="str">
        <f t="shared" si="447"/>
        <v>HAWT</v>
      </c>
      <c r="AA719">
        <f t="shared" si="447"/>
        <v>0</v>
      </c>
      <c r="AB719">
        <f t="shared" si="447"/>
        <v>0</v>
      </c>
      <c r="AC719">
        <f t="shared" si="447"/>
        <v>0</v>
      </c>
      <c r="AD719">
        <f t="shared" si="447"/>
        <v>0</v>
      </c>
      <c r="AE719">
        <f t="shared" si="447"/>
        <v>0</v>
      </c>
      <c r="AF719" t="str">
        <f t="shared" si="447"/>
        <v>AWE</v>
      </c>
      <c r="AG719">
        <f t="shared" si="447"/>
        <v>0</v>
      </c>
      <c r="AH719">
        <f t="shared" si="447"/>
        <v>0</v>
      </c>
      <c r="AI719">
        <f t="shared" si="447"/>
        <v>0</v>
      </c>
      <c r="AJ719">
        <f t="shared" si="447"/>
        <v>0</v>
      </c>
      <c r="AK719">
        <f t="shared" si="447"/>
        <v>0</v>
      </c>
      <c r="AL719" t="str">
        <f t="shared" si="447"/>
        <v>HAWT</v>
      </c>
      <c r="AM719">
        <f t="shared" si="447"/>
        <v>0</v>
      </c>
      <c r="AN719">
        <f t="shared" si="447"/>
        <v>0</v>
      </c>
      <c r="AO719">
        <f t="shared" si="447"/>
        <v>0</v>
      </c>
      <c r="AP719">
        <f t="shared" si="447"/>
        <v>0</v>
      </c>
      <c r="AQ719">
        <f t="shared" si="447"/>
        <v>0</v>
      </c>
    </row>
    <row r="720" spans="1:43" x14ac:dyDescent="0.3">
      <c r="C720" t="s">
        <v>1798</v>
      </c>
      <c r="D720" t="str">
        <f t="shared" ref="D720:F720" si="448">D719</f>
        <v>ImpEOLstagePofTot</v>
      </c>
      <c r="E720" t="str">
        <f t="shared" si="448"/>
        <v>HAWT</v>
      </c>
      <c r="F720" t="str">
        <f t="shared" si="448"/>
        <v>GWP</v>
      </c>
      <c r="G720" s="359">
        <f t="shared" si="443"/>
        <v>0.25331777936136352</v>
      </c>
      <c r="H720" t="str">
        <f t="shared" si="435"/>
        <v>Disassembly</v>
      </c>
      <c r="I720" t="str">
        <f t="shared" si="432"/>
        <v>\newcommand{\ImpEOLstagePofTotHAWTGWPH}{0,3}%Disassembly</v>
      </c>
      <c r="J720" t="str">
        <f t="shared" si="433"/>
        <v>\ImpEOLstagePofTotHAWTGWPH</v>
      </c>
      <c r="L720">
        <f t="shared" si="445"/>
        <v>0.25331777936136352</v>
      </c>
      <c r="M720">
        <f t="shared" si="446"/>
        <v>0.25331777936136352</v>
      </c>
      <c r="R720">
        <f t="shared" ref="R720:AQ720" si="449">R709</f>
        <v>0</v>
      </c>
      <c r="S720">
        <f t="shared" si="449"/>
        <v>0</v>
      </c>
      <c r="T720" t="str">
        <f t="shared" si="449"/>
        <v>CED</v>
      </c>
      <c r="U720">
        <f t="shared" si="449"/>
        <v>0</v>
      </c>
      <c r="V720" t="str">
        <f t="shared" si="449"/>
        <v>%</v>
      </c>
      <c r="W720">
        <f t="shared" si="449"/>
        <v>0</v>
      </c>
      <c r="X720" t="str">
        <f t="shared" si="449"/>
        <v>%</v>
      </c>
      <c r="Y720">
        <f t="shared" si="449"/>
        <v>0</v>
      </c>
      <c r="Z720" t="str">
        <f t="shared" si="449"/>
        <v>CED</v>
      </c>
      <c r="AA720">
        <f t="shared" si="449"/>
        <v>0</v>
      </c>
      <c r="AB720" t="str">
        <f t="shared" si="449"/>
        <v>%</v>
      </c>
      <c r="AC720">
        <f t="shared" si="449"/>
        <v>0</v>
      </c>
      <c r="AD720" t="str">
        <f t="shared" si="449"/>
        <v>%</v>
      </c>
      <c r="AE720">
        <f t="shared" si="449"/>
        <v>0</v>
      </c>
      <c r="AF720" t="str">
        <f t="shared" si="449"/>
        <v>GWP</v>
      </c>
      <c r="AG720">
        <f t="shared" si="449"/>
        <v>0</v>
      </c>
      <c r="AH720" t="str">
        <f t="shared" si="449"/>
        <v>%</v>
      </c>
      <c r="AI720">
        <f t="shared" si="449"/>
        <v>0</v>
      </c>
      <c r="AJ720" t="str">
        <f t="shared" si="449"/>
        <v>%</v>
      </c>
      <c r="AK720">
        <f t="shared" si="449"/>
        <v>0</v>
      </c>
      <c r="AL720" t="str">
        <f t="shared" si="449"/>
        <v>GWP</v>
      </c>
      <c r="AM720">
        <f t="shared" si="449"/>
        <v>0</v>
      </c>
      <c r="AN720" t="str">
        <f t="shared" si="449"/>
        <v>%</v>
      </c>
      <c r="AO720">
        <f t="shared" si="449"/>
        <v>0</v>
      </c>
      <c r="AP720" t="str">
        <f t="shared" si="449"/>
        <v>%</v>
      </c>
      <c r="AQ720">
        <f t="shared" si="449"/>
        <v>0</v>
      </c>
    </row>
    <row r="721" spans="3:35" x14ac:dyDescent="0.3">
      <c r="C721" t="s">
        <v>1796</v>
      </c>
      <c r="D721" t="str">
        <f t="shared" ref="D721:F721" si="450">D720</f>
        <v>ImpEOLstagePofTot</v>
      </c>
      <c r="E721" t="str">
        <f t="shared" si="450"/>
        <v>HAWT</v>
      </c>
      <c r="F721" t="str">
        <f t="shared" si="450"/>
        <v>GWP</v>
      </c>
      <c r="G721" s="359">
        <f t="shared" si="443"/>
        <v>3.0290081699591487</v>
      </c>
      <c r="H721" t="str">
        <f t="shared" si="435"/>
        <v>Total</v>
      </c>
      <c r="I721" t="str">
        <f t="shared" si="432"/>
        <v>\newcommand{\ImpEOLstagePofTotHAWTGWPI}{3,0}%Total</v>
      </c>
      <c r="J721" t="str">
        <f t="shared" si="433"/>
        <v>\ImpEOLstagePofTotHAWTGWPI</v>
      </c>
      <c r="L721">
        <f t="shared" si="445"/>
        <v>3.0290081699591487</v>
      </c>
      <c r="M721">
        <f t="shared" si="446"/>
        <v>3.0290081699591487</v>
      </c>
      <c r="R721" t="s">
        <v>2004</v>
      </c>
      <c r="S721" t="str">
        <f t="shared" ref="S721" si="451">S716</f>
        <v>&amp;</v>
      </c>
      <c r="T721" t="str">
        <f>AF716</f>
        <v>\GWPAWEmanufG</v>
      </c>
      <c r="U721" t="str">
        <f>AG716</f>
        <v>&amp;</v>
      </c>
      <c r="V721" t="str">
        <f>AH716</f>
        <v>\GWPAWEmanufPofManG</v>
      </c>
      <c r="W721" t="str">
        <f>AI716</f>
        <v>&amp;</v>
      </c>
      <c r="X721" t="str">
        <f>AJ716</f>
        <v>\GWPAWEmanufPofAllG</v>
      </c>
      <c r="Z721" t="str">
        <f t="shared" ref="Z721" si="452">AE716</f>
        <v>&amp;</v>
      </c>
      <c r="AA721" t="str">
        <f>T716</f>
        <v>\CEDAWEmanufG</v>
      </c>
      <c r="AB721" t="str">
        <f>U716</f>
        <v>&amp;</v>
      </c>
      <c r="AC721" t="str">
        <f>V716</f>
        <v>\CEDAWEmanufPofManG</v>
      </c>
      <c r="AD721" t="str">
        <f>W716</f>
        <v>&amp;</v>
      </c>
      <c r="AE721" t="str">
        <f>X716</f>
        <v>\CEDAWEmanufPofAllG</v>
      </c>
      <c r="AH721" s="334" t="s">
        <v>1764</v>
      </c>
      <c r="AI721" t="s">
        <v>1775</v>
      </c>
    </row>
    <row r="722" spans="3:35" x14ac:dyDescent="0.3">
      <c r="C722" t="s">
        <v>1794</v>
      </c>
      <c r="D722" t="str">
        <f t="shared" ref="D722:F722" si="453">D721</f>
        <v>ImpEOLstagePofTot</v>
      </c>
      <c r="E722" t="str">
        <f t="shared" si="453"/>
        <v>HAWT</v>
      </c>
      <c r="F722" t="str">
        <f t="shared" si="453"/>
        <v>GWP</v>
      </c>
      <c r="G722" s="359">
        <f>N733</f>
        <v>0</v>
      </c>
      <c r="H722">
        <f t="shared" si="435"/>
        <v>0</v>
      </c>
      <c r="I722" t="str">
        <f t="shared" si="432"/>
        <v>\newcommand{\ImpEOLstagePofTotHAWTGWPJ}{0,0}%0</v>
      </c>
      <c r="J722" t="str">
        <f t="shared" si="433"/>
        <v>\ImpEOLstagePofTotHAWTGWPJ</v>
      </c>
      <c r="Q722" t="s">
        <v>1881</v>
      </c>
      <c r="R722" t="s">
        <v>14</v>
      </c>
      <c r="S722" t="str">
        <f t="shared" ref="S722:S727" si="454">S710</f>
        <v>&amp;</v>
      </c>
      <c r="T722" t="str">
        <f t="shared" ref="T722:X727" si="455">AF710</f>
        <v>\GWPAWEmanufA</v>
      </c>
      <c r="U722" t="str">
        <f t="shared" si="455"/>
        <v>&amp;</v>
      </c>
      <c r="V722" t="str">
        <f t="shared" si="455"/>
        <v>\GWPAWEmanufPofManA</v>
      </c>
      <c r="W722" t="str">
        <f t="shared" si="455"/>
        <v>&amp;</v>
      </c>
      <c r="X722" t="str">
        <f t="shared" si="455"/>
        <v>\GWPAWEmanufPofAllA</v>
      </c>
      <c r="Z722" t="str">
        <f t="shared" ref="Z722:Z727" si="456">AE710</f>
        <v>&amp;</v>
      </c>
      <c r="AA722" t="str">
        <f t="shared" ref="AA722:AE727" si="457">T710</f>
        <v>\CEDAWEmanufA</v>
      </c>
      <c r="AB722" t="str">
        <f t="shared" si="457"/>
        <v>&amp;</v>
      </c>
      <c r="AC722" t="str">
        <f t="shared" si="457"/>
        <v>\CEDAWEmanufPofManA</v>
      </c>
      <c r="AD722" t="str">
        <f t="shared" si="457"/>
        <v>&amp;</v>
      </c>
      <c r="AE722" t="str">
        <f t="shared" si="457"/>
        <v>\CEDAWEmanufPofAllA</v>
      </c>
      <c r="AH722" s="334" t="s">
        <v>1764</v>
      </c>
    </row>
    <row r="723" spans="3:35" x14ac:dyDescent="0.3">
      <c r="Q723" t="s">
        <v>1881</v>
      </c>
      <c r="R723" t="s">
        <v>15</v>
      </c>
      <c r="S723" t="str">
        <f t="shared" si="454"/>
        <v>&amp;</v>
      </c>
      <c r="T723" t="str">
        <f t="shared" si="455"/>
        <v>\GWPAWEmanufB</v>
      </c>
      <c r="U723" t="str">
        <f t="shared" si="455"/>
        <v>&amp;</v>
      </c>
      <c r="V723" t="str">
        <f t="shared" si="455"/>
        <v>\GWPAWEmanufPofManB</v>
      </c>
      <c r="W723" t="str">
        <f t="shared" si="455"/>
        <v>&amp;</v>
      </c>
      <c r="X723" t="str">
        <f t="shared" si="455"/>
        <v>\GWPAWEmanufPofAllB</v>
      </c>
      <c r="Z723" t="str">
        <f t="shared" si="456"/>
        <v>&amp;</v>
      </c>
      <c r="AA723" t="str">
        <f t="shared" si="457"/>
        <v>\CEDAWEmanufB</v>
      </c>
      <c r="AB723" t="str">
        <f t="shared" si="457"/>
        <v>&amp;</v>
      </c>
      <c r="AC723" t="str">
        <f t="shared" si="457"/>
        <v>\CEDAWEmanufPofManB</v>
      </c>
      <c r="AD723" t="str">
        <f t="shared" si="457"/>
        <v>&amp;</v>
      </c>
      <c r="AE723" t="str">
        <f t="shared" si="457"/>
        <v>\CEDAWEmanufPofAllB</v>
      </c>
      <c r="AH723" s="334" t="s">
        <v>1764</v>
      </c>
    </row>
    <row r="724" spans="3:35" x14ac:dyDescent="0.3">
      <c r="C724" s="42" t="s">
        <v>720</v>
      </c>
      <c r="D724" s="42" t="str">
        <f>D713</f>
        <v>ImpEOLstagePofTot</v>
      </c>
      <c r="E724" t="s">
        <v>1172</v>
      </c>
      <c r="F724" t="s">
        <v>162</v>
      </c>
      <c r="G724" s="359">
        <f>L724</f>
        <v>0.42842956577364233</v>
      </c>
      <c r="H724" t="str">
        <f>H669</f>
        <v>Transport</v>
      </c>
      <c r="I724" t="str">
        <f t="shared" ref="I724:I733" si="458">"\newcommand{"&amp;J724&amp;"}{"&amp;TEXT(G724,$H$13)&amp;"}%"&amp;H724</f>
        <v>\newcommand{\ImpEOLstagePofTotAWECEDA}{0,4}%Transport</v>
      </c>
      <c r="J724" t="str">
        <f t="shared" ref="J724:J733" si="459">"\"&amp;D724&amp;E724&amp;F724&amp;C724</f>
        <v>\ImpEOLstagePofTotAWECEDA</v>
      </c>
      <c r="L724">
        <f>M724</f>
        <v>0.42842956577364233</v>
      </c>
      <c r="M724">
        <f>100*L679/$S$606</f>
        <v>0.42842956577364233</v>
      </c>
      <c r="Q724" t="s">
        <v>1881</v>
      </c>
      <c r="R724" t="s">
        <v>20</v>
      </c>
      <c r="S724" t="str">
        <f t="shared" si="454"/>
        <v>&amp;</v>
      </c>
      <c r="T724" t="str">
        <f t="shared" si="455"/>
        <v>\GWPAWEmanufC</v>
      </c>
      <c r="U724" t="str">
        <f t="shared" si="455"/>
        <v>&amp;</v>
      </c>
      <c r="V724" t="str">
        <f t="shared" si="455"/>
        <v>\GWPAWEmanufPofManC</v>
      </c>
      <c r="W724" t="str">
        <f t="shared" si="455"/>
        <v>&amp;</v>
      </c>
      <c r="X724" t="str">
        <f t="shared" si="455"/>
        <v>\GWPAWEmanufPofAllC</v>
      </c>
      <c r="Z724" t="str">
        <f t="shared" si="456"/>
        <v>&amp;</v>
      </c>
      <c r="AA724" t="str">
        <f t="shared" si="457"/>
        <v>\CEDAWEmanufC</v>
      </c>
      <c r="AB724" t="str">
        <f t="shared" si="457"/>
        <v>&amp;</v>
      </c>
      <c r="AC724" t="str">
        <f t="shared" si="457"/>
        <v>\CEDAWEmanufPofManC</v>
      </c>
      <c r="AD724" t="str">
        <f t="shared" si="457"/>
        <v>&amp;</v>
      </c>
      <c r="AE724" t="str">
        <f t="shared" si="457"/>
        <v>\CEDAWEmanufPofAllC</v>
      </c>
      <c r="AH724" s="334" t="s">
        <v>1764</v>
      </c>
    </row>
    <row r="725" spans="3:35" x14ac:dyDescent="0.3">
      <c r="C725" t="s">
        <v>788</v>
      </c>
      <c r="D725" t="str">
        <f t="shared" ref="D725:F725" si="460">D724</f>
        <v>ImpEOLstagePofTot</v>
      </c>
      <c r="E725" t="str">
        <f t="shared" si="460"/>
        <v>AWE</v>
      </c>
      <c r="F725" t="str">
        <f t="shared" si="460"/>
        <v>CED</v>
      </c>
      <c r="G725" s="359">
        <f t="shared" ref="G725:G730" si="461">L725</f>
        <v>0.29764589439368583</v>
      </c>
      <c r="H725" t="str">
        <f t="shared" ref="H725:H733" si="462">H670</f>
        <v>Treatment</v>
      </c>
      <c r="I725" t="str">
        <f t="shared" si="458"/>
        <v>\newcommand{\ImpEOLstagePofTotAWECEDB}{0,3}%Treatment</v>
      </c>
      <c r="J725" t="str">
        <f t="shared" si="459"/>
        <v>\ImpEOLstagePofTotAWECEDB</v>
      </c>
      <c r="L725">
        <f t="shared" ref="L725:L727" si="463">M725</f>
        <v>0.29764589439368583</v>
      </c>
      <c r="M725">
        <f t="shared" ref="M725:M727" si="464">100*L680/$S$606</f>
        <v>0.29764589439368583</v>
      </c>
      <c r="Q725" t="s">
        <v>1881</v>
      </c>
      <c r="R725" t="s">
        <v>16</v>
      </c>
      <c r="S725" t="str">
        <f t="shared" si="454"/>
        <v>&amp;</v>
      </c>
      <c r="T725" t="str">
        <f t="shared" si="455"/>
        <v>\GWPAWEmanufD</v>
      </c>
      <c r="U725" t="str">
        <f t="shared" si="455"/>
        <v>&amp;</v>
      </c>
      <c r="V725" t="str">
        <f t="shared" si="455"/>
        <v>\GWPAWEmanufPofManD</v>
      </c>
      <c r="W725" t="str">
        <f t="shared" si="455"/>
        <v>&amp;</v>
      </c>
      <c r="X725" t="str">
        <f t="shared" si="455"/>
        <v>\GWPAWEmanufPofAllD</v>
      </c>
      <c r="Z725" t="str">
        <f t="shared" si="456"/>
        <v>&amp;</v>
      </c>
      <c r="AA725" t="str">
        <f t="shared" si="457"/>
        <v>\CEDAWEmanufD</v>
      </c>
      <c r="AB725" t="str">
        <f t="shared" si="457"/>
        <v>&amp;</v>
      </c>
      <c r="AC725" t="str">
        <f t="shared" si="457"/>
        <v>\CEDAWEmanufPofManD</v>
      </c>
      <c r="AD725" t="str">
        <f t="shared" si="457"/>
        <v>&amp;</v>
      </c>
      <c r="AE725" t="str">
        <f t="shared" si="457"/>
        <v>\CEDAWEmanufPofAllD</v>
      </c>
      <c r="AH725" s="334" t="s">
        <v>1764</v>
      </c>
    </row>
    <row r="726" spans="3:35" x14ac:dyDescent="0.3">
      <c r="C726" t="s">
        <v>790</v>
      </c>
      <c r="D726" t="str">
        <f t="shared" ref="D726:F726" si="465">D725</f>
        <v>ImpEOLstagePofTot</v>
      </c>
      <c r="E726" t="str">
        <f t="shared" si="465"/>
        <v>AWE</v>
      </c>
      <c r="F726" t="str">
        <f t="shared" si="465"/>
        <v>CED</v>
      </c>
      <c r="G726" s="359">
        <f t="shared" si="461"/>
        <v>0.12951757934946093</v>
      </c>
      <c r="H726" t="str">
        <f t="shared" si="462"/>
        <v>Disassembly</v>
      </c>
      <c r="I726" t="str">
        <f t="shared" si="458"/>
        <v>\newcommand{\ImpEOLstagePofTotAWECEDC}{0,1}%Disassembly</v>
      </c>
      <c r="J726" t="str">
        <f t="shared" si="459"/>
        <v>\ImpEOLstagePofTotAWECEDC</v>
      </c>
      <c r="L726">
        <f t="shared" si="463"/>
        <v>0.12951757934946093</v>
      </c>
      <c r="M726">
        <f t="shared" si="464"/>
        <v>0.12951757934946093</v>
      </c>
      <c r="Q726" t="s">
        <v>1881</v>
      </c>
      <c r="R726" t="str">
        <f>R714</f>
        <v>Foundation</v>
      </c>
      <c r="S726" t="str">
        <f t="shared" si="454"/>
        <v>&amp;</v>
      </c>
      <c r="T726" t="str">
        <f t="shared" si="455"/>
        <v>\GWPAWEmanufE</v>
      </c>
      <c r="U726" t="str">
        <f t="shared" si="455"/>
        <v>&amp;</v>
      </c>
      <c r="V726" t="str">
        <f t="shared" si="455"/>
        <v>\GWPAWEmanufPofManE</v>
      </c>
      <c r="W726" t="str">
        <f t="shared" si="455"/>
        <v>&amp;</v>
      </c>
      <c r="X726" t="str">
        <f t="shared" si="455"/>
        <v>\GWPAWEmanufPofAllE</v>
      </c>
      <c r="Z726" t="str">
        <f t="shared" si="456"/>
        <v>&amp;</v>
      </c>
      <c r="AA726" t="str">
        <f t="shared" si="457"/>
        <v>\CEDAWEmanufE</v>
      </c>
      <c r="AB726" t="str">
        <f t="shared" si="457"/>
        <v>&amp;</v>
      </c>
      <c r="AC726" t="str">
        <f t="shared" si="457"/>
        <v>\CEDAWEmanufPofManE</v>
      </c>
      <c r="AD726" t="str">
        <f t="shared" si="457"/>
        <v>&amp;</v>
      </c>
      <c r="AE726" t="str">
        <f t="shared" si="457"/>
        <v>\CEDAWEmanufPofAllE</v>
      </c>
      <c r="AH726" s="334" t="s">
        <v>1764</v>
      </c>
    </row>
    <row r="727" spans="3:35" x14ac:dyDescent="0.3">
      <c r="C727" t="s">
        <v>1786</v>
      </c>
      <c r="D727" t="str">
        <f t="shared" ref="D727:F727" si="466">D726</f>
        <v>ImpEOLstagePofTot</v>
      </c>
      <c r="E727" t="str">
        <f t="shared" si="466"/>
        <v>AWE</v>
      </c>
      <c r="F727" t="str">
        <f t="shared" si="466"/>
        <v>CED</v>
      </c>
      <c r="G727" s="359">
        <f t="shared" si="461"/>
        <v>0.85559303951678922</v>
      </c>
      <c r="H727" t="str">
        <f t="shared" si="462"/>
        <v>Total</v>
      </c>
      <c r="I727" t="str">
        <f t="shared" si="458"/>
        <v>\newcommand{\ImpEOLstagePofTotAWECEDD}{0,9}%Total</v>
      </c>
      <c r="J727" t="str">
        <f t="shared" si="459"/>
        <v>\ImpEOLstagePofTotAWECEDD</v>
      </c>
      <c r="L727">
        <f t="shared" si="463"/>
        <v>0.85559303951678922</v>
      </c>
      <c r="M727">
        <f t="shared" si="464"/>
        <v>0.85559303951678922</v>
      </c>
      <c r="Q727" t="s">
        <v>1881</v>
      </c>
      <c r="R727" t="str">
        <f>R715</f>
        <v>BOS</v>
      </c>
      <c r="S727" t="str">
        <f t="shared" si="454"/>
        <v>&amp;</v>
      </c>
      <c r="T727" t="str">
        <f t="shared" si="455"/>
        <v>\GWPAWEmanufF</v>
      </c>
      <c r="U727" t="str">
        <f t="shared" si="455"/>
        <v>&amp;</v>
      </c>
      <c r="V727" t="str">
        <f t="shared" si="455"/>
        <v>\GWPAWEmanufPofManF</v>
      </c>
      <c r="W727" t="str">
        <f t="shared" si="455"/>
        <v>&amp;</v>
      </c>
      <c r="X727" t="str">
        <f t="shared" si="455"/>
        <v>\GWPAWEmanufPofAllF</v>
      </c>
      <c r="Z727" t="str">
        <f t="shared" si="456"/>
        <v>&amp;</v>
      </c>
      <c r="AA727" t="str">
        <f t="shared" si="457"/>
        <v>\CEDAWEmanufF</v>
      </c>
      <c r="AB727" t="str">
        <f t="shared" si="457"/>
        <v>&amp;</v>
      </c>
      <c r="AC727" t="str">
        <f t="shared" si="457"/>
        <v>\CEDAWEmanufPofManF</v>
      </c>
      <c r="AD727" t="str">
        <f t="shared" si="457"/>
        <v>&amp;</v>
      </c>
      <c r="AE727" t="str">
        <f t="shared" si="457"/>
        <v>\CEDAWEmanufPofAllF</v>
      </c>
      <c r="AH727" s="334" t="s">
        <v>1764</v>
      </c>
      <c r="AI727" t="s">
        <v>1775</v>
      </c>
    </row>
    <row r="728" spans="3:35" x14ac:dyDescent="0.3">
      <c r="C728" t="s">
        <v>1784</v>
      </c>
      <c r="D728" t="str">
        <f t="shared" ref="D728:F728" si="467">D727</f>
        <v>ImpEOLstagePofTot</v>
      </c>
      <c r="E728" t="str">
        <f t="shared" si="467"/>
        <v>AWE</v>
      </c>
      <c r="F728" t="str">
        <f t="shared" si="467"/>
        <v>CED</v>
      </c>
      <c r="G728" s="359">
        <f t="shared" si="461"/>
        <v>0</v>
      </c>
      <c r="H728">
        <f t="shared" si="462"/>
        <v>0</v>
      </c>
      <c r="I728" t="str">
        <f t="shared" si="458"/>
        <v>\newcommand{\ImpEOLstagePofTotAWECEDE}{0,0}%0</v>
      </c>
      <c r="J728" t="str">
        <f t="shared" si="459"/>
        <v>\ImpEOLstagePofTotAWECEDE</v>
      </c>
      <c r="R728" t="s">
        <v>2005</v>
      </c>
      <c r="S728" t="str">
        <f t="shared" ref="S728" si="468">Y716</f>
        <v>&amp;</v>
      </c>
      <c r="T728" t="str">
        <f>AL716</f>
        <v>\GWPHAWTmanufG</v>
      </c>
      <c r="U728" t="str">
        <f>AM716</f>
        <v>&amp;</v>
      </c>
      <c r="V728" t="str">
        <f>AN716</f>
        <v>\GWPHAWTmanufPofManG</v>
      </c>
      <c r="W728" t="str">
        <f>AO716</f>
        <v>&amp;</v>
      </c>
      <c r="X728" t="str">
        <f>AP716</f>
        <v>\GWPHAWTmanufPofAllG</v>
      </c>
      <c r="Z728" t="str">
        <f t="shared" ref="Z728" si="469">AK716</f>
        <v>&amp;</v>
      </c>
      <c r="AA728" t="str">
        <f>Z716</f>
        <v>\CEDHAWTmanufG</v>
      </c>
      <c r="AB728" t="str">
        <f>AA716</f>
        <v>&amp;</v>
      </c>
      <c r="AC728" t="str">
        <f>AB716</f>
        <v>\CEDHAWTmanufPofManG</v>
      </c>
      <c r="AD728" t="str">
        <f>AC716</f>
        <v>&amp;</v>
      </c>
      <c r="AE728" t="str">
        <f>AD716</f>
        <v>\CEDHAWTmanufPofAllG</v>
      </c>
      <c r="AH728" s="334" t="s">
        <v>1764</v>
      </c>
      <c r="AI728" t="s">
        <v>1775</v>
      </c>
    </row>
    <row r="729" spans="3:35" x14ac:dyDescent="0.3">
      <c r="C729" t="s">
        <v>1783</v>
      </c>
      <c r="D729" t="str">
        <f t="shared" ref="D729" si="470">D728</f>
        <v>ImpEOLstagePofTot</v>
      </c>
      <c r="E729" t="s">
        <v>1142</v>
      </c>
      <c r="F729" t="str">
        <f t="shared" ref="F729" si="471">F728</f>
        <v>CED</v>
      </c>
      <c r="G729" s="359">
        <f t="shared" si="461"/>
        <v>1.0089956814719616</v>
      </c>
      <c r="H729" t="str">
        <f t="shared" si="462"/>
        <v>Transport</v>
      </c>
      <c r="I729" t="str">
        <f t="shared" si="458"/>
        <v>\newcommand{\ImpEOLstagePofTotHAWTCEDF}{1,0}%Transport</v>
      </c>
      <c r="J729" t="str">
        <f t="shared" si="459"/>
        <v>\ImpEOLstagePofTotHAWTCEDF</v>
      </c>
      <c r="L729">
        <f>M729</f>
        <v>1.0089956814719616</v>
      </c>
      <c r="M729">
        <f>100*L684/$S$602</f>
        <v>1.0089956814719616</v>
      </c>
      <c r="Q729" t="s">
        <v>1881</v>
      </c>
      <c r="R729" t="s">
        <v>1040</v>
      </c>
      <c r="S729" t="str">
        <f t="shared" ref="S729:S731" si="472">Y710</f>
        <v>&amp;</v>
      </c>
      <c r="T729" t="str">
        <f t="shared" ref="T729:X731" si="473">AL710</f>
        <v>\GWPHAWTmanufA</v>
      </c>
      <c r="U729" t="str">
        <f t="shared" si="473"/>
        <v>&amp;</v>
      </c>
      <c r="V729" t="str">
        <f t="shared" si="473"/>
        <v>\GWPHAWTmanufPofManA</v>
      </c>
      <c r="W729" t="str">
        <f t="shared" si="473"/>
        <v>&amp;</v>
      </c>
      <c r="X729" t="str">
        <f t="shared" si="473"/>
        <v>\GWPHAWTmanufPofAllA</v>
      </c>
      <c r="Z729" t="str">
        <f t="shared" ref="Z729:Z731" si="474">AK710</f>
        <v>&amp;</v>
      </c>
      <c r="AA729" t="str">
        <f t="shared" ref="AA729:AE731" si="475">Z710</f>
        <v>\CEDHAWTmanufA</v>
      </c>
      <c r="AB729" t="str">
        <f t="shared" si="475"/>
        <v>&amp;</v>
      </c>
      <c r="AC729" t="str">
        <f t="shared" si="475"/>
        <v>\CEDHAWTmanufPofManA</v>
      </c>
      <c r="AD729" t="str">
        <f t="shared" si="475"/>
        <v>&amp;</v>
      </c>
      <c r="AE729" t="str">
        <f t="shared" si="475"/>
        <v>\CEDHAWTmanufPofAllA</v>
      </c>
      <c r="AH729" s="334" t="s">
        <v>1764</v>
      </c>
    </row>
    <row r="730" spans="3:35" x14ac:dyDescent="0.3">
      <c r="C730" t="s">
        <v>1782</v>
      </c>
      <c r="D730" t="str">
        <f t="shared" ref="D730:F730" si="476">D729</f>
        <v>ImpEOLstagePofTot</v>
      </c>
      <c r="E730" t="str">
        <f t="shared" si="476"/>
        <v>HAWT</v>
      </c>
      <c r="F730" t="str">
        <f t="shared" si="476"/>
        <v>CED</v>
      </c>
      <c r="G730" s="359">
        <f t="shared" si="461"/>
        <v>0.56810312253524431</v>
      </c>
      <c r="H730" t="str">
        <f t="shared" si="462"/>
        <v>treatment</v>
      </c>
      <c r="I730" t="str">
        <f t="shared" si="458"/>
        <v>\newcommand{\ImpEOLstagePofTotHAWTCEDG}{0,6}%treatment</v>
      </c>
      <c r="J730" t="str">
        <f t="shared" si="459"/>
        <v>\ImpEOLstagePofTotHAWTCEDG</v>
      </c>
      <c r="L730">
        <f t="shared" ref="L730:L731" si="477">M730</f>
        <v>0.56810312253524431</v>
      </c>
      <c r="M730">
        <f t="shared" ref="M730:M732" si="478">100*L685/$S$602</f>
        <v>0.56810312253524431</v>
      </c>
      <c r="Q730" t="s">
        <v>1881</v>
      </c>
      <c r="R730" t="s">
        <v>1618</v>
      </c>
      <c r="S730" t="str">
        <f t="shared" si="472"/>
        <v>&amp;</v>
      </c>
      <c r="T730" t="str">
        <f t="shared" si="473"/>
        <v>\GWPHAWTmanufB</v>
      </c>
      <c r="U730" t="str">
        <f t="shared" si="473"/>
        <v>&amp;</v>
      </c>
      <c r="V730" t="str">
        <f t="shared" si="473"/>
        <v>\GWPHAWTmanufPofManB</v>
      </c>
      <c r="W730" t="str">
        <f t="shared" si="473"/>
        <v>&amp;</v>
      </c>
      <c r="X730" t="str">
        <f t="shared" si="473"/>
        <v>\GWPHAWTmanufPofAllB</v>
      </c>
      <c r="Z730" t="str">
        <f t="shared" si="474"/>
        <v>&amp;</v>
      </c>
      <c r="AA730" t="str">
        <f t="shared" si="475"/>
        <v>\CEDHAWTmanufB</v>
      </c>
      <c r="AB730" t="str">
        <f t="shared" si="475"/>
        <v>&amp;</v>
      </c>
      <c r="AC730" t="str">
        <f t="shared" si="475"/>
        <v>\CEDHAWTmanufPofManB</v>
      </c>
      <c r="AD730" t="str">
        <f t="shared" si="475"/>
        <v>&amp;</v>
      </c>
      <c r="AE730" t="str">
        <f t="shared" si="475"/>
        <v>\CEDHAWTmanufPofAllB</v>
      </c>
      <c r="AH730" s="334" t="s">
        <v>1764</v>
      </c>
    </row>
    <row r="731" spans="3:35" x14ac:dyDescent="0.3">
      <c r="C731" t="s">
        <v>1798</v>
      </c>
      <c r="D731" t="str">
        <f t="shared" ref="D731:F731" si="479">D730</f>
        <v>ImpEOLstagePofTot</v>
      </c>
      <c r="E731" t="str">
        <f t="shared" si="479"/>
        <v>HAWT</v>
      </c>
      <c r="F731" t="str">
        <f t="shared" si="479"/>
        <v>CED</v>
      </c>
      <c r="G731" s="359">
        <f>L731</f>
        <v>0.25134192871329247</v>
      </c>
      <c r="H731" t="str">
        <f t="shared" si="462"/>
        <v>Disassembly</v>
      </c>
      <c r="I731" t="str">
        <f t="shared" si="458"/>
        <v>\newcommand{\ImpEOLstagePofTotHAWTCEDH}{0,3}%Disassembly</v>
      </c>
      <c r="J731" t="str">
        <f t="shared" si="459"/>
        <v>\ImpEOLstagePofTotHAWTCEDH</v>
      </c>
      <c r="L731">
        <f t="shared" si="477"/>
        <v>0.25134192871329247</v>
      </c>
      <c r="M731">
        <f t="shared" si="478"/>
        <v>0.25134192871329247</v>
      </c>
      <c r="Q731" t="s">
        <v>1881</v>
      </c>
      <c r="R731" t="s">
        <v>1053</v>
      </c>
      <c r="S731" t="str">
        <f t="shared" si="472"/>
        <v>&amp;</v>
      </c>
      <c r="T731" t="str">
        <f t="shared" si="473"/>
        <v>\GWPHAWTmanufC</v>
      </c>
      <c r="U731" t="str">
        <f t="shared" si="473"/>
        <v>&amp;</v>
      </c>
      <c r="V731" t="str">
        <f t="shared" si="473"/>
        <v>\GWPHAWTmanufPofManC</v>
      </c>
      <c r="W731" t="str">
        <f t="shared" si="473"/>
        <v>&amp;</v>
      </c>
      <c r="X731" t="str">
        <f t="shared" si="473"/>
        <v>\GWPHAWTmanufPofAllC</v>
      </c>
      <c r="Z731" t="str">
        <f t="shared" si="474"/>
        <v>&amp;</v>
      </c>
      <c r="AA731" t="str">
        <f t="shared" si="475"/>
        <v>\CEDHAWTmanufC</v>
      </c>
      <c r="AB731" t="str">
        <f t="shared" si="475"/>
        <v>&amp;</v>
      </c>
      <c r="AC731" t="str">
        <f t="shared" si="475"/>
        <v>\CEDHAWTmanufPofManC</v>
      </c>
      <c r="AD731" t="str">
        <f t="shared" si="475"/>
        <v>&amp;</v>
      </c>
      <c r="AE731" t="str">
        <f t="shared" si="475"/>
        <v>\CEDHAWTmanufPofAllC</v>
      </c>
      <c r="AH731" s="334" t="s">
        <v>1764</v>
      </c>
    </row>
    <row r="732" spans="3:35" x14ac:dyDescent="0.3">
      <c r="C732" t="s">
        <v>1796</v>
      </c>
      <c r="D732" t="str">
        <f t="shared" ref="D732:F732" si="480">D731</f>
        <v>ImpEOLstagePofTot</v>
      </c>
      <c r="E732" t="str">
        <f t="shared" si="480"/>
        <v>HAWT</v>
      </c>
      <c r="F732" t="str">
        <f t="shared" si="480"/>
        <v>CED</v>
      </c>
      <c r="G732" s="359">
        <f>L732</f>
        <v>1.8284407327204983</v>
      </c>
      <c r="H732" t="str">
        <f t="shared" si="462"/>
        <v>Total</v>
      </c>
      <c r="I732" t="str">
        <f t="shared" si="458"/>
        <v>\newcommand{\ImpEOLstagePofTotHAWTCEDI}{1,8}%Total</v>
      </c>
      <c r="J732" t="str">
        <f t="shared" si="459"/>
        <v>\ImpEOLstagePofTotHAWTCEDI</v>
      </c>
      <c r="L732">
        <f>M732</f>
        <v>1.8284407327204983</v>
      </c>
      <c r="M732">
        <f t="shared" si="478"/>
        <v>1.8284407327204983</v>
      </c>
      <c r="Q732" t="s">
        <v>1881</v>
      </c>
      <c r="R732" t="s">
        <v>27</v>
      </c>
      <c r="S732" t="str">
        <f>Y713</f>
        <v>&amp;</v>
      </c>
      <c r="T732" t="str">
        <f t="shared" ref="T732:X733" si="481">AL714</f>
        <v>\GWPHAWTmanufE</v>
      </c>
      <c r="U732" t="str">
        <f t="shared" si="481"/>
        <v>&amp;</v>
      </c>
      <c r="V732" t="str">
        <f t="shared" si="481"/>
        <v>\GWPHAWTmanufPofManE</v>
      </c>
      <c r="W732" t="str">
        <f t="shared" si="481"/>
        <v>&amp;</v>
      </c>
      <c r="X732" t="str">
        <f t="shared" si="481"/>
        <v>\GWPHAWTmanufPofAllE</v>
      </c>
      <c r="Z732" t="str">
        <f t="shared" ref="Z732:Z733" si="482">AK714</f>
        <v>&amp;</v>
      </c>
      <c r="AA732" t="str">
        <f t="shared" ref="AA732:AE733" si="483">Z714</f>
        <v>\CEDHAWTmanufE</v>
      </c>
      <c r="AB732" t="str">
        <f t="shared" si="483"/>
        <v>&amp;</v>
      </c>
      <c r="AC732" t="str">
        <f t="shared" si="483"/>
        <v>\CEDHAWTmanufPofManE</v>
      </c>
      <c r="AD732" t="str">
        <f t="shared" si="483"/>
        <v>&amp;</v>
      </c>
      <c r="AE732" t="str">
        <f t="shared" si="483"/>
        <v>\CEDHAWTmanufPofAllE</v>
      </c>
      <c r="AH732" s="334" t="s">
        <v>1764</v>
      </c>
    </row>
    <row r="733" spans="3:35" x14ac:dyDescent="0.3">
      <c r="C733" t="s">
        <v>1794</v>
      </c>
      <c r="D733" t="str">
        <f t="shared" ref="D733:F733" si="484">D732</f>
        <v>ImpEOLstagePofTot</v>
      </c>
      <c r="E733" t="str">
        <f t="shared" si="484"/>
        <v>HAWT</v>
      </c>
      <c r="F733" t="str">
        <f t="shared" si="484"/>
        <v>CED</v>
      </c>
      <c r="G733" s="359">
        <f t="shared" ref="G733" si="485">L733</f>
        <v>0</v>
      </c>
      <c r="H733">
        <f t="shared" si="462"/>
        <v>0</v>
      </c>
      <c r="I733" t="str">
        <f t="shared" si="458"/>
        <v>\newcommand{\ImpEOLstagePofTotHAWTCEDJ}{0,0}%0</v>
      </c>
      <c r="J733" t="str">
        <f t="shared" si="459"/>
        <v>\ImpEOLstagePofTotHAWTCEDJ</v>
      </c>
      <c r="Q733" t="s">
        <v>1881</v>
      </c>
      <c r="R733" t="s">
        <v>139</v>
      </c>
      <c r="S733" t="str">
        <f>Y714</f>
        <v>&amp;</v>
      </c>
      <c r="T733" t="str">
        <f t="shared" si="481"/>
        <v>\GWPHAWTmanufF</v>
      </c>
      <c r="U733" t="str">
        <f t="shared" si="481"/>
        <v>&amp;</v>
      </c>
      <c r="V733" t="str">
        <f t="shared" si="481"/>
        <v>\GWPHAWTmanufPofManF</v>
      </c>
      <c r="W733" t="str">
        <f t="shared" si="481"/>
        <v>&amp;</v>
      </c>
      <c r="X733" t="str">
        <f t="shared" si="481"/>
        <v>\GWPHAWTmanufPofAllF</v>
      </c>
      <c r="Z733" t="str">
        <f t="shared" si="482"/>
        <v>&amp;</v>
      </c>
      <c r="AA733" t="str">
        <f t="shared" si="483"/>
        <v>\CEDHAWTmanufF</v>
      </c>
      <c r="AB733" t="str">
        <f t="shared" si="483"/>
        <v>&amp;</v>
      </c>
      <c r="AC733" t="str">
        <f t="shared" si="483"/>
        <v>\CEDHAWTmanufPofManF</v>
      </c>
      <c r="AD733" t="str">
        <f t="shared" si="483"/>
        <v>&amp;</v>
      </c>
      <c r="AE733" t="str">
        <f t="shared" si="483"/>
        <v>\CEDHAWTmanufPofAllF</v>
      </c>
      <c r="AH733" s="334" t="s">
        <v>1764</v>
      </c>
    </row>
    <row r="734" spans="3:35" x14ac:dyDescent="0.3">
      <c r="S734" t="str">
        <f>Y715</f>
        <v>&amp;</v>
      </c>
    </row>
    <row r="740" spans="4:38" s="70" customFormat="1" x14ac:dyDescent="0.3">
      <c r="D740" s="47" t="s">
        <v>1948</v>
      </c>
      <c r="E740" s="47"/>
      <c r="F740" s="47"/>
      <c r="G740" s="361"/>
    </row>
    <row r="741" spans="4:38" x14ac:dyDescent="0.3">
      <c r="P741" t="s">
        <v>32</v>
      </c>
      <c r="R741" t="s">
        <v>817</v>
      </c>
      <c r="T741" t="s">
        <v>817</v>
      </c>
      <c r="V741" t="s">
        <v>162</v>
      </c>
      <c r="X741" t="s">
        <v>817</v>
      </c>
      <c r="Z741" t="s">
        <v>817</v>
      </c>
    </row>
    <row r="742" spans="4:38" x14ac:dyDescent="0.3">
      <c r="N742" t="str">
        <f>AWE!O685</f>
        <v>Drum</v>
      </c>
      <c r="O742" t="s">
        <v>1765</v>
      </c>
      <c r="P742" s="359">
        <f>'Communication to latex'!AK747</f>
        <v>0.39125009316575321</v>
      </c>
      <c r="Q742" s="359" t="str">
        <f t="shared" ref="Q742:Q751" si="486">O742</f>
        <v>&amp;</v>
      </c>
      <c r="R742" s="359">
        <f t="shared" ref="R742:R751" si="487">100*P742/$P$751</f>
        <v>14.7431872745217</v>
      </c>
      <c r="S742" s="359" t="str">
        <f t="shared" ref="S742:S751" si="488">O742</f>
        <v>&amp;</v>
      </c>
      <c r="T742" s="359">
        <f t="shared" ref="T742:T751" si="489">100*P742/$P$754</f>
        <v>5.0171251465159896</v>
      </c>
      <c r="U742" s="359" t="str">
        <f t="shared" ref="U742:U751" si="490">O742</f>
        <v>&amp;</v>
      </c>
      <c r="V742" s="359">
        <f>'Communication to latex'!AL747</f>
        <v>6.2687381207591208</v>
      </c>
      <c r="W742" s="359" t="str">
        <f t="shared" ref="W742:W751" si="491">O742</f>
        <v>&amp;</v>
      </c>
      <c r="X742" s="359">
        <f t="shared" ref="X742:X751" si="492">100*V742/$V$751</f>
        <v>14.833661311204361</v>
      </c>
      <c r="Y742" s="359" t="str">
        <f t="shared" ref="Y742:Y751" si="493">O742</f>
        <v>&amp;</v>
      </c>
      <c r="Z742" s="359">
        <f t="shared" ref="Z742:Z751" si="494">100*V742/$Q$754</f>
        <v>4.9178299574964957</v>
      </c>
      <c r="AA742" s="363" t="s">
        <v>1764</v>
      </c>
      <c r="AG742" s="14"/>
      <c r="AH742" s="14"/>
      <c r="AJ742">
        <f>'Communication to latex'!$E$5</f>
        <v>462528</v>
      </c>
    </row>
    <row r="743" spans="4:38" x14ac:dyDescent="0.3">
      <c r="N743" t="str">
        <f>AWE!O686</f>
        <v>Hydraulic pistons</v>
      </c>
      <c r="O743" t="s">
        <v>1765</v>
      </c>
      <c r="P743" s="359">
        <f>'Communication to latex'!AK748</f>
        <v>0.42856648678566489</v>
      </c>
      <c r="Q743" s="359" t="str">
        <f t="shared" si="486"/>
        <v>&amp;</v>
      </c>
      <c r="R743" s="359">
        <f t="shared" si="487"/>
        <v>16.149353277183963</v>
      </c>
      <c r="S743" s="359" t="str">
        <f t="shared" si="488"/>
        <v>&amp;</v>
      </c>
      <c r="T743" s="359">
        <f t="shared" si="489"/>
        <v>5.4956452033238268</v>
      </c>
      <c r="U743" s="359" t="str">
        <f t="shared" si="490"/>
        <v>&amp;</v>
      </c>
      <c r="V743" s="359">
        <f>'Communication to latex'!AL748</f>
        <v>6.5455929154559289</v>
      </c>
      <c r="W743" s="359" t="str">
        <f t="shared" si="491"/>
        <v>&amp;</v>
      </c>
      <c r="X743" s="359">
        <f t="shared" si="492"/>
        <v>15.488780440095036</v>
      </c>
      <c r="Y743" s="359" t="str">
        <f t="shared" si="493"/>
        <v>&amp;</v>
      </c>
      <c r="Z743" s="359">
        <f t="shared" si="494"/>
        <v>5.1350227604192691</v>
      </c>
      <c r="AA743" s="363" t="s">
        <v>1764</v>
      </c>
    </row>
    <row r="744" spans="4:38" x14ac:dyDescent="0.3">
      <c r="N744" t="str">
        <f>AWE!O687</f>
        <v>Hydaulic accumulator</v>
      </c>
      <c r="O744" t="s">
        <v>1765</v>
      </c>
      <c r="P744" s="359">
        <f>'Communication to latex'!AK749</f>
        <v>1.3169194072575068</v>
      </c>
      <c r="Q744" s="359" t="str">
        <f t="shared" si="486"/>
        <v>&amp;</v>
      </c>
      <c r="R744" s="359">
        <f t="shared" si="487"/>
        <v>49.624497951043587</v>
      </c>
      <c r="S744" s="359" t="str">
        <f t="shared" si="488"/>
        <v>&amp;</v>
      </c>
      <c r="T744" s="359">
        <f t="shared" si="489"/>
        <v>16.887278979605117</v>
      </c>
      <c r="U744" s="359" t="str">
        <f t="shared" si="490"/>
        <v>&amp;</v>
      </c>
      <c r="V744" s="359">
        <f>'Communication to latex'!AL749</f>
        <v>20.156081479751855</v>
      </c>
      <c r="W744" s="359" t="str">
        <f t="shared" si="491"/>
        <v>&amp;</v>
      </c>
      <c r="X744" s="359">
        <f t="shared" si="492"/>
        <v>47.695162929452771</v>
      </c>
      <c r="Y744" s="359" t="str">
        <f t="shared" si="493"/>
        <v>&amp;</v>
      </c>
      <c r="Z744" s="359">
        <f t="shared" si="494"/>
        <v>15.812461681659849</v>
      </c>
      <c r="AA744" s="363" t="s">
        <v>1764</v>
      </c>
    </row>
    <row r="745" spans="4:38" x14ac:dyDescent="0.3">
      <c r="N745" t="str">
        <f>AWE!O688</f>
        <v>Hydraulic extras</v>
      </c>
      <c r="O745" t="s">
        <v>1765</v>
      </c>
      <c r="P745" s="359">
        <f>'Communication to latex'!AK750</f>
        <v>3.6144282436234493E-2</v>
      </c>
      <c r="Q745" s="359" t="str">
        <f t="shared" si="486"/>
        <v>&amp;</v>
      </c>
      <c r="R745" s="359">
        <f t="shared" si="487"/>
        <v>1.3619982056716213</v>
      </c>
      <c r="S745" s="359" t="str">
        <f t="shared" si="488"/>
        <v>&amp;</v>
      </c>
      <c r="T745" s="359">
        <f t="shared" si="489"/>
        <v>0.46348970001850809</v>
      </c>
      <c r="U745" s="359" t="str">
        <f t="shared" si="490"/>
        <v>&amp;</v>
      </c>
      <c r="V745" s="359">
        <f>'Communication to latex'!AL750</f>
        <v>1.6107371085282043</v>
      </c>
      <c r="W745" s="359" t="str">
        <f t="shared" si="491"/>
        <v>&amp;</v>
      </c>
      <c r="X745" s="359">
        <f t="shared" si="492"/>
        <v>3.8114734208106684</v>
      </c>
      <c r="Y745" s="359" t="str">
        <f t="shared" si="493"/>
        <v>&amp;</v>
      </c>
      <c r="Z745" s="359">
        <f t="shared" si="494"/>
        <v>1.2636245211360089</v>
      </c>
      <c r="AA745" s="363" t="s">
        <v>1764</v>
      </c>
    </row>
    <row r="746" spans="4:38" x14ac:dyDescent="0.3">
      <c r="N746" t="str">
        <f>AWE!O689</f>
        <v>Hydraulic motors</v>
      </c>
      <c r="O746" t="s">
        <v>1765</v>
      </c>
      <c r="P746" s="359">
        <f>'Communication to latex'!AK751</f>
        <v>3.6256724782067248E-2</v>
      </c>
      <c r="Q746" s="359" t="str">
        <f t="shared" si="486"/>
        <v>&amp;</v>
      </c>
      <c r="R746" s="359">
        <f t="shared" si="487"/>
        <v>1.366235287249763</v>
      </c>
      <c r="S746" s="359" t="str">
        <f t="shared" si="488"/>
        <v>&amp;</v>
      </c>
      <c r="T746" s="359">
        <f t="shared" si="489"/>
        <v>0.46493158420119568</v>
      </c>
      <c r="U746" s="359" t="str">
        <f t="shared" si="490"/>
        <v>&amp;</v>
      </c>
      <c r="V746" s="359">
        <f>'Communication to latex'!AL751</f>
        <v>0.55375716064757152</v>
      </c>
      <c r="W746" s="359" t="str">
        <f t="shared" si="491"/>
        <v>&amp;</v>
      </c>
      <c r="X746" s="359">
        <f t="shared" si="492"/>
        <v>1.3103508252320397</v>
      </c>
      <c r="Y746" s="359" t="str">
        <f t="shared" si="493"/>
        <v>&amp;</v>
      </c>
      <c r="Z746" s="359">
        <f t="shared" si="494"/>
        <v>0.43442292553147005</v>
      </c>
      <c r="AA746" s="363" t="s">
        <v>1764</v>
      </c>
      <c r="AK746" t="s">
        <v>32</v>
      </c>
      <c r="AL746" t="s">
        <v>162</v>
      </c>
    </row>
    <row r="747" spans="4:38" x14ac:dyDescent="0.3">
      <c r="N747" t="str">
        <f>AWE!O690</f>
        <v>Generator</v>
      </c>
      <c r="O747" t="s">
        <v>1765</v>
      </c>
      <c r="P747" s="359">
        <f>'Communication to latex'!AK752</f>
        <v>0.15120790739702319</v>
      </c>
      <c r="Q747" s="359" t="str">
        <f t="shared" si="486"/>
        <v>&amp;</v>
      </c>
      <c r="R747" s="359">
        <f t="shared" si="487"/>
        <v>5.6978555023587187</v>
      </c>
      <c r="S747" s="359" t="str">
        <f t="shared" si="488"/>
        <v>&amp;</v>
      </c>
      <c r="T747" s="359">
        <f t="shared" si="489"/>
        <v>1.938987383786444</v>
      </c>
      <c r="U747" s="359" t="str">
        <f t="shared" si="490"/>
        <v>&amp;</v>
      </c>
      <c r="V747" s="359">
        <f>'Communication to latex'!AL752</f>
        <v>2.2718178971580474</v>
      </c>
      <c r="W747" s="359" t="str">
        <f t="shared" si="491"/>
        <v>&amp;</v>
      </c>
      <c r="X747" s="359">
        <f t="shared" si="492"/>
        <v>5.3757832275013122</v>
      </c>
      <c r="Y747" s="359" t="str">
        <f t="shared" si="493"/>
        <v>&amp;</v>
      </c>
      <c r="Z747" s="359">
        <f t="shared" si="494"/>
        <v>1.7822429167399325</v>
      </c>
      <c r="AA747" s="363" t="s">
        <v>1764</v>
      </c>
      <c r="AG747">
        <f>AWE!P685</f>
        <v>180964.12309176949</v>
      </c>
      <c r="AH747">
        <f>AWE!Q685</f>
        <v>2899466.9055184745</v>
      </c>
      <c r="AJ747" t="str">
        <f t="shared" ref="AJ747:AJ755" si="495">N742</f>
        <v>Drum</v>
      </c>
      <c r="AK747">
        <f t="shared" ref="AK747:AK756" si="496">AG747/$AJ$742</f>
        <v>0.39125009316575321</v>
      </c>
      <c r="AL747">
        <f t="shared" ref="AL747:AL756" si="497">AH747/$AJ$742</f>
        <v>6.2687381207591208</v>
      </c>
    </row>
    <row r="748" spans="4:38" x14ac:dyDescent="0.3">
      <c r="N748" t="str">
        <f>AWE!O691</f>
        <v>Converter</v>
      </c>
      <c r="O748" t="s">
        <v>1765</v>
      </c>
      <c r="P748" s="359">
        <f>'Communication to latex'!AK753</f>
        <v>6.4772802366767163E-2</v>
      </c>
      <c r="Q748" s="359" t="str">
        <f t="shared" si="486"/>
        <v>&amp;</v>
      </c>
      <c r="R748" s="359">
        <f t="shared" si="487"/>
        <v>2.440785503364117</v>
      </c>
      <c r="S748" s="359" t="str">
        <f t="shared" si="488"/>
        <v>&amp;</v>
      </c>
      <c r="T748" s="359">
        <f t="shared" si="489"/>
        <v>0.83060237234740519</v>
      </c>
      <c r="U748" s="359" t="str">
        <f t="shared" si="490"/>
        <v>&amp;</v>
      </c>
      <c r="V748" s="359">
        <f>'Communication to latex'!AL753</f>
        <v>0.90184347250597918</v>
      </c>
      <c r="W748" s="359" t="str">
        <f t="shared" si="491"/>
        <v>&amp;</v>
      </c>
      <c r="X748" s="359">
        <f t="shared" si="492"/>
        <v>2.1340244829455655</v>
      </c>
      <c r="Y748" s="359" t="str">
        <f t="shared" si="493"/>
        <v>&amp;</v>
      </c>
      <c r="Z748" s="359">
        <f t="shared" si="494"/>
        <v>0.70749690936610643</v>
      </c>
      <c r="AA748" s="363" t="s">
        <v>1764</v>
      </c>
      <c r="AG748">
        <f>AWE!P686</f>
        <v>198224</v>
      </c>
      <c r="AH748">
        <f>AWE!Q686</f>
        <v>3027520</v>
      </c>
      <c r="AJ748" t="str">
        <f t="shared" si="495"/>
        <v>Hydraulic pistons</v>
      </c>
      <c r="AK748">
        <f t="shared" si="496"/>
        <v>0.42856648678566489</v>
      </c>
      <c r="AL748">
        <f t="shared" si="497"/>
        <v>6.5455929154559289</v>
      </c>
    </row>
    <row r="749" spans="4:38" x14ac:dyDescent="0.3">
      <c r="N749" t="str">
        <f>AWE!O692</f>
        <v>Transformer</v>
      </c>
      <c r="O749" t="s">
        <v>1765</v>
      </c>
      <c r="P749" s="359">
        <f>'Communication to latex'!AK754</f>
        <v>0.1890858499377335</v>
      </c>
      <c r="Q749" s="359" t="str">
        <f t="shared" si="486"/>
        <v>&amp;</v>
      </c>
      <c r="R749" s="359">
        <f t="shared" si="487"/>
        <v>7.1251819367953235</v>
      </c>
      <c r="S749" s="359" t="str">
        <f t="shared" si="488"/>
        <v>&amp;</v>
      </c>
      <c r="T749" s="359">
        <f t="shared" si="489"/>
        <v>2.4247083621039507</v>
      </c>
      <c r="U749" s="359" t="str">
        <f t="shared" si="490"/>
        <v>&amp;</v>
      </c>
      <c r="V749" s="359">
        <f>'Communication to latex'!AL754</f>
        <v>3.3354743929016188</v>
      </c>
      <c r="W749" s="359" t="str">
        <f t="shared" si="491"/>
        <v>&amp;</v>
      </c>
      <c r="X749" s="359">
        <f t="shared" si="492"/>
        <v>7.8927044810903801</v>
      </c>
      <c r="Y749" s="359" t="str">
        <f t="shared" si="493"/>
        <v>&amp;</v>
      </c>
      <c r="Z749" s="359">
        <f t="shared" si="494"/>
        <v>2.6166822693635896</v>
      </c>
      <c r="AA749" s="363" t="s">
        <v>1764</v>
      </c>
      <c r="AG749">
        <f>AWE!P687</f>
        <v>609112.09960000007</v>
      </c>
      <c r="AH749">
        <f>AWE!Q687</f>
        <v>9322752.0546666663</v>
      </c>
      <c r="AJ749" t="str">
        <f t="shared" si="495"/>
        <v>Hydaulic accumulator</v>
      </c>
      <c r="AK749">
        <f t="shared" si="496"/>
        <v>1.3169194072575068</v>
      </c>
      <c r="AL749">
        <f t="shared" si="497"/>
        <v>20.156081479751855</v>
      </c>
    </row>
    <row r="750" spans="4:38" x14ac:dyDescent="0.3">
      <c r="N750" t="str">
        <f>AWE!O693</f>
        <v>Electronics</v>
      </c>
      <c r="O750" t="s">
        <v>1765</v>
      </c>
      <c r="P750" s="359">
        <f>'Communication to latex'!AK755</f>
        <v>3.9565172270651726E-2</v>
      </c>
      <c r="Q750" s="359" t="str">
        <f t="shared" si="486"/>
        <v>&amp;</v>
      </c>
      <c r="R750" s="359">
        <f t="shared" si="487"/>
        <v>1.4909050618112163</v>
      </c>
      <c r="S750" s="359" t="str">
        <f t="shared" si="488"/>
        <v>&amp;</v>
      </c>
      <c r="T750" s="359">
        <f t="shared" si="489"/>
        <v>0.50735686506591549</v>
      </c>
      <c r="U750" s="359" t="str">
        <f t="shared" si="490"/>
        <v>&amp;</v>
      </c>
      <c r="V750" s="359">
        <f>'Communication to latex'!AL755</f>
        <v>0.61617891241178913</v>
      </c>
      <c r="W750" s="359" t="str">
        <f t="shared" si="491"/>
        <v>&amp;</v>
      </c>
      <c r="X750" s="359">
        <f t="shared" si="492"/>
        <v>1.4580588816678619</v>
      </c>
      <c r="Y750" s="359" t="str">
        <f t="shared" si="493"/>
        <v>&amp;</v>
      </c>
      <c r="Z750" s="359">
        <f t="shared" si="494"/>
        <v>0.48339283860040277</v>
      </c>
      <c r="AA750" s="363" t="s">
        <v>1764</v>
      </c>
      <c r="AB750" t="s">
        <v>1775</v>
      </c>
      <c r="AG750">
        <f>AWE!P688</f>
        <v>16717.742666666669</v>
      </c>
      <c r="AH750">
        <f>AWE!Q688</f>
        <v>745011.01333333331</v>
      </c>
      <c r="AJ750" t="str">
        <f t="shared" si="495"/>
        <v>Hydraulic extras</v>
      </c>
      <c r="AK750">
        <f t="shared" si="496"/>
        <v>3.6144282436234493E-2</v>
      </c>
      <c r="AL750">
        <f t="shared" si="497"/>
        <v>1.6107371085282043</v>
      </c>
    </row>
    <row r="751" spans="4:38" x14ac:dyDescent="0.3">
      <c r="N751" t="s">
        <v>1885</v>
      </c>
      <c r="O751" t="s">
        <v>1765</v>
      </c>
      <c r="P751" s="359">
        <f>'Communication to latex'!AK756</f>
        <v>2.6537687263994019</v>
      </c>
      <c r="Q751" s="359" t="str">
        <f t="shared" si="486"/>
        <v>&amp;</v>
      </c>
      <c r="R751" s="359">
        <f t="shared" si="487"/>
        <v>100</v>
      </c>
      <c r="S751" s="359" t="str">
        <f t="shared" si="488"/>
        <v>&amp;</v>
      </c>
      <c r="T751" s="359">
        <f t="shared" si="489"/>
        <v>34.030125596968354</v>
      </c>
      <c r="U751" s="359" t="str">
        <f t="shared" si="490"/>
        <v>&amp;</v>
      </c>
      <c r="V751" s="359">
        <f>'Communication to latex'!AL756</f>
        <v>42.260221460120114</v>
      </c>
      <c r="W751" s="359" t="str">
        <f t="shared" si="491"/>
        <v>&amp;</v>
      </c>
      <c r="X751" s="359">
        <f t="shared" si="492"/>
        <v>99.999999999999986</v>
      </c>
      <c r="Y751" s="359" t="str">
        <f t="shared" si="493"/>
        <v>&amp;</v>
      </c>
      <c r="Z751" s="359">
        <f t="shared" si="494"/>
        <v>33.153176780313125</v>
      </c>
      <c r="AA751" s="363" t="s">
        <v>1764</v>
      </c>
      <c r="AG751">
        <f>AWE!P689</f>
        <v>16769.750400000001</v>
      </c>
      <c r="AH751">
        <f>AWE!Q689</f>
        <v>256128.19199999998</v>
      </c>
      <c r="AJ751" t="str">
        <f t="shared" si="495"/>
        <v>Hydraulic motors</v>
      </c>
      <c r="AK751">
        <f t="shared" si="496"/>
        <v>3.6256724782067248E-2</v>
      </c>
      <c r="AL751">
        <f t="shared" si="497"/>
        <v>0.55375716064757152</v>
      </c>
    </row>
    <row r="752" spans="4:38" x14ac:dyDescent="0.3">
      <c r="AG752">
        <f>AWE!P690</f>
        <v>69937.890992530345</v>
      </c>
      <c r="AH752">
        <f>AWE!Q690</f>
        <v>1050779.3883367174</v>
      </c>
      <c r="AJ752" t="str">
        <f t="shared" si="495"/>
        <v>Generator</v>
      </c>
      <c r="AK752">
        <f t="shared" si="496"/>
        <v>0.15120790739702319</v>
      </c>
      <c r="AL752">
        <f t="shared" si="497"/>
        <v>2.2718178971580474</v>
      </c>
    </row>
    <row r="753" spans="16:51" x14ac:dyDescent="0.3">
      <c r="AG753">
        <f>AWE!P691</f>
        <v>29959.234733096084</v>
      </c>
      <c r="AH753">
        <f>AWE!Q691</f>
        <v>417127.85765124555</v>
      </c>
      <c r="AJ753" t="str">
        <f t="shared" si="495"/>
        <v>Converter</v>
      </c>
      <c r="AK753">
        <f t="shared" si="496"/>
        <v>6.4772802366767163E-2</v>
      </c>
      <c r="AL753">
        <f t="shared" si="497"/>
        <v>0.90184347250597918</v>
      </c>
    </row>
    <row r="754" spans="16:51" x14ac:dyDescent="0.3">
      <c r="P754" s="14">
        <f>'Communication to latex'!$G$112</f>
        <v>7.7982924830457243</v>
      </c>
      <c r="Q754" s="14">
        <f>'Communication to latex'!$G$106</f>
        <v>127.46959888687016</v>
      </c>
      <c r="AG754">
        <f>AWE!P692</f>
        <v>87457.5</v>
      </c>
      <c r="AH754">
        <f>AWE!Q692</f>
        <v>1542750.3</v>
      </c>
      <c r="AJ754" t="str">
        <f t="shared" si="495"/>
        <v>Transformer</v>
      </c>
      <c r="AK754">
        <f t="shared" si="496"/>
        <v>0.1890858499377335</v>
      </c>
      <c r="AL754">
        <f t="shared" si="497"/>
        <v>3.3354743929016188</v>
      </c>
    </row>
    <row r="755" spans="16:51" x14ac:dyDescent="0.3">
      <c r="P755" s="14"/>
      <c r="AG755">
        <f>AWE!P693</f>
        <v>18300</v>
      </c>
      <c r="AH755">
        <f>AWE!Q693</f>
        <v>285000</v>
      </c>
      <c r="AJ755" t="str">
        <f t="shared" si="495"/>
        <v>Electronics</v>
      </c>
      <c r="AK755">
        <f t="shared" si="496"/>
        <v>3.9565172270651726E-2</v>
      </c>
      <c r="AL755">
        <f t="shared" si="497"/>
        <v>0.61617891241178913</v>
      </c>
    </row>
    <row r="756" spans="16:51" x14ac:dyDescent="0.3">
      <c r="P756" s="14"/>
      <c r="AG756">
        <f>SUM(AG747:AG755)</f>
        <v>1227442.3414840626</v>
      </c>
      <c r="AH756">
        <f>SUM(AH747:AH755)</f>
        <v>19546535.711506438</v>
      </c>
      <c r="AJ756" t="s">
        <v>191</v>
      </c>
      <c r="AK756">
        <f t="shared" si="496"/>
        <v>2.6537687263994019</v>
      </c>
      <c r="AL756">
        <f t="shared" si="497"/>
        <v>42.260221460120114</v>
      </c>
      <c r="AU756">
        <f>'Communication to latex'!$E$6</f>
        <v>410885.60999999993</v>
      </c>
    </row>
    <row r="759" spans="16:51" x14ac:dyDescent="0.3">
      <c r="AS759" s="14">
        <f>HAWT!F444</f>
        <v>64315.131033879792</v>
      </c>
      <c r="AT759" s="14">
        <f>HAWT!H444</f>
        <v>966300.42870171694</v>
      </c>
      <c r="AU759" t="str">
        <f>HAWT!D444</f>
        <v>Generator</v>
      </c>
      <c r="AV759">
        <f t="shared" ref="AV759:AV770" si="498">AS759/$AU$756</f>
        <v>0.1565280688069845</v>
      </c>
      <c r="AY759">
        <f t="shared" ref="AY759:AY770" si="499">AT759/$AU$756</f>
        <v>2.3517504755197369</v>
      </c>
    </row>
    <row r="760" spans="16:51" x14ac:dyDescent="0.3">
      <c r="AJ760" t="str">
        <f>AJ747</f>
        <v>Drum</v>
      </c>
      <c r="AK760">
        <f>AK747</f>
        <v>0.39125009316575321</v>
      </c>
      <c r="AN760">
        <f t="shared" ref="AN760:AN768" si="500">AL747</f>
        <v>6.2687381207591208</v>
      </c>
      <c r="AS760" s="14">
        <f>HAWT!F445</f>
        <v>240842.16</v>
      </c>
      <c r="AT760" s="14">
        <f>HAWT!H445</f>
        <v>3678436.8</v>
      </c>
      <c r="AU760" t="str">
        <f>HAWT!D445</f>
        <v>Gearbox</v>
      </c>
      <c r="AV760">
        <f t="shared" si="498"/>
        <v>0.58615379594335282</v>
      </c>
      <c r="AY760">
        <f t="shared" si="499"/>
        <v>8.9524595422068938</v>
      </c>
    </row>
    <row r="761" spans="16:51" x14ac:dyDescent="0.3">
      <c r="AJ761" t="str">
        <f t="shared" ref="AJ761:AK761" si="501">AJ748</f>
        <v>Hydraulic pistons</v>
      </c>
      <c r="AK761">
        <f t="shared" si="501"/>
        <v>0.42856648678566489</v>
      </c>
      <c r="AN761">
        <f t="shared" si="500"/>
        <v>6.5455929154559289</v>
      </c>
      <c r="AS761" s="14">
        <f>HAWT!F446</f>
        <v>84385.625</v>
      </c>
      <c r="AT761" s="14">
        <f>HAWT!H446</f>
        <v>1488562.425</v>
      </c>
      <c r="AU761" t="str">
        <f>HAWT!D446</f>
        <v>Transformer</v>
      </c>
      <c r="AV761">
        <f t="shared" si="498"/>
        <v>0.20537498258943654</v>
      </c>
      <c r="AY761">
        <f t="shared" si="499"/>
        <v>3.622814692877661</v>
      </c>
    </row>
    <row r="762" spans="16:51" x14ac:dyDescent="0.3">
      <c r="AJ762" t="str">
        <f t="shared" ref="AJ762:AK762" si="502">AJ749</f>
        <v>Hydaulic accumulator</v>
      </c>
      <c r="AK762">
        <f t="shared" si="502"/>
        <v>1.3169194072575068</v>
      </c>
      <c r="AN762">
        <f t="shared" si="500"/>
        <v>20.156081479751855</v>
      </c>
      <c r="AS762" s="14">
        <f>HAWT!F447</f>
        <v>19151.988746573759</v>
      </c>
      <c r="AT762" s="14">
        <f>HAWT!H447</f>
        <v>394075.12766170775</v>
      </c>
      <c r="AU762" t="str">
        <f>HAWT!D447</f>
        <v>Cover</v>
      </c>
      <c r="AV762">
        <f t="shared" si="498"/>
        <v>4.6611485728531021E-2</v>
      </c>
      <c r="AY762">
        <f t="shared" si="499"/>
        <v>0.95908719621918082</v>
      </c>
    </row>
    <row r="763" spans="16:51" x14ac:dyDescent="0.3">
      <c r="AJ763" t="str">
        <f t="shared" ref="AJ763:AK763" si="503">AJ750</f>
        <v>Hydraulic extras</v>
      </c>
      <c r="AK763">
        <f t="shared" si="503"/>
        <v>3.6144282436234493E-2</v>
      </c>
      <c r="AN763">
        <f t="shared" si="500"/>
        <v>1.6107371085282043</v>
      </c>
      <c r="AS763" s="14">
        <f>HAWT!F448</f>
        <v>40528</v>
      </c>
      <c r="AT763" s="14">
        <f>HAWT!H448</f>
        <v>611451.6</v>
      </c>
      <c r="AU763" t="str">
        <f>HAWT!D448</f>
        <v>Yaw</v>
      </c>
      <c r="AV763">
        <f t="shared" si="498"/>
        <v>9.8635724916236442E-2</v>
      </c>
      <c r="AY763">
        <f t="shared" si="499"/>
        <v>1.4881309666697748</v>
      </c>
    </row>
    <row r="764" spans="16:51" x14ac:dyDescent="0.3">
      <c r="AJ764" t="str">
        <f t="shared" ref="AJ764:AK764" si="504">AJ751</f>
        <v>Hydraulic motors</v>
      </c>
      <c r="AK764">
        <f t="shared" si="504"/>
        <v>3.6256724782067248E-2</v>
      </c>
      <c r="AN764">
        <f t="shared" si="500"/>
        <v>0.55375716064757152</v>
      </c>
      <c r="AS764" s="14">
        <f>HAWT!F449</f>
        <v>111540</v>
      </c>
      <c r="AT764" s="14">
        <f>HAWT!H449</f>
        <v>1713660</v>
      </c>
      <c r="AU764" t="str">
        <f>HAWT!D449</f>
        <v>Shaft</v>
      </c>
      <c r="AV764">
        <f t="shared" si="498"/>
        <v>0.27146241505026186</v>
      </c>
      <c r="AY764">
        <f t="shared" si="499"/>
        <v>4.1706498312267506</v>
      </c>
    </row>
    <row r="765" spans="16:51" x14ac:dyDescent="0.3">
      <c r="AJ765" t="str">
        <f t="shared" ref="AJ765:AK765" si="505">AJ752</f>
        <v>Generator</v>
      </c>
      <c r="AK765">
        <f t="shared" si="505"/>
        <v>0.15120790739702319</v>
      </c>
      <c r="AN765">
        <f t="shared" si="500"/>
        <v>2.2718178971580474</v>
      </c>
      <c r="AS765" s="14">
        <f>HAWT!F450</f>
        <v>253492.52499999999</v>
      </c>
      <c r="AT765" s="14">
        <f>HAWT!H450</f>
        <v>3743775.75</v>
      </c>
      <c r="AU765" t="str">
        <f>HAWT!D450</f>
        <v>Bed plate</v>
      </c>
      <c r="AV765">
        <f t="shared" si="498"/>
        <v>0.61694184179387557</v>
      </c>
      <c r="AY765">
        <f t="shared" si="499"/>
        <v>9.1114793482302794</v>
      </c>
    </row>
    <row r="766" spans="16:51" x14ac:dyDescent="0.3">
      <c r="AJ766" t="str">
        <f t="shared" ref="AJ766:AK766" si="506">AJ753</f>
        <v>Converter</v>
      </c>
      <c r="AK766">
        <f t="shared" si="506"/>
        <v>6.4772802366767163E-2</v>
      </c>
      <c r="AN766">
        <f t="shared" si="500"/>
        <v>0.90184347250597918</v>
      </c>
      <c r="AS766" s="14">
        <f>HAWT!F451</f>
        <v>16664.690000000002</v>
      </c>
      <c r="AT766" s="14">
        <f>HAWT!H451</f>
        <v>256015.9</v>
      </c>
      <c r="AU766" t="str">
        <f>HAWT!D451</f>
        <v>Brake</v>
      </c>
      <c r="AV766">
        <f t="shared" si="498"/>
        <v>4.055797914168862E-2</v>
      </c>
      <c r="AY766">
        <f t="shared" si="499"/>
        <v>0.62308314958997968</v>
      </c>
    </row>
    <row r="767" spans="16:51" x14ac:dyDescent="0.3">
      <c r="AJ767" t="str">
        <f t="shared" ref="AJ767:AK767" si="507">AJ754</f>
        <v>Transformer</v>
      </c>
      <c r="AK767">
        <f t="shared" si="507"/>
        <v>0.1890858499377335</v>
      </c>
      <c r="AN767">
        <f t="shared" si="500"/>
        <v>3.3354743929016188</v>
      </c>
      <c r="AS767" s="14">
        <f>HAWT!F452</f>
        <v>0</v>
      </c>
      <c r="AT767" s="14">
        <f>HAWT!H452</f>
        <v>0</v>
      </c>
      <c r="AU767" t="str">
        <f>HAWT!D452</f>
        <v>HVAC</v>
      </c>
      <c r="AV767">
        <f t="shared" si="498"/>
        <v>0</v>
      </c>
      <c r="AY767">
        <f t="shared" si="499"/>
        <v>0</v>
      </c>
    </row>
    <row r="768" spans="16:51" x14ac:dyDescent="0.3">
      <c r="AJ768" t="str">
        <f t="shared" ref="AJ768:AK768" si="508">AJ755</f>
        <v>Electronics</v>
      </c>
      <c r="AK768">
        <f t="shared" si="508"/>
        <v>3.9565172270651726E-2</v>
      </c>
      <c r="AN768">
        <f t="shared" si="500"/>
        <v>0.61617891241178913</v>
      </c>
      <c r="AS768" s="14">
        <f>HAWT!F453</f>
        <v>18300</v>
      </c>
      <c r="AT768" s="14">
        <f>HAWT!H453</f>
        <v>285000</v>
      </c>
      <c r="AU768" t="str">
        <f>HAWT!D453</f>
        <v>Electronics</v>
      </c>
      <c r="AV768">
        <f t="shared" si="498"/>
        <v>4.45379432976492E-2</v>
      </c>
      <c r="AY768">
        <f t="shared" si="499"/>
        <v>0.69362370709453669</v>
      </c>
    </row>
    <row r="769" spans="4:51" x14ac:dyDescent="0.3">
      <c r="AS769" s="14">
        <f>HAWT!F454</f>
        <v>68640</v>
      </c>
      <c r="AT769" s="14">
        <f>HAWT!H454</f>
        <v>1054560</v>
      </c>
      <c r="AU769" t="str">
        <f>HAWT!D454</f>
        <v>Bearings</v>
      </c>
      <c r="AV769">
        <f t="shared" si="498"/>
        <v>0.16705379387708422</v>
      </c>
      <c r="AY769">
        <f t="shared" si="499"/>
        <v>2.5665537422933848</v>
      </c>
    </row>
    <row r="770" spans="4:51" x14ac:dyDescent="0.3">
      <c r="AJ770" t="str">
        <f>AJ760</f>
        <v>Drum</v>
      </c>
      <c r="AK770">
        <f>AK760</f>
        <v>0.39125009316575321</v>
      </c>
      <c r="AO770">
        <f>AN760</f>
        <v>6.2687381207591208</v>
      </c>
      <c r="AS770" s="14">
        <f>HAWT!F455</f>
        <v>17568.827758007115</v>
      </c>
      <c r="AT770" s="14">
        <f>HAWT!H455</f>
        <v>249661.61328588374</v>
      </c>
      <c r="AU770" t="str">
        <f>HAWT!D455</f>
        <v>Converter</v>
      </c>
      <c r="AV770">
        <f t="shared" si="498"/>
        <v>4.2758440136190505E-2</v>
      </c>
      <c r="AY770">
        <f t="shared" si="499"/>
        <v>0.60761829377739407</v>
      </c>
    </row>
    <row r="771" spans="4:51" x14ac:dyDescent="0.3">
      <c r="AJ771" t="str">
        <f t="shared" ref="AJ771:AK771" si="509">AJ761</f>
        <v>Hydraulic pistons</v>
      </c>
      <c r="AK771">
        <f t="shared" si="509"/>
        <v>0.42856648678566489</v>
      </c>
      <c r="AO771">
        <f t="shared" ref="AO771:AO777" si="510">AN761</f>
        <v>6.5455929154559289</v>
      </c>
      <c r="AS771" s="14"/>
      <c r="AT771" s="14"/>
      <c r="AV771">
        <f>SUM(AV759:AV770)</f>
        <v>2.2766164712812915</v>
      </c>
      <c r="AY771">
        <f>SUM(AY759:AY770)</f>
        <v>35.147250945705572</v>
      </c>
    </row>
    <row r="772" spans="4:51" x14ac:dyDescent="0.3">
      <c r="AJ772" t="str">
        <f t="shared" ref="AJ772:AK772" si="511">AJ762</f>
        <v>Hydaulic accumulator</v>
      </c>
      <c r="AK772">
        <f t="shared" si="511"/>
        <v>1.3169194072575068</v>
      </c>
      <c r="AO772">
        <f t="shared" si="510"/>
        <v>20.156081479751855</v>
      </c>
    </row>
    <row r="773" spans="4:51" x14ac:dyDescent="0.3">
      <c r="AJ773" t="str">
        <f t="shared" ref="AJ773:AK773" si="512">AJ763</f>
        <v>Hydraulic extras</v>
      </c>
      <c r="AK773">
        <f t="shared" si="512"/>
        <v>3.6144282436234493E-2</v>
      </c>
      <c r="AO773">
        <f t="shared" si="510"/>
        <v>1.6107371085282043</v>
      </c>
    </row>
    <row r="774" spans="4:51" x14ac:dyDescent="0.3">
      <c r="AJ774" t="str">
        <f t="shared" ref="AJ774:AK774" si="513">AJ764</f>
        <v>Hydraulic motors</v>
      </c>
      <c r="AK774">
        <f t="shared" si="513"/>
        <v>3.6256724782067248E-2</v>
      </c>
      <c r="AO774">
        <f t="shared" si="510"/>
        <v>0.55375716064757152</v>
      </c>
    </row>
    <row r="775" spans="4:51" x14ac:dyDescent="0.3">
      <c r="AJ775" t="str">
        <f t="shared" ref="AJ775:AK775" si="514">AJ765</f>
        <v>Generator</v>
      </c>
      <c r="AK775">
        <f t="shared" si="514"/>
        <v>0.15120790739702319</v>
      </c>
      <c r="AO775">
        <f t="shared" si="510"/>
        <v>2.2718178971580474</v>
      </c>
    </row>
    <row r="776" spans="4:51" x14ac:dyDescent="0.3">
      <c r="AJ776" t="str">
        <f t="shared" ref="AJ776:AK776" si="515">AJ766</f>
        <v>Converter</v>
      </c>
      <c r="AK776">
        <f t="shared" si="515"/>
        <v>6.4772802366767163E-2</v>
      </c>
      <c r="AO776">
        <f t="shared" si="510"/>
        <v>0.90184347250597918</v>
      </c>
    </row>
    <row r="777" spans="4:51" x14ac:dyDescent="0.3">
      <c r="AJ777" t="str">
        <f t="shared" ref="AJ777:AK777" si="516">AJ767</f>
        <v>Transformer</v>
      </c>
      <c r="AK777">
        <f t="shared" si="516"/>
        <v>0.1890858499377335</v>
      </c>
      <c r="AO777">
        <f t="shared" si="510"/>
        <v>3.3354743929016188</v>
      </c>
    </row>
    <row r="778" spans="4:51" x14ac:dyDescent="0.3">
      <c r="AJ778" t="str">
        <f>AJ768</f>
        <v>Electronics</v>
      </c>
      <c r="AK778">
        <f>AK768</f>
        <v>3.9565172270651726E-2</v>
      </c>
      <c r="AO778">
        <f>AN768</f>
        <v>0.61617891241178913</v>
      </c>
    </row>
    <row r="783" spans="4:51" s="70" customFormat="1" x14ac:dyDescent="0.3">
      <c r="D783" s="47" t="s">
        <v>1979</v>
      </c>
      <c r="E783" s="47"/>
      <c r="F783" s="47"/>
      <c r="G783" s="361"/>
    </row>
    <row r="785" spans="11:32" x14ac:dyDescent="0.3">
      <c r="AC785" t="str">
        <f>M7</f>
        <v>GWP</v>
      </c>
      <c r="AD785" t="str">
        <f t="shared" ref="AD785:AE785" si="517">N7</f>
        <v>CED</v>
      </c>
      <c r="AE785" t="str">
        <f t="shared" si="517"/>
        <v>AEP system</v>
      </c>
      <c r="AF785" t="s">
        <v>1981</v>
      </c>
    </row>
    <row r="786" spans="11:32" x14ac:dyDescent="0.3">
      <c r="N786">
        <v>0.01</v>
      </c>
      <c r="P786">
        <f>5*24*365</f>
        <v>43800</v>
      </c>
      <c r="Q786">
        <f>Q789*$P$786*$N$786</f>
        <v>18746.399999999998</v>
      </c>
      <c r="S786">
        <f>S789*$P$786*$N$786</f>
        <v>20936.399999999998</v>
      </c>
      <c r="U786">
        <f>U789*$P$786*$N$786</f>
        <v>23126.400000000001</v>
      </c>
      <c r="W786">
        <f>W789*$P$786*$N$786</f>
        <v>25316.400000000001</v>
      </c>
      <c r="Y786">
        <f>Y789*$P$786*$N$786</f>
        <v>27506.400000000001</v>
      </c>
      <c r="AA786" t="s">
        <v>1186</v>
      </c>
      <c r="AC786">
        <f t="shared" ref="AC786:AC787" si="518">M8</f>
        <v>3606928.6255981736</v>
      </c>
      <c r="AD786">
        <f t="shared" ref="AD786:AD787" si="519">N8</f>
        <v>58958258.633946277</v>
      </c>
      <c r="AE786">
        <f t="shared" ref="AE786:AE787" si="520">O8</f>
        <v>23126.400000000001</v>
      </c>
      <c r="AF786" s="14">
        <f>G23</f>
        <v>52.8</v>
      </c>
    </row>
    <row r="787" spans="11:32" x14ac:dyDescent="0.3">
      <c r="Q787">
        <f>Q790*$P$786*$N$786</f>
        <v>16164.280499999995</v>
      </c>
      <c r="S787">
        <f>S790*$P$786*$N$786</f>
        <v>18354.280499999997</v>
      </c>
      <c r="U787">
        <f>U790*$P$786*$N$786</f>
        <v>20544.280499999997</v>
      </c>
      <c r="W787">
        <f>W790*$P$786*$N$786</f>
        <v>22734.280499999997</v>
      </c>
      <c r="Y787">
        <f>Y790*$P$786*$N$786</f>
        <v>24924.280499999997</v>
      </c>
      <c r="AA787" t="s">
        <v>1185</v>
      </c>
      <c r="AC787">
        <f t="shared" si="518"/>
        <v>5332521.849899753</v>
      </c>
      <c r="AD787">
        <f t="shared" si="519"/>
        <v>80128631.449564248</v>
      </c>
      <c r="AE787">
        <f t="shared" si="520"/>
        <v>20544.280499999997</v>
      </c>
      <c r="AF787" s="14">
        <f>G37</f>
        <v>46.904749999999993</v>
      </c>
    </row>
    <row r="789" spans="11:32" x14ac:dyDescent="0.3">
      <c r="Q789" s="14">
        <f>U789-10</f>
        <v>42.8</v>
      </c>
      <c r="S789" s="14">
        <f>U789-5</f>
        <v>47.8</v>
      </c>
      <c r="U789" s="14">
        <f>AF786</f>
        <v>52.8</v>
      </c>
      <c r="W789" s="14">
        <f>U789+5</f>
        <v>57.8</v>
      </c>
      <c r="Y789" s="14">
        <f>U789+10</f>
        <v>62.8</v>
      </c>
    </row>
    <row r="790" spans="11:32" x14ac:dyDescent="0.3">
      <c r="Q790" s="14">
        <f>U790-10</f>
        <v>36.904749999999993</v>
      </c>
      <c r="S790" s="14">
        <f>U790-5</f>
        <v>41.904749999999993</v>
      </c>
      <c r="U790" s="14">
        <f>AF787</f>
        <v>46.904749999999993</v>
      </c>
      <c r="W790" s="14">
        <f>U790+5</f>
        <v>51.904749999999993</v>
      </c>
      <c r="Y790" s="14">
        <f>U790+10</f>
        <v>56.904749999999993</v>
      </c>
    </row>
    <row r="792" spans="11:32" x14ac:dyDescent="0.3">
      <c r="K792" s="44"/>
      <c r="L792" s="44"/>
      <c r="M792" s="44"/>
      <c r="N792" s="44"/>
      <c r="O792" s="44"/>
      <c r="P792" s="44"/>
      <c r="Q792" s="364" t="s">
        <v>1975</v>
      </c>
      <c r="R792" s="44"/>
      <c r="S792" s="364" t="s">
        <v>1976</v>
      </c>
      <c r="T792" s="44"/>
      <c r="U792" s="44" t="s">
        <v>1916</v>
      </c>
      <c r="V792" s="44"/>
      <c r="W792" s="364" t="s">
        <v>1977</v>
      </c>
      <c r="X792" s="44"/>
      <c r="Y792" s="364" t="s">
        <v>1978</v>
      </c>
      <c r="Z792" s="44"/>
      <c r="AA792" s="44"/>
      <c r="AB792" s="44"/>
    </row>
    <row r="793" spans="11:32" x14ac:dyDescent="0.3">
      <c r="K793" s="44"/>
      <c r="L793" s="359" t="s">
        <v>1929</v>
      </c>
      <c r="M793" s="359"/>
      <c r="N793" s="359" t="s">
        <v>1765</v>
      </c>
      <c r="O793" s="359"/>
      <c r="P793" s="359" t="s">
        <v>1765</v>
      </c>
      <c r="Q793" s="359"/>
      <c r="R793" s="359" t="s">
        <v>1765</v>
      </c>
      <c r="S793" s="359"/>
      <c r="T793" s="359" t="s">
        <v>1765</v>
      </c>
      <c r="U793" s="359"/>
      <c r="V793" s="359" t="s">
        <v>1765</v>
      </c>
      <c r="W793" s="359"/>
      <c r="X793" s="359" t="s">
        <v>1765</v>
      </c>
      <c r="Y793" s="359"/>
      <c r="Z793" t="s">
        <v>1764</v>
      </c>
      <c r="AA793" t="s">
        <v>1775</v>
      </c>
      <c r="AB793" s="44"/>
    </row>
    <row r="794" spans="11:32" x14ac:dyDescent="0.3">
      <c r="K794" s="44"/>
      <c r="L794" s="359" t="s">
        <v>1881</v>
      </c>
      <c r="M794" s="359" t="s">
        <v>33</v>
      </c>
      <c r="N794" s="359" t="s">
        <v>1765</v>
      </c>
      <c r="O794" s="359" t="s">
        <v>1982</v>
      </c>
      <c r="P794" s="359" t="s">
        <v>1765</v>
      </c>
      <c r="Q794" s="359">
        <f>Q789</f>
        <v>42.8</v>
      </c>
      <c r="R794" s="359" t="s">
        <v>1765</v>
      </c>
      <c r="S794" s="359">
        <f t="shared" ref="S794:Y794" si="521">S789</f>
        <v>47.8</v>
      </c>
      <c r="T794" s="359" t="s">
        <v>1765</v>
      </c>
      <c r="U794" s="359">
        <f t="shared" si="521"/>
        <v>52.8</v>
      </c>
      <c r="V794" s="359" t="s">
        <v>1765</v>
      </c>
      <c r="W794" s="359">
        <f t="shared" si="521"/>
        <v>57.8</v>
      </c>
      <c r="X794" s="359" t="s">
        <v>1765</v>
      </c>
      <c r="Y794" s="359">
        <f t="shared" si="521"/>
        <v>62.8</v>
      </c>
      <c r="Z794" s="334" t="s">
        <v>1764</v>
      </c>
      <c r="AB794" s="44"/>
    </row>
    <row r="795" spans="11:32" x14ac:dyDescent="0.3">
      <c r="K795" s="44"/>
      <c r="L795" s="359" t="s">
        <v>1881</v>
      </c>
      <c r="M795" s="359" t="s">
        <v>1980</v>
      </c>
      <c r="N795" s="359" t="s">
        <v>1765</v>
      </c>
      <c r="O795" s="359" t="s">
        <v>1933</v>
      </c>
      <c r="P795" s="359" t="s">
        <v>1765</v>
      </c>
      <c r="Q795" s="359">
        <f>Q786</f>
        <v>18746.399999999998</v>
      </c>
      <c r="R795" s="359" t="s">
        <v>1765</v>
      </c>
      <c r="S795" s="359">
        <f>S786</f>
        <v>20936.399999999998</v>
      </c>
      <c r="T795" s="359" t="s">
        <v>1765</v>
      </c>
      <c r="U795" s="359">
        <f>U786</f>
        <v>23126.400000000001</v>
      </c>
      <c r="V795" s="359" t="s">
        <v>1765</v>
      </c>
      <c r="W795" s="359">
        <f>W786</f>
        <v>25316.400000000001</v>
      </c>
      <c r="X795" s="359" t="s">
        <v>1765</v>
      </c>
      <c r="Y795" s="359">
        <f>Y786</f>
        <v>27506.400000000001</v>
      </c>
      <c r="Z795" t="s">
        <v>1764</v>
      </c>
      <c r="AB795" s="44"/>
    </row>
    <row r="796" spans="11:32" x14ac:dyDescent="0.3">
      <c r="K796" s="44"/>
      <c r="L796" s="359" t="s">
        <v>1881</v>
      </c>
      <c r="M796" s="359" t="s">
        <v>32</v>
      </c>
      <c r="N796" s="359" t="s">
        <v>1765</v>
      </c>
      <c r="O796" s="359" t="s">
        <v>1931</v>
      </c>
      <c r="P796" s="359" t="s">
        <v>1765</v>
      </c>
      <c r="Q796" s="359">
        <f>$AC$786/(20*Q795)</f>
        <v>9.6203234370283734</v>
      </c>
      <c r="R796" s="359" t="s">
        <v>1765</v>
      </c>
      <c r="S796" s="359">
        <f>$AC$786/(20*S795)</f>
        <v>8.6140134540756144</v>
      </c>
      <c r="T796" s="359" t="s">
        <v>1765</v>
      </c>
      <c r="U796" s="359">
        <f>$AC$786/(20*U795)</f>
        <v>7.7982924830457261</v>
      </c>
      <c r="V796" s="359" t="s">
        <v>1765</v>
      </c>
      <c r="W796" s="359">
        <f>$AC$786/(20*W795)</f>
        <v>7.1236997076957493</v>
      </c>
      <c r="X796" s="359" t="s">
        <v>1765</v>
      </c>
      <c r="Y796" s="359">
        <f>$AC$786/(20*Y795)</f>
        <v>6.5565261640894006</v>
      </c>
      <c r="Z796" t="s">
        <v>1764</v>
      </c>
      <c r="AB796" s="44"/>
    </row>
    <row r="797" spans="11:32" x14ac:dyDescent="0.3">
      <c r="K797" s="44"/>
      <c r="L797" s="359" t="s">
        <v>1881</v>
      </c>
      <c r="M797" s="359" t="s">
        <v>162</v>
      </c>
      <c r="N797" s="359" t="s">
        <v>1765</v>
      </c>
      <c r="O797" s="359" t="s">
        <v>1932</v>
      </c>
      <c r="P797" s="359" t="s">
        <v>1765</v>
      </c>
      <c r="Q797" s="359">
        <f>$AD$786/(20*Q795)</f>
        <v>157.252215449223</v>
      </c>
      <c r="R797" s="359" t="s">
        <v>1765</v>
      </c>
      <c r="S797" s="359">
        <f>$AD$786/(20*S795)</f>
        <v>140.803238937798</v>
      </c>
      <c r="T797" s="359" t="s">
        <v>1765</v>
      </c>
      <c r="U797" s="359">
        <f>$AD$786/(20*U795)</f>
        <v>127.46959888687014</v>
      </c>
      <c r="V797" s="359" t="s">
        <v>1765</v>
      </c>
      <c r="W797" s="359">
        <f>$AD$786/(20*W795)</f>
        <v>116.44281697624125</v>
      </c>
      <c r="X797" s="359" t="s">
        <v>1765</v>
      </c>
      <c r="Y797" s="359">
        <f>$AD$786/(20*Y795)</f>
        <v>107.1718920577507</v>
      </c>
      <c r="Z797" t="s">
        <v>1764</v>
      </c>
      <c r="AA797" t="s">
        <v>1775</v>
      </c>
      <c r="AB797" s="44"/>
    </row>
    <row r="798" spans="11:32" x14ac:dyDescent="0.3">
      <c r="K798" s="44"/>
      <c r="L798" s="359" t="s">
        <v>1927</v>
      </c>
      <c r="M798" s="359"/>
      <c r="N798" s="359" t="s">
        <v>1765</v>
      </c>
      <c r="O798" s="359"/>
      <c r="P798" s="359" t="s">
        <v>1765</v>
      </c>
      <c r="Q798" s="359"/>
      <c r="R798" s="359" t="s">
        <v>1765</v>
      </c>
      <c r="S798" s="359"/>
      <c r="T798" s="359" t="s">
        <v>1765</v>
      </c>
      <c r="U798" s="359"/>
      <c r="V798" s="359" t="s">
        <v>1765</v>
      </c>
      <c r="W798" s="359"/>
      <c r="X798" s="359" t="s">
        <v>1765</v>
      </c>
      <c r="Y798" s="359"/>
      <c r="Z798" t="s">
        <v>1764</v>
      </c>
      <c r="AA798" t="s">
        <v>1775</v>
      </c>
      <c r="AB798" s="44"/>
    </row>
    <row r="799" spans="11:32" x14ac:dyDescent="0.3">
      <c r="K799" s="44"/>
      <c r="L799" s="359" t="s">
        <v>1881</v>
      </c>
      <c r="M799" s="359" t="s">
        <v>33</v>
      </c>
      <c r="N799" s="359" t="s">
        <v>1765</v>
      </c>
      <c r="O799" s="359" t="s">
        <v>1982</v>
      </c>
      <c r="P799" s="359" t="s">
        <v>1765</v>
      </c>
      <c r="Q799" s="359">
        <f>Q790</f>
        <v>36.904749999999993</v>
      </c>
      <c r="R799" s="359" t="s">
        <v>1765</v>
      </c>
      <c r="S799" s="359">
        <f>S790</f>
        <v>41.904749999999993</v>
      </c>
      <c r="T799" s="359" t="s">
        <v>1765</v>
      </c>
      <c r="U799" s="359">
        <f>U790</f>
        <v>46.904749999999993</v>
      </c>
      <c r="V799" s="359" t="s">
        <v>1765</v>
      </c>
      <c r="W799" s="359">
        <f>W790</f>
        <v>51.904749999999993</v>
      </c>
      <c r="X799" s="359" t="s">
        <v>1765</v>
      </c>
      <c r="Y799" s="359">
        <f>Y790</f>
        <v>56.904749999999993</v>
      </c>
      <c r="Z799" t="s">
        <v>1764</v>
      </c>
      <c r="AB799" s="44"/>
    </row>
    <row r="800" spans="11:32" x14ac:dyDescent="0.3">
      <c r="K800" s="44"/>
      <c r="L800" s="359" t="s">
        <v>1881</v>
      </c>
      <c r="M800" s="359" t="s">
        <v>1980</v>
      </c>
      <c r="N800" s="359" t="s">
        <v>1765</v>
      </c>
      <c r="O800" s="359" t="s">
        <v>1933</v>
      </c>
      <c r="P800" s="359" t="s">
        <v>1765</v>
      </c>
      <c r="Q800" s="359">
        <f>Q787</f>
        <v>16164.280499999995</v>
      </c>
      <c r="R800" s="359" t="s">
        <v>1765</v>
      </c>
      <c r="S800" s="359">
        <f>S787</f>
        <v>18354.280499999997</v>
      </c>
      <c r="T800" s="359" t="s">
        <v>1765</v>
      </c>
      <c r="U800" s="359">
        <f>U787</f>
        <v>20544.280499999997</v>
      </c>
      <c r="V800" s="359" t="s">
        <v>1765</v>
      </c>
      <c r="W800" s="359">
        <f>W787</f>
        <v>22734.280499999997</v>
      </c>
      <c r="X800" s="359" t="s">
        <v>1765</v>
      </c>
      <c r="Y800" s="359">
        <f>Y787</f>
        <v>24924.280499999997</v>
      </c>
      <c r="Z800" t="s">
        <v>1764</v>
      </c>
      <c r="AB800" s="44"/>
    </row>
    <row r="801" spans="11:28" x14ac:dyDescent="0.3">
      <c r="K801" s="44"/>
      <c r="L801" s="359" t="s">
        <v>1881</v>
      </c>
      <c r="M801" s="359" t="s">
        <v>32</v>
      </c>
      <c r="N801" s="359" t="s">
        <v>1765</v>
      </c>
      <c r="O801" s="359" t="s">
        <v>1931</v>
      </c>
      <c r="P801" s="359" t="s">
        <v>1765</v>
      </c>
      <c r="Q801" s="359">
        <f>$AC$787/(20*Q800)</f>
        <v>16.494770212320166</v>
      </c>
      <c r="R801" s="359" t="s">
        <v>1765</v>
      </c>
      <c r="S801" s="359">
        <f>$AC$787/(20*S800)</f>
        <v>14.526643661950557</v>
      </c>
      <c r="T801" s="359" t="s">
        <v>1765</v>
      </c>
      <c r="U801" s="359">
        <f>$AC$787/(20*U800)</f>
        <v>12.978117802421345</v>
      </c>
      <c r="V801" s="359" t="s">
        <v>1765</v>
      </c>
      <c r="W801" s="359">
        <f>$AC$787/(20*W800)</f>
        <v>11.727931855815173</v>
      </c>
      <c r="X801" s="359" t="s">
        <v>1765</v>
      </c>
      <c r="Y801" s="359">
        <f>$AC$787/(20*Y800)</f>
        <v>10.697443903946905</v>
      </c>
      <c r="Z801" t="s">
        <v>1764</v>
      </c>
      <c r="AB801" s="44"/>
    </row>
    <row r="802" spans="11:28" x14ac:dyDescent="0.3">
      <c r="K802" s="44"/>
      <c r="L802" s="359" t="s">
        <v>1881</v>
      </c>
      <c r="M802" s="359" t="s">
        <v>162</v>
      </c>
      <c r="N802" s="359" t="s">
        <v>1765</v>
      </c>
      <c r="O802" s="359" t="s">
        <v>1932</v>
      </c>
      <c r="P802" s="359" t="s">
        <v>1765</v>
      </c>
      <c r="Q802" s="359">
        <f>$AD$787/(20*Q800)</f>
        <v>247.85709283368433</v>
      </c>
      <c r="R802" s="359" t="s">
        <v>1765</v>
      </c>
      <c r="S802" s="359">
        <f>$AD$787/(20*S800)</f>
        <v>218.2832267643623</v>
      </c>
      <c r="T802" s="359" t="s">
        <v>1765</v>
      </c>
      <c r="U802" s="359">
        <f>$AD$787/(20*U800)</f>
        <v>195.01445049283731</v>
      </c>
      <c r="V802" s="359" t="s">
        <v>1765</v>
      </c>
      <c r="W802" s="359">
        <f>$AD$787/(20*W800)</f>
        <v>176.22865049449061</v>
      </c>
      <c r="X802" s="359" t="s">
        <v>1765</v>
      </c>
      <c r="Y802" s="359">
        <f>$AD$787/(20*Y800)</f>
        <v>160.74412147938284</v>
      </c>
      <c r="Z802" t="s">
        <v>1764</v>
      </c>
      <c r="AB802" s="44"/>
    </row>
    <row r="803" spans="11:28" x14ac:dyDescent="0.3">
      <c r="K803" s="44"/>
      <c r="L803" s="44"/>
      <c r="M803" s="44"/>
      <c r="N803" s="44"/>
      <c r="O803" s="44"/>
      <c r="P803" s="44"/>
      <c r="Q803" s="44"/>
      <c r="R803" s="44"/>
      <c r="S803" s="44"/>
      <c r="T803" s="44"/>
      <c r="U803" s="44"/>
      <c r="V803" s="44"/>
      <c r="W803" s="44"/>
      <c r="X803" s="44"/>
      <c r="Y803" s="44"/>
      <c r="Z803" s="44"/>
      <c r="AA803" s="44"/>
      <c r="AB803" s="44"/>
    </row>
    <row r="806" spans="11:28" x14ac:dyDescent="0.3">
      <c r="O806">
        <f>Q796</f>
        <v>9.6203234370283734</v>
      </c>
      <c r="P806">
        <f>S796</f>
        <v>8.6140134540756144</v>
      </c>
      <c r="Q806">
        <f>U796</f>
        <v>7.7982924830457261</v>
      </c>
      <c r="R806">
        <f>W796</f>
        <v>7.1236997076957493</v>
      </c>
      <c r="S806">
        <f>Y796</f>
        <v>6.5565261640894006</v>
      </c>
    </row>
    <row r="807" spans="11:28" x14ac:dyDescent="0.3">
      <c r="O807">
        <f>Q797</f>
        <v>157.252215449223</v>
      </c>
      <c r="P807">
        <f>S797</f>
        <v>140.803238937798</v>
      </c>
      <c r="Q807">
        <f>U797</f>
        <v>127.46959888687014</v>
      </c>
      <c r="R807">
        <f>W797</f>
        <v>116.44281697624125</v>
      </c>
      <c r="S807">
        <f>Y797</f>
        <v>107.1718920577507</v>
      </c>
    </row>
    <row r="808" spans="11:28" x14ac:dyDescent="0.3">
      <c r="O808">
        <f>Q801</f>
        <v>16.494770212320166</v>
      </c>
      <c r="P808">
        <f>S801</f>
        <v>14.526643661950557</v>
      </c>
      <c r="Q808">
        <f>U801</f>
        <v>12.978117802421345</v>
      </c>
      <c r="R808">
        <f>W801</f>
        <v>11.727931855815173</v>
      </c>
      <c r="S808">
        <f>Y801</f>
        <v>10.697443903946905</v>
      </c>
    </row>
    <row r="809" spans="11:28" x14ac:dyDescent="0.3">
      <c r="O809">
        <f>Q802</f>
        <v>247.85709283368433</v>
      </c>
      <c r="P809">
        <f>S802</f>
        <v>218.2832267643623</v>
      </c>
      <c r="Q809">
        <f>U802</f>
        <v>195.01445049283731</v>
      </c>
      <c r="R809">
        <f>W802</f>
        <v>176.22865049449061</v>
      </c>
      <c r="S809">
        <f>Y802</f>
        <v>160.74412147938284</v>
      </c>
    </row>
    <row r="810" spans="11:28" x14ac:dyDescent="0.3">
      <c r="O810">
        <v>90</v>
      </c>
      <c r="P810">
        <v>95</v>
      </c>
      <c r="Q810">
        <v>100</v>
      </c>
      <c r="R810">
        <v>105</v>
      </c>
      <c r="S810">
        <v>110</v>
      </c>
    </row>
    <row r="814" spans="11:28" x14ac:dyDescent="0.3">
      <c r="O814">
        <f>(O806-$Q806)/$Q806</f>
        <v>0.23364485981308425</v>
      </c>
      <c r="P814">
        <f t="shared" ref="P814:S814" si="522">(P806-$Q806)/$Q806</f>
        <v>0.10460251046025112</v>
      </c>
      <c r="Q814">
        <f t="shared" si="522"/>
        <v>0</v>
      </c>
      <c r="R814">
        <f t="shared" si="522"/>
        <v>-8.6505190311418748E-2</v>
      </c>
      <c r="S814">
        <f t="shared" si="522"/>
        <v>-0.15923566878980888</v>
      </c>
    </row>
    <row r="815" spans="11:28" x14ac:dyDescent="0.3">
      <c r="O815">
        <f t="shared" ref="O815:S815" si="523">(O807-$Q807)/$Q807</f>
        <v>0.23364485981308425</v>
      </c>
      <c r="P815">
        <f t="shared" si="523"/>
        <v>0.10460251046025117</v>
      </c>
      <c r="Q815">
        <f t="shared" si="523"/>
        <v>0</v>
      </c>
      <c r="R815">
        <f t="shared" si="523"/>
        <v>-8.6505190311418637E-2</v>
      </c>
      <c r="S815">
        <f t="shared" si="523"/>
        <v>-0.15923566878980891</v>
      </c>
    </row>
    <row r="816" spans="11:28" x14ac:dyDescent="0.3">
      <c r="O816">
        <f t="shared" ref="O816:S816" si="524">(O808-$Q808)/$Q808</f>
        <v>0.27096782934446123</v>
      </c>
      <c r="P816">
        <f t="shared" si="524"/>
        <v>0.11931821571540223</v>
      </c>
      <c r="Q816">
        <f t="shared" si="524"/>
        <v>0</v>
      </c>
      <c r="R816">
        <f t="shared" si="524"/>
        <v>-9.6330297323462613E-2</v>
      </c>
      <c r="S816">
        <f t="shared" si="524"/>
        <v>-0.17573225433729162</v>
      </c>
    </row>
    <row r="817" spans="2:19" x14ac:dyDescent="0.3">
      <c r="O817">
        <f t="shared" ref="O817:S817" si="525">(O809-$Q809)/$Q809</f>
        <v>0.27096782934446123</v>
      </c>
      <c r="P817">
        <f t="shared" si="525"/>
        <v>0.1193182157154022</v>
      </c>
      <c r="Q817">
        <f t="shared" si="525"/>
        <v>0</v>
      </c>
      <c r="R817">
        <f t="shared" si="525"/>
        <v>-9.6330297323462641E-2</v>
      </c>
      <c r="S817">
        <f t="shared" si="525"/>
        <v>-0.17573225433729173</v>
      </c>
    </row>
    <row r="821" spans="2:19" x14ac:dyDescent="0.3">
      <c r="B821" s="42" t="s">
        <v>1879</v>
      </c>
      <c r="C821" s="42"/>
      <c r="E821" s="42" t="s">
        <v>1172</v>
      </c>
      <c r="F821" s="42" t="s">
        <v>1999</v>
      </c>
      <c r="G821" s="362" t="s">
        <v>1791</v>
      </c>
      <c r="H821" s="42"/>
      <c r="I821" s="42" t="str">
        <f>"%" &amp;F821 &amp;G821 &amp;B821 &amp;G821  &amp;E821</f>
        <v>%Impacts of PGA.Actual impacts.AWE</v>
      </c>
      <c r="J821" s="42" t="str">
        <f>"\"&amp;B821&amp;E821&amp;F821</f>
        <v>\Actual impactsAWEImpacts of PGA</v>
      </c>
      <c r="K821" s="42"/>
    </row>
    <row r="822" spans="2:19" x14ac:dyDescent="0.3">
      <c r="C822" s="42" t="s">
        <v>720</v>
      </c>
      <c r="D822" s="42" t="s">
        <v>1994</v>
      </c>
      <c r="E822" t="str">
        <f t="shared" ref="E822:F831" si="526">E821</f>
        <v>AWE</v>
      </c>
      <c r="F822" t="s">
        <v>32</v>
      </c>
      <c r="G822" s="359">
        <f t="shared" ref="G822:G833" si="527">L822</f>
        <v>1.3169194072575068</v>
      </c>
      <c r="H822" t="s">
        <v>1237</v>
      </c>
      <c r="I822" t="str">
        <f t="shared" ref="I822:I833" si="528">"\newcommand{"&amp;J822&amp;"}{"&amp;TEXT(G822,$H$13)&amp;"}%"&amp;H822</f>
        <v>\newcommand{\impgaAWEGWPA}{1,3}%accumulator</v>
      </c>
      <c r="J822" t="str">
        <f t="shared" ref="J822:J833" si="529">"\"&amp;D822&amp;E822&amp;F822&amp;C822</f>
        <v>\impgaAWEGWPA</v>
      </c>
      <c r="L822" s="14">
        <f>M822</f>
        <v>1.3169194072575068</v>
      </c>
      <c r="M822" s="14">
        <f>AWE!F644/S843</f>
        <v>1.3169194072575068</v>
      </c>
    </row>
    <row r="823" spans="2:19" x14ac:dyDescent="0.3">
      <c r="C823" t="s">
        <v>788</v>
      </c>
      <c r="D823" t="str">
        <f t="shared" ref="D823:D831" si="530">D822</f>
        <v>impga</v>
      </c>
      <c r="E823" t="str">
        <f t="shared" si="526"/>
        <v>AWE</v>
      </c>
      <c r="F823" t="str">
        <f t="shared" si="526"/>
        <v>GWP</v>
      </c>
      <c r="G823" s="359">
        <f t="shared" si="527"/>
        <v>0</v>
      </c>
      <c r="I823" t="str">
        <f t="shared" si="528"/>
        <v>\newcommand{\impgaAWEGWPB}{0,0}%</v>
      </c>
      <c r="J823" t="str">
        <f t="shared" si="529"/>
        <v>\impgaAWEGWPB</v>
      </c>
    </row>
    <row r="824" spans="2:19" x14ac:dyDescent="0.3">
      <c r="C824" t="s">
        <v>790</v>
      </c>
      <c r="D824" t="str">
        <f t="shared" si="530"/>
        <v>impga</v>
      </c>
      <c r="E824" t="str">
        <f t="shared" si="526"/>
        <v>AWE</v>
      </c>
      <c r="F824" t="str">
        <f t="shared" si="526"/>
        <v>GWP</v>
      </c>
      <c r="G824" s="359">
        <f t="shared" si="527"/>
        <v>0</v>
      </c>
      <c r="I824" t="str">
        <f t="shared" si="528"/>
        <v>\newcommand{\impgaAWEGWPC}{0,0}%</v>
      </c>
      <c r="J824" t="str">
        <f t="shared" si="529"/>
        <v>\impgaAWEGWPC</v>
      </c>
    </row>
    <row r="825" spans="2:19" x14ac:dyDescent="0.3">
      <c r="C825" t="s">
        <v>1786</v>
      </c>
      <c r="D825" t="str">
        <f t="shared" si="530"/>
        <v>impga</v>
      </c>
      <c r="E825" t="str">
        <f t="shared" si="526"/>
        <v>AWE</v>
      </c>
      <c r="F825" t="str">
        <f t="shared" si="526"/>
        <v>GWP</v>
      </c>
      <c r="G825" s="359">
        <f t="shared" si="527"/>
        <v>0</v>
      </c>
      <c r="I825" t="str">
        <f t="shared" si="528"/>
        <v>\newcommand{\impgaAWEGWPD}{0,0}%</v>
      </c>
      <c r="J825" t="str">
        <f t="shared" si="529"/>
        <v>\impgaAWEGWPD</v>
      </c>
    </row>
    <row r="826" spans="2:19" x14ac:dyDescent="0.3">
      <c r="C826" t="s">
        <v>1784</v>
      </c>
      <c r="D826" t="str">
        <f t="shared" si="530"/>
        <v>impga</v>
      </c>
      <c r="E826" t="str">
        <f t="shared" si="526"/>
        <v>AWE</v>
      </c>
      <c r="F826" t="str">
        <f t="shared" si="526"/>
        <v>GWP</v>
      </c>
      <c r="G826" s="359">
        <f t="shared" si="527"/>
        <v>0</v>
      </c>
      <c r="I826" t="str">
        <f t="shared" si="528"/>
        <v>\newcommand{\impgaAWEGWPE}{0,0}%</v>
      </c>
      <c r="J826" t="str">
        <f t="shared" si="529"/>
        <v>\impgaAWEGWPE</v>
      </c>
    </row>
    <row r="827" spans="2:19" x14ac:dyDescent="0.3">
      <c r="C827" t="s">
        <v>1783</v>
      </c>
      <c r="D827" t="str">
        <f t="shared" si="530"/>
        <v>impga</v>
      </c>
      <c r="E827" t="str">
        <f t="shared" si="526"/>
        <v>AWE</v>
      </c>
      <c r="F827" t="str">
        <f t="shared" si="526"/>
        <v>GWP</v>
      </c>
      <c r="G827" s="359">
        <f t="shared" si="527"/>
        <v>1.0172285402755599</v>
      </c>
      <c r="H827" t="s">
        <v>2003</v>
      </c>
      <c r="I827" t="str">
        <f t="shared" si="528"/>
        <v>\newcommand{\impgaAWEGWPF}{1,0}%Deck of LLA</v>
      </c>
      <c r="J827" t="str">
        <f t="shared" si="529"/>
        <v>\impgaAWEGWPF</v>
      </c>
      <c r="L827">
        <f>Q918</f>
        <v>1.0172285402755599</v>
      </c>
    </row>
    <row r="828" spans="2:19" x14ac:dyDescent="0.3">
      <c r="C828" t="s">
        <v>1782</v>
      </c>
      <c r="D828" t="str">
        <f t="shared" si="530"/>
        <v>impga</v>
      </c>
      <c r="E828" t="str">
        <f t="shared" si="526"/>
        <v>AWE</v>
      </c>
      <c r="F828" t="str">
        <f t="shared" si="526"/>
        <v>GWP</v>
      </c>
      <c r="G828" s="359">
        <f t="shared" si="527"/>
        <v>0</v>
      </c>
      <c r="I828" t="str">
        <f t="shared" si="528"/>
        <v>\newcommand{\impgaAWEGWPG}{0,0}%</v>
      </c>
      <c r="J828" t="str">
        <f t="shared" si="529"/>
        <v>\impgaAWEGWPG</v>
      </c>
    </row>
    <row r="829" spans="2:19" x14ac:dyDescent="0.3">
      <c r="C829" t="s">
        <v>1798</v>
      </c>
      <c r="D829" t="str">
        <f t="shared" si="530"/>
        <v>impga</v>
      </c>
      <c r="E829" t="str">
        <f t="shared" si="526"/>
        <v>AWE</v>
      </c>
      <c r="F829" t="str">
        <f t="shared" si="526"/>
        <v>GWP</v>
      </c>
      <c r="G829" s="359">
        <f t="shared" si="527"/>
        <v>0</v>
      </c>
      <c r="I829" t="str">
        <f t="shared" si="528"/>
        <v>\newcommand{\impgaAWEGWPH}{0,0}%</v>
      </c>
      <c r="J829" t="str">
        <f t="shared" si="529"/>
        <v>\impgaAWEGWPH</v>
      </c>
    </row>
    <row r="830" spans="2:19" x14ac:dyDescent="0.3">
      <c r="C830" t="s">
        <v>1796</v>
      </c>
      <c r="D830" t="str">
        <f t="shared" si="530"/>
        <v>impga</v>
      </c>
      <c r="E830" t="str">
        <f t="shared" si="526"/>
        <v>AWE</v>
      </c>
      <c r="F830" t="str">
        <f t="shared" si="526"/>
        <v>GWP</v>
      </c>
      <c r="G830" s="359">
        <f t="shared" si="527"/>
        <v>0</v>
      </c>
      <c r="I830" t="str">
        <f t="shared" si="528"/>
        <v>\newcommand{\impgaAWEGWPI}{0,0}%</v>
      </c>
      <c r="J830" t="str">
        <f t="shared" si="529"/>
        <v>\impgaAWEGWPI</v>
      </c>
    </row>
    <row r="831" spans="2:19" x14ac:dyDescent="0.3">
      <c r="C831" t="s">
        <v>1794</v>
      </c>
      <c r="D831" t="str">
        <f t="shared" si="530"/>
        <v>impga</v>
      </c>
      <c r="E831" t="str">
        <f t="shared" si="526"/>
        <v>AWE</v>
      </c>
      <c r="F831" t="str">
        <f t="shared" si="526"/>
        <v>GWP</v>
      </c>
      <c r="G831" s="359">
        <f t="shared" si="527"/>
        <v>0</v>
      </c>
      <c r="I831" t="str">
        <f t="shared" si="528"/>
        <v>\newcommand{\impgaAWEGWPJ}{0,0}%</v>
      </c>
      <c r="J831" t="str">
        <f t="shared" si="529"/>
        <v>\impgaAWEGWPJ</v>
      </c>
    </row>
    <row r="832" spans="2:19" x14ac:dyDescent="0.3">
      <c r="C832" t="s">
        <v>1826</v>
      </c>
      <c r="D832" t="str">
        <f t="shared" ref="D832:F832" si="531">D831</f>
        <v>impga</v>
      </c>
      <c r="E832" t="str">
        <f t="shared" si="531"/>
        <v>AWE</v>
      </c>
      <c r="F832" t="str">
        <f t="shared" si="531"/>
        <v>GWP</v>
      </c>
      <c r="G832" s="359">
        <f t="shared" si="527"/>
        <v>0</v>
      </c>
      <c r="I832" t="str">
        <f t="shared" si="528"/>
        <v>\newcommand{\impgaAWEGWPK}{0,0}%</v>
      </c>
      <c r="J832" t="str">
        <f t="shared" si="529"/>
        <v>\impgaAWEGWPK</v>
      </c>
    </row>
    <row r="833" spans="3:19" x14ac:dyDescent="0.3">
      <c r="C833" t="s">
        <v>1882</v>
      </c>
      <c r="D833" t="str">
        <f t="shared" ref="D833:F833" si="532">D832</f>
        <v>impga</v>
      </c>
      <c r="E833" t="str">
        <f t="shared" si="532"/>
        <v>AWE</v>
      </c>
      <c r="F833" t="str">
        <f t="shared" si="532"/>
        <v>GWP</v>
      </c>
      <c r="G833" s="359">
        <f t="shared" si="527"/>
        <v>0</v>
      </c>
      <c r="I833" t="str">
        <f t="shared" si="528"/>
        <v>\newcommand{\impgaAWEGWPL}{0,0}%</v>
      </c>
      <c r="J833" t="str">
        <f t="shared" si="529"/>
        <v>\impgaAWEGWPL</v>
      </c>
    </row>
    <row r="836" spans="3:19" x14ac:dyDescent="0.3">
      <c r="C836" s="42" t="s">
        <v>720</v>
      </c>
      <c r="D836" s="42" t="str">
        <f>D822</f>
        <v>impga</v>
      </c>
      <c r="E836" t="str">
        <f>E828</f>
        <v>AWE</v>
      </c>
      <c r="F836" t="s">
        <v>162</v>
      </c>
      <c r="G836" s="359">
        <f t="shared" ref="G836:G847" si="533">L836</f>
        <v>20.156081479751855</v>
      </c>
      <c r="H836" t="str">
        <f>H822</f>
        <v>accumulator</v>
      </c>
      <c r="I836" t="str">
        <f t="shared" ref="I836:I847" si="534">"\newcommand{"&amp;J836&amp;"}{"&amp;TEXT(G836,$H$13)&amp;"}%"&amp;H836</f>
        <v>\newcommand{\impgaAWECEDA}{20,2}%accumulator</v>
      </c>
      <c r="J836" t="str">
        <f>"\"&amp;D836&amp;E836&amp;F836&amp;C836</f>
        <v>\impgaAWECEDA</v>
      </c>
      <c r="L836" s="14">
        <f>M836</f>
        <v>20.156081479751855</v>
      </c>
      <c r="M836" s="14">
        <f>AWE!H644/S843</f>
        <v>20.156081479751855</v>
      </c>
    </row>
    <row r="837" spans="3:19" x14ac:dyDescent="0.3">
      <c r="C837" t="s">
        <v>788</v>
      </c>
      <c r="D837" t="str">
        <f t="shared" ref="D837:F837" si="535">D836</f>
        <v>impga</v>
      </c>
      <c r="E837" t="str">
        <f t="shared" si="535"/>
        <v>AWE</v>
      </c>
      <c r="F837" t="str">
        <f t="shared" si="535"/>
        <v>CED</v>
      </c>
      <c r="G837" s="359">
        <f t="shared" si="533"/>
        <v>0</v>
      </c>
      <c r="H837">
        <f t="shared" ref="H837:H847" si="536">H823</f>
        <v>0</v>
      </c>
      <c r="I837" t="str">
        <f t="shared" si="534"/>
        <v>\newcommand{\impgaAWECEDB}{0,0}%0</v>
      </c>
      <c r="J837" t="str">
        <f t="shared" ref="J837:J847" si="537">"\"&amp;D837&amp;E837&amp;F837&amp;C837</f>
        <v>\impgaAWECEDB</v>
      </c>
    </row>
    <row r="838" spans="3:19" x14ac:dyDescent="0.3">
      <c r="C838" t="s">
        <v>790</v>
      </c>
      <c r="D838" t="str">
        <f t="shared" ref="D838:F838" si="538">D837</f>
        <v>impga</v>
      </c>
      <c r="E838" t="str">
        <f t="shared" si="538"/>
        <v>AWE</v>
      </c>
      <c r="F838" t="str">
        <f t="shared" si="538"/>
        <v>CED</v>
      </c>
      <c r="G838" s="359">
        <f t="shared" si="533"/>
        <v>0</v>
      </c>
      <c r="H838">
        <f t="shared" si="536"/>
        <v>0</v>
      </c>
      <c r="I838" t="str">
        <f t="shared" si="534"/>
        <v>\newcommand{\impgaAWECEDC}{0,0}%0</v>
      </c>
      <c r="J838" t="str">
        <f t="shared" si="537"/>
        <v>\impgaAWECEDC</v>
      </c>
    </row>
    <row r="839" spans="3:19" x14ac:dyDescent="0.3">
      <c r="C839" t="s">
        <v>1786</v>
      </c>
      <c r="D839" t="str">
        <f t="shared" ref="D839:F839" si="539">D838</f>
        <v>impga</v>
      </c>
      <c r="E839" t="str">
        <f t="shared" si="539"/>
        <v>AWE</v>
      </c>
      <c r="F839" t="str">
        <f t="shared" si="539"/>
        <v>CED</v>
      </c>
      <c r="G839" s="359">
        <f t="shared" si="533"/>
        <v>0</v>
      </c>
      <c r="H839">
        <f t="shared" si="536"/>
        <v>0</v>
      </c>
      <c r="I839" t="str">
        <f t="shared" si="534"/>
        <v>\newcommand{\impgaAWECEDD}{0,0}%0</v>
      </c>
      <c r="J839" t="str">
        <f t="shared" si="537"/>
        <v>\impgaAWECEDD</v>
      </c>
    </row>
    <row r="840" spans="3:19" x14ac:dyDescent="0.3">
      <c r="C840" t="s">
        <v>1784</v>
      </c>
      <c r="D840" t="str">
        <f t="shared" ref="D840:F840" si="540">D839</f>
        <v>impga</v>
      </c>
      <c r="E840" t="str">
        <f t="shared" si="540"/>
        <v>AWE</v>
      </c>
      <c r="F840" t="str">
        <f t="shared" si="540"/>
        <v>CED</v>
      </c>
      <c r="G840" s="359">
        <f t="shared" si="533"/>
        <v>0</v>
      </c>
      <c r="H840">
        <f t="shared" si="536"/>
        <v>0</v>
      </c>
      <c r="I840" t="str">
        <f t="shared" si="534"/>
        <v>\newcommand{\impgaAWECEDE}{0,0}%0</v>
      </c>
      <c r="J840" t="str">
        <f t="shared" si="537"/>
        <v>\impgaAWECEDE</v>
      </c>
    </row>
    <row r="841" spans="3:19" x14ac:dyDescent="0.3">
      <c r="C841" t="s">
        <v>1783</v>
      </c>
      <c r="D841" t="str">
        <f t="shared" ref="D841:F841" si="541">D840</f>
        <v>impga</v>
      </c>
      <c r="E841" t="str">
        <f t="shared" si="541"/>
        <v>AWE</v>
      </c>
      <c r="F841" t="str">
        <f t="shared" si="541"/>
        <v>CED</v>
      </c>
      <c r="G841" s="359">
        <f t="shared" si="533"/>
        <v>0</v>
      </c>
      <c r="H841" t="str">
        <f t="shared" si="536"/>
        <v>Deck of LLA</v>
      </c>
      <c r="I841" t="str">
        <f t="shared" si="534"/>
        <v>\newcommand{\impgaAWECEDF}{0,0}%Deck of LLA</v>
      </c>
      <c r="J841" t="str">
        <f t="shared" si="537"/>
        <v>\impgaAWECEDF</v>
      </c>
      <c r="L841">
        <f>T918</f>
        <v>0</v>
      </c>
    </row>
    <row r="842" spans="3:19" x14ac:dyDescent="0.3">
      <c r="C842" t="s">
        <v>1782</v>
      </c>
      <c r="D842" t="str">
        <f t="shared" ref="D842:F842" si="542">D841</f>
        <v>impga</v>
      </c>
      <c r="E842" t="str">
        <f t="shared" si="542"/>
        <v>AWE</v>
      </c>
      <c r="F842" t="str">
        <f t="shared" si="542"/>
        <v>CED</v>
      </c>
      <c r="G842" s="359">
        <f t="shared" si="533"/>
        <v>0</v>
      </c>
      <c r="H842">
        <f t="shared" si="536"/>
        <v>0</v>
      </c>
      <c r="I842" t="str">
        <f t="shared" si="534"/>
        <v>\newcommand{\impgaAWECEDG}{0,0}%0</v>
      </c>
      <c r="J842" t="str">
        <f t="shared" si="537"/>
        <v>\impgaAWECEDG</v>
      </c>
    </row>
    <row r="843" spans="3:19" x14ac:dyDescent="0.3">
      <c r="C843" t="s">
        <v>1798</v>
      </c>
      <c r="D843" t="str">
        <f t="shared" ref="D843:F843" si="543">D842</f>
        <v>impga</v>
      </c>
      <c r="E843" t="str">
        <f t="shared" si="543"/>
        <v>AWE</v>
      </c>
      <c r="F843" t="str">
        <f t="shared" si="543"/>
        <v>CED</v>
      </c>
      <c r="G843" s="359">
        <f t="shared" si="533"/>
        <v>0</v>
      </c>
      <c r="H843">
        <f t="shared" si="536"/>
        <v>0</v>
      </c>
      <c r="I843" t="str">
        <f t="shared" si="534"/>
        <v>\newcommand{\impgaAWECEDH}{0,0}%0</v>
      </c>
      <c r="J843" t="str">
        <f t="shared" si="537"/>
        <v>\impgaAWECEDH</v>
      </c>
      <c r="Q843" t="s">
        <v>101</v>
      </c>
      <c r="S843">
        <f>E5</f>
        <v>462528</v>
      </c>
    </row>
    <row r="844" spans="3:19" x14ac:dyDescent="0.3">
      <c r="C844" t="s">
        <v>1796</v>
      </c>
      <c r="D844" t="str">
        <f t="shared" ref="D844:F844" si="544">D843</f>
        <v>impga</v>
      </c>
      <c r="E844" t="str">
        <f t="shared" si="544"/>
        <v>AWE</v>
      </c>
      <c r="F844" t="str">
        <f t="shared" si="544"/>
        <v>CED</v>
      </c>
      <c r="G844" s="359">
        <f t="shared" si="533"/>
        <v>0</v>
      </c>
      <c r="H844">
        <f t="shared" si="536"/>
        <v>0</v>
      </c>
      <c r="I844" t="str">
        <f t="shared" si="534"/>
        <v>\newcommand{\impgaAWECEDI}{0,0}%0</v>
      </c>
      <c r="J844" t="str">
        <f t="shared" si="537"/>
        <v>\impgaAWECEDI</v>
      </c>
    </row>
    <row r="845" spans="3:19" x14ac:dyDescent="0.3">
      <c r="C845" t="s">
        <v>1794</v>
      </c>
      <c r="D845" t="str">
        <f t="shared" ref="D845:F845" si="545">D844</f>
        <v>impga</v>
      </c>
      <c r="E845" t="str">
        <f t="shared" si="545"/>
        <v>AWE</v>
      </c>
      <c r="F845" t="str">
        <f t="shared" si="545"/>
        <v>CED</v>
      </c>
      <c r="G845" s="359">
        <f t="shared" si="533"/>
        <v>0</v>
      </c>
      <c r="H845">
        <f t="shared" si="536"/>
        <v>0</v>
      </c>
      <c r="I845" t="str">
        <f t="shared" si="534"/>
        <v>\newcommand{\impgaAWECEDJ}{0,0}%0</v>
      </c>
      <c r="J845" t="str">
        <f t="shared" si="537"/>
        <v>\impgaAWECEDJ</v>
      </c>
    </row>
    <row r="846" spans="3:19" x14ac:dyDescent="0.3">
      <c r="C846" t="s">
        <v>1826</v>
      </c>
      <c r="D846" t="str">
        <f t="shared" ref="D846:F846" si="546">D845</f>
        <v>impga</v>
      </c>
      <c r="E846" t="str">
        <f t="shared" si="546"/>
        <v>AWE</v>
      </c>
      <c r="F846" t="str">
        <f t="shared" si="546"/>
        <v>CED</v>
      </c>
      <c r="G846" s="359">
        <f t="shared" si="533"/>
        <v>0</v>
      </c>
      <c r="H846">
        <f t="shared" si="536"/>
        <v>0</v>
      </c>
      <c r="I846" t="str">
        <f t="shared" si="534"/>
        <v>\newcommand{\impgaAWECEDK}{0,0}%0</v>
      </c>
      <c r="J846" t="str">
        <f t="shared" si="537"/>
        <v>\impgaAWECEDK</v>
      </c>
    </row>
    <row r="847" spans="3:19" x14ac:dyDescent="0.3">
      <c r="C847" t="s">
        <v>1882</v>
      </c>
      <c r="D847" t="str">
        <f t="shared" ref="D847:F847" si="547">D846</f>
        <v>impga</v>
      </c>
      <c r="E847" t="str">
        <f t="shared" si="547"/>
        <v>AWE</v>
      </c>
      <c r="F847" t="str">
        <f t="shared" si="547"/>
        <v>CED</v>
      </c>
      <c r="G847" s="359">
        <f t="shared" si="533"/>
        <v>0</v>
      </c>
      <c r="H847">
        <f t="shared" si="536"/>
        <v>0</v>
      </c>
      <c r="I847" t="str">
        <f t="shared" si="534"/>
        <v>\newcommand{\impgaAWECEDL}{0,0}%0</v>
      </c>
      <c r="J847" t="str">
        <f t="shared" si="537"/>
        <v>\impgaAWECEDL</v>
      </c>
    </row>
    <row r="848" spans="3:19" x14ac:dyDescent="0.3">
      <c r="Q848" t="s">
        <v>1996</v>
      </c>
      <c r="R848" s="14">
        <f>G106</f>
        <v>127.46959888687016</v>
      </c>
      <c r="S848" t="s">
        <v>162</v>
      </c>
    </row>
    <row r="849" spans="2:25" x14ac:dyDescent="0.3">
      <c r="B849" s="42" t="s">
        <v>1875</v>
      </c>
      <c r="E849" s="42" t="s">
        <v>1172</v>
      </c>
      <c r="F849" s="42" t="str">
        <f>F821</f>
        <v>Impacts of PGA</v>
      </c>
      <c r="G849" s="362" t="s">
        <v>1791</v>
      </c>
      <c r="H849" s="42"/>
      <c r="I849" s="42" t="str">
        <f>"%" &amp;F849 &amp;G849 &amp;B849 &amp;G849  &amp;E849</f>
        <v>%Impacts of PGA.% of all impacts.AWE</v>
      </c>
      <c r="J849" s="42" t="str">
        <f>"\"&amp;B849&amp;E849&amp;F849</f>
        <v>\% of all impactsAWEImpacts of PGA</v>
      </c>
      <c r="R849" s="14">
        <f>G112</f>
        <v>7.7982924830457243</v>
      </c>
      <c r="S849" t="s">
        <v>32</v>
      </c>
    </row>
    <row r="850" spans="2:25" x14ac:dyDescent="0.3">
      <c r="C850" s="42" t="s">
        <v>720</v>
      </c>
      <c r="D850" s="42" t="s">
        <v>1995</v>
      </c>
      <c r="E850" t="s">
        <v>1172</v>
      </c>
      <c r="F850" t="s">
        <v>32</v>
      </c>
      <c r="G850" s="359">
        <f t="shared" ref="G850:G861" si="548">L850</f>
        <v>16.887278979605117</v>
      </c>
      <c r="H850" t="str">
        <f>H822</f>
        <v>accumulator</v>
      </c>
      <c r="I850" t="str">
        <f t="shared" ref="I850:I861" si="549">"\newcommand{"&amp;J850&amp;"}{"&amp;TEXT(G850,$H$13)&amp;"}%"&amp;H850</f>
        <v>\newcommand{\ImpPgaPofallAWEGWPA}{16,9}%accumulator</v>
      </c>
      <c r="J850" t="str">
        <f t="shared" ref="J850:J861" si="550">"\"&amp;D850&amp;E850&amp;F850&amp;C850</f>
        <v>\ImpPgaPofallAWEGWPA</v>
      </c>
      <c r="L850">
        <f>M850</f>
        <v>16.887278979605117</v>
      </c>
      <c r="M850">
        <f>100*M822/$R$849</f>
        <v>16.887278979605117</v>
      </c>
      <c r="Y850">
        <v>8.5</v>
      </c>
    </row>
    <row r="851" spans="2:25" x14ac:dyDescent="0.3">
      <c r="C851" t="s">
        <v>788</v>
      </c>
      <c r="D851" t="str">
        <f t="shared" ref="D851:F861" si="551">D850</f>
        <v>ImpPgaPofall</v>
      </c>
      <c r="E851" t="str">
        <f t="shared" si="551"/>
        <v>AWE</v>
      </c>
      <c r="F851" t="str">
        <f t="shared" si="551"/>
        <v>GWP</v>
      </c>
      <c r="G851" s="359">
        <f t="shared" si="548"/>
        <v>0</v>
      </c>
      <c r="H851">
        <f t="shared" ref="H851:H861" si="552">H823</f>
        <v>0</v>
      </c>
      <c r="I851" t="str">
        <f t="shared" si="549"/>
        <v>\newcommand{\ImpPgaPofallAWEGWPB}{0,0}%0</v>
      </c>
      <c r="J851" t="str">
        <f t="shared" si="550"/>
        <v>\ImpPgaPofallAWEGWPB</v>
      </c>
      <c r="Y851">
        <v>5</v>
      </c>
    </row>
    <row r="852" spans="2:25" x14ac:dyDescent="0.3">
      <c r="C852" t="s">
        <v>790</v>
      </c>
      <c r="D852" t="str">
        <f t="shared" si="551"/>
        <v>ImpPgaPofall</v>
      </c>
      <c r="E852" t="str">
        <f t="shared" si="551"/>
        <v>AWE</v>
      </c>
      <c r="F852" t="str">
        <f t="shared" si="551"/>
        <v>GWP</v>
      </c>
      <c r="G852" s="359">
        <f t="shared" si="548"/>
        <v>0</v>
      </c>
      <c r="H852">
        <f t="shared" si="552"/>
        <v>0</v>
      </c>
      <c r="I852" t="str">
        <f t="shared" si="549"/>
        <v>\newcommand{\ImpPgaPofallAWEGWPC}{0,0}%0</v>
      </c>
      <c r="J852" t="str">
        <f t="shared" si="550"/>
        <v>\ImpPgaPofallAWEGWPC</v>
      </c>
      <c r="Q852" t="s">
        <v>1998</v>
      </c>
      <c r="R852" s="14">
        <f>G194</f>
        <v>35.147250945705572</v>
      </c>
      <c r="S852" t="s">
        <v>162</v>
      </c>
      <c r="Y852">
        <f>Y851/Y850</f>
        <v>0.58823529411764708</v>
      </c>
    </row>
    <row r="853" spans="2:25" x14ac:dyDescent="0.3">
      <c r="C853" t="s">
        <v>1786</v>
      </c>
      <c r="D853" t="str">
        <f t="shared" si="551"/>
        <v>ImpPgaPofall</v>
      </c>
      <c r="E853" t="str">
        <f t="shared" si="551"/>
        <v>AWE</v>
      </c>
      <c r="F853" t="str">
        <f t="shared" si="551"/>
        <v>GWP</v>
      </c>
      <c r="G853" s="359">
        <f t="shared" si="548"/>
        <v>0</v>
      </c>
      <c r="H853">
        <f t="shared" si="552"/>
        <v>0</v>
      </c>
      <c r="I853" t="str">
        <f t="shared" si="549"/>
        <v>\newcommand{\ImpPgaPofallAWEGWPD}{0,0}%0</v>
      </c>
      <c r="J853" t="str">
        <f t="shared" si="550"/>
        <v>\ImpPgaPofallAWEGWPD</v>
      </c>
      <c r="R853" s="14">
        <f>G147</f>
        <v>2.6537687263994019</v>
      </c>
      <c r="S853" t="s">
        <v>32</v>
      </c>
    </row>
    <row r="854" spans="2:25" x14ac:dyDescent="0.3">
      <c r="C854" t="s">
        <v>1784</v>
      </c>
      <c r="D854" t="str">
        <f t="shared" si="551"/>
        <v>ImpPgaPofall</v>
      </c>
      <c r="E854" t="str">
        <f t="shared" si="551"/>
        <v>AWE</v>
      </c>
      <c r="F854" t="str">
        <f t="shared" si="551"/>
        <v>GWP</v>
      </c>
      <c r="G854" s="359">
        <f t="shared" si="548"/>
        <v>0</v>
      </c>
      <c r="H854">
        <f t="shared" si="552"/>
        <v>0</v>
      </c>
      <c r="I854" t="str">
        <f t="shared" si="549"/>
        <v>\newcommand{\ImpPgaPofallAWEGWPE}{0,0}%0</v>
      </c>
      <c r="J854" t="str">
        <f t="shared" si="550"/>
        <v>\ImpPgaPofallAWEGWPE</v>
      </c>
    </row>
    <row r="855" spans="2:25" x14ac:dyDescent="0.3">
      <c r="C855" t="s">
        <v>1783</v>
      </c>
      <c r="D855" t="str">
        <f t="shared" si="551"/>
        <v>ImpPgaPofall</v>
      </c>
      <c r="E855" t="str">
        <f t="shared" si="551"/>
        <v>AWE</v>
      </c>
      <c r="F855" t="str">
        <f t="shared" si="551"/>
        <v>GWP</v>
      </c>
      <c r="G855" s="359">
        <f t="shared" si="548"/>
        <v>13.044247089822772</v>
      </c>
      <c r="H855" t="str">
        <f t="shared" si="552"/>
        <v>Deck of LLA</v>
      </c>
      <c r="I855" t="str">
        <f t="shared" si="549"/>
        <v>\newcommand{\ImpPgaPofallAWEGWPF}{13,0}%Deck of LLA</v>
      </c>
      <c r="J855" t="str">
        <f t="shared" si="550"/>
        <v>\ImpPgaPofallAWEGWPF</v>
      </c>
      <c r="L855">
        <f>100*L827/R849</f>
        <v>13.044247089822772</v>
      </c>
    </row>
    <row r="856" spans="2:25" x14ac:dyDescent="0.3">
      <c r="C856" t="s">
        <v>1782</v>
      </c>
      <c r="D856" t="str">
        <f t="shared" si="551"/>
        <v>ImpPgaPofall</v>
      </c>
      <c r="E856" t="str">
        <f t="shared" si="551"/>
        <v>AWE</v>
      </c>
      <c r="F856" t="str">
        <f t="shared" si="551"/>
        <v>GWP</v>
      </c>
      <c r="G856" s="359">
        <f t="shared" si="548"/>
        <v>0</v>
      </c>
      <c r="H856">
        <f t="shared" si="552"/>
        <v>0</v>
      </c>
      <c r="I856" t="str">
        <f t="shared" si="549"/>
        <v>\newcommand{\ImpPgaPofallAWEGWPG}{0,0}%0</v>
      </c>
      <c r="J856" t="str">
        <f t="shared" si="550"/>
        <v>\ImpPgaPofallAWEGWPG</v>
      </c>
    </row>
    <row r="857" spans="2:25" x14ac:dyDescent="0.3">
      <c r="C857" t="s">
        <v>1798</v>
      </c>
      <c r="D857" t="str">
        <f t="shared" si="551"/>
        <v>ImpPgaPofall</v>
      </c>
      <c r="E857" t="str">
        <f t="shared" si="551"/>
        <v>AWE</v>
      </c>
      <c r="F857" t="str">
        <f t="shared" si="551"/>
        <v>GWP</v>
      </c>
      <c r="G857" s="359">
        <f t="shared" si="548"/>
        <v>0</v>
      </c>
      <c r="H857">
        <f t="shared" si="552"/>
        <v>0</v>
      </c>
      <c r="I857" t="str">
        <f t="shared" si="549"/>
        <v>\newcommand{\ImpPgaPofallAWEGWPH}{0,0}%0</v>
      </c>
      <c r="J857" t="str">
        <f t="shared" si="550"/>
        <v>\ImpPgaPofallAWEGWPH</v>
      </c>
    </row>
    <row r="858" spans="2:25" x14ac:dyDescent="0.3">
      <c r="C858" t="s">
        <v>1796</v>
      </c>
      <c r="D858" t="str">
        <f t="shared" si="551"/>
        <v>ImpPgaPofall</v>
      </c>
      <c r="E858" t="str">
        <f t="shared" si="551"/>
        <v>AWE</v>
      </c>
      <c r="F858" t="str">
        <f t="shared" si="551"/>
        <v>GWP</v>
      </c>
      <c r="G858" s="359">
        <f t="shared" si="548"/>
        <v>0</v>
      </c>
      <c r="H858">
        <f t="shared" si="552"/>
        <v>0</v>
      </c>
      <c r="I858" t="str">
        <f t="shared" si="549"/>
        <v>\newcommand{\ImpPgaPofallAWEGWPI}{0,0}%0</v>
      </c>
      <c r="J858" t="str">
        <f t="shared" si="550"/>
        <v>\ImpPgaPofallAWEGWPI</v>
      </c>
    </row>
    <row r="859" spans="2:25" x14ac:dyDescent="0.3">
      <c r="C859" t="s">
        <v>1794</v>
      </c>
      <c r="D859" t="str">
        <f t="shared" si="551"/>
        <v>ImpPgaPofall</v>
      </c>
      <c r="E859" t="str">
        <f t="shared" si="551"/>
        <v>AWE</v>
      </c>
      <c r="F859" t="str">
        <f t="shared" si="551"/>
        <v>GWP</v>
      </c>
      <c r="G859" s="359">
        <f t="shared" si="548"/>
        <v>0</v>
      </c>
      <c r="H859">
        <f t="shared" si="552"/>
        <v>0</v>
      </c>
      <c r="I859" t="str">
        <f t="shared" si="549"/>
        <v>\newcommand{\ImpPgaPofallAWEGWPJ}{0,0}%0</v>
      </c>
      <c r="J859" t="str">
        <f t="shared" si="550"/>
        <v>\ImpPgaPofallAWEGWPJ</v>
      </c>
    </row>
    <row r="860" spans="2:25" x14ac:dyDescent="0.3">
      <c r="C860" t="s">
        <v>1826</v>
      </c>
      <c r="D860" t="str">
        <f t="shared" si="551"/>
        <v>ImpPgaPofall</v>
      </c>
      <c r="E860" t="str">
        <f t="shared" si="551"/>
        <v>AWE</v>
      </c>
      <c r="F860" t="str">
        <f t="shared" si="551"/>
        <v>GWP</v>
      </c>
      <c r="G860" s="359">
        <f t="shared" si="548"/>
        <v>0</v>
      </c>
      <c r="H860">
        <f t="shared" si="552"/>
        <v>0</v>
      </c>
      <c r="I860" t="str">
        <f t="shared" si="549"/>
        <v>\newcommand{\ImpPgaPofallAWEGWPK}{0,0}%0</v>
      </c>
      <c r="J860" t="str">
        <f t="shared" si="550"/>
        <v>\ImpPgaPofallAWEGWPK</v>
      </c>
    </row>
    <row r="861" spans="2:25" x14ac:dyDescent="0.3">
      <c r="C861" t="s">
        <v>1882</v>
      </c>
      <c r="D861" t="str">
        <f t="shared" si="551"/>
        <v>ImpPgaPofall</v>
      </c>
      <c r="E861" t="str">
        <f t="shared" si="551"/>
        <v>AWE</v>
      </c>
      <c r="F861" t="str">
        <f t="shared" si="551"/>
        <v>GWP</v>
      </c>
      <c r="G861" s="359">
        <f t="shared" si="548"/>
        <v>0</v>
      </c>
      <c r="H861">
        <f t="shared" si="552"/>
        <v>0</v>
      </c>
      <c r="I861" t="str">
        <f t="shared" si="549"/>
        <v>\newcommand{\ImpPgaPofallAWEGWPL}{0,0}%0</v>
      </c>
      <c r="J861" t="str">
        <f t="shared" si="550"/>
        <v>\ImpPgaPofallAWEGWPL</v>
      </c>
    </row>
    <row r="863" spans="2:25" x14ac:dyDescent="0.3">
      <c r="C863" s="42" t="s">
        <v>720</v>
      </c>
      <c r="D863" s="42" t="str">
        <f>D850</f>
        <v>ImpPgaPofall</v>
      </c>
      <c r="E863" t="s">
        <v>1172</v>
      </c>
      <c r="F863" t="s">
        <v>162</v>
      </c>
      <c r="G863" s="359">
        <f t="shared" ref="G863:G874" si="553">L863</f>
        <v>15.812461681659849</v>
      </c>
      <c r="H863" t="str">
        <f>H822</f>
        <v>accumulator</v>
      </c>
      <c r="I863" t="str">
        <f t="shared" ref="I863:I874" si="554">"\newcommand{"&amp;J863&amp;"}{"&amp;TEXT(G863,$H$13)&amp;"}%"&amp;H863</f>
        <v>\newcommand{\ImpPgaPofallAWECEDA}{15,8}%accumulator</v>
      </c>
      <c r="J863" t="str">
        <f t="shared" ref="J863:J874" si="555">"\"&amp;D863&amp;E863&amp;F863&amp;C863</f>
        <v>\ImpPgaPofallAWECEDA</v>
      </c>
      <c r="L863">
        <f>M863</f>
        <v>15.812461681659849</v>
      </c>
      <c r="M863">
        <f>100*M836/$R$848</f>
        <v>15.812461681659849</v>
      </c>
    </row>
    <row r="864" spans="2:25" x14ac:dyDescent="0.3">
      <c r="C864" t="s">
        <v>788</v>
      </c>
      <c r="D864" t="str">
        <f t="shared" ref="D864:F874" si="556">D863</f>
        <v>ImpPgaPofall</v>
      </c>
      <c r="E864" t="str">
        <f t="shared" si="556"/>
        <v>AWE</v>
      </c>
      <c r="F864" t="str">
        <f t="shared" si="556"/>
        <v>CED</v>
      </c>
      <c r="G864" s="359">
        <f t="shared" si="553"/>
        <v>0</v>
      </c>
      <c r="H864">
        <f t="shared" ref="H864:H873" si="557">H823</f>
        <v>0</v>
      </c>
      <c r="I864" t="str">
        <f t="shared" si="554"/>
        <v>\newcommand{\ImpPgaPofallAWECEDB}{0,0}%0</v>
      </c>
      <c r="J864" t="str">
        <f t="shared" si="555"/>
        <v>\ImpPgaPofallAWECEDB</v>
      </c>
    </row>
    <row r="865" spans="2:13" x14ac:dyDescent="0.3">
      <c r="C865" t="s">
        <v>790</v>
      </c>
      <c r="D865" t="str">
        <f t="shared" si="556"/>
        <v>ImpPgaPofall</v>
      </c>
      <c r="E865" t="str">
        <f t="shared" si="556"/>
        <v>AWE</v>
      </c>
      <c r="F865" t="str">
        <f t="shared" si="556"/>
        <v>CED</v>
      </c>
      <c r="G865" s="359">
        <f t="shared" si="553"/>
        <v>0</v>
      </c>
      <c r="H865">
        <f t="shared" si="557"/>
        <v>0</v>
      </c>
      <c r="I865" t="str">
        <f t="shared" si="554"/>
        <v>\newcommand{\ImpPgaPofallAWECEDC}{0,0}%0</v>
      </c>
      <c r="J865" t="str">
        <f t="shared" si="555"/>
        <v>\ImpPgaPofallAWECEDC</v>
      </c>
    </row>
    <row r="866" spans="2:13" x14ac:dyDescent="0.3">
      <c r="C866" t="s">
        <v>1786</v>
      </c>
      <c r="D866" t="str">
        <f t="shared" si="556"/>
        <v>ImpPgaPofall</v>
      </c>
      <c r="E866" t="str">
        <f t="shared" si="556"/>
        <v>AWE</v>
      </c>
      <c r="F866" t="str">
        <f t="shared" si="556"/>
        <v>CED</v>
      </c>
      <c r="G866" s="359">
        <f t="shared" si="553"/>
        <v>0</v>
      </c>
      <c r="H866">
        <f t="shared" si="557"/>
        <v>0</v>
      </c>
      <c r="I866" t="str">
        <f t="shared" si="554"/>
        <v>\newcommand{\ImpPgaPofallAWECEDD}{0,0}%0</v>
      </c>
      <c r="J866" t="str">
        <f t="shared" si="555"/>
        <v>\ImpPgaPofallAWECEDD</v>
      </c>
    </row>
    <row r="867" spans="2:13" x14ac:dyDescent="0.3">
      <c r="C867" t="s">
        <v>1784</v>
      </c>
      <c r="D867" t="str">
        <f t="shared" si="556"/>
        <v>ImpPgaPofall</v>
      </c>
      <c r="E867" t="str">
        <f t="shared" si="556"/>
        <v>AWE</v>
      </c>
      <c r="F867" t="str">
        <f t="shared" si="556"/>
        <v>CED</v>
      </c>
      <c r="G867" s="359">
        <f t="shared" si="553"/>
        <v>0</v>
      </c>
      <c r="H867">
        <f t="shared" si="557"/>
        <v>0</v>
      </c>
      <c r="I867" t="str">
        <f t="shared" si="554"/>
        <v>\newcommand{\ImpPgaPofallAWECEDE}{0,0}%0</v>
      </c>
      <c r="J867" t="str">
        <f t="shared" si="555"/>
        <v>\ImpPgaPofallAWECEDE</v>
      </c>
    </row>
    <row r="868" spans="2:13" x14ac:dyDescent="0.3">
      <c r="C868" t="s">
        <v>1783</v>
      </c>
      <c r="D868" t="str">
        <f t="shared" si="556"/>
        <v>ImpPgaPofall</v>
      </c>
      <c r="E868" t="str">
        <f t="shared" si="556"/>
        <v>AWE</v>
      </c>
      <c r="F868" t="str">
        <f t="shared" si="556"/>
        <v>CED</v>
      </c>
      <c r="G868" s="359">
        <f t="shared" si="553"/>
        <v>0</v>
      </c>
      <c r="H868" t="str">
        <f t="shared" si="557"/>
        <v>Deck of LLA</v>
      </c>
      <c r="I868" t="str">
        <f t="shared" si="554"/>
        <v>\newcommand{\ImpPgaPofallAWECEDF}{0,0}%Deck of LLA</v>
      </c>
      <c r="J868" t="str">
        <f t="shared" si="555"/>
        <v>\ImpPgaPofallAWECEDF</v>
      </c>
      <c r="L868">
        <f>100*L841/R848</f>
        <v>0</v>
      </c>
    </row>
    <row r="869" spans="2:13" x14ac:dyDescent="0.3">
      <c r="C869" t="s">
        <v>1782</v>
      </c>
      <c r="D869" t="str">
        <f t="shared" si="556"/>
        <v>ImpPgaPofall</v>
      </c>
      <c r="E869" t="str">
        <f t="shared" si="556"/>
        <v>AWE</v>
      </c>
      <c r="F869" t="str">
        <f t="shared" si="556"/>
        <v>CED</v>
      </c>
      <c r="G869" s="359">
        <f t="shared" si="553"/>
        <v>0</v>
      </c>
      <c r="H869">
        <f t="shared" si="557"/>
        <v>0</v>
      </c>
      <c r="I869" t="str">
        <f t="shared" si="554"/>
        <v>\newcommand{\ImpPgaPofallAWECEDG}{0,0}%0</v>
      </c>
      <c r="J869" t="str">
        <f t="shared" si="555"/>
        <v>\ImpPgaPofallAWECEDG</v>
      </c>
    </row>
    <row r="870" spans="2:13" x14ac:dyDescent="0.3">
      <c r="C870" t="s">
        <v>1798</v>
      </c>
      <c r="D870" t="str">
        <f t="shared" si="556"/>
        <v>ImpPgaPofall</v>
      </c>
      <c r="E870" t="str">
        <f t="shared" si="556"/>
        <v>AWE</v>
      </c>
      <c r="F870" t="str">
        <f t="shared" si="556"/>
        <v>CED</v>
      </c>
      <c r="G870" s="359">
        <f t="shared" si="553"/>
        <v>0</v>
      </c>
      <c r="H870">
        <f t="shared" si="557"/>
        <v>0</v>
      </c>
      <c r="I870" t="str">
        <f t="shared" si="554"/>
        <v>\newcommand{\ImpPgaPofallAWECEDH}{0,0}%0</v>
      </c>
      <c r="J870" t="str">
        <f t="shared" si="555"/>
        <v>\ImpPgaPofallAWECEDH</v>
      </c>
    </row>
    <row r="871" spans="2:13" x14ac:dyDescent="0.3">
      <c r="C871" t="s">
        <v>1796</v>
      </c>
      <c r="D871" t="str">
        <f t="shared" si="556"/>
        <v>ImpPgaPofall</v>
      </c>
      <c r="E871" t="str">
        <f t="shared" si="556"/>
        <v>AWE</v>
      </c>
      <c r="F871" t="str">
        <f t="shared" si="556"/>
        <v>CED</v>
      </c>
      <c r="G871" s="359">
        <f t="shared" si="553"/>
        <v>0</v>
      </c>
      <c r="H871">
        <f t="shared" si="557"/>
        <v>0</v>
      </c>
      <c r="I871" t="str">
        <f t="shared" si="554"/>
        <v>\newcommand{\ImpPgaPofallAWECEDI}{0,0}%0</v>
      </c>
      <c r="J871" t="str">
        <f t="shared" si="555"/>
        <v>\ImpPgaPofallAWECEDI</v>
      </c>
    </row>
    <row r="872" spans="2:13" x14ac:dyDescent="0.3">
      <c r="C872" t="s">
        <v>1794</v>
      </c>
      <c r="D872" t="str">
        <f t="shared" si="556"/>
        <v>ImpPgaPofall</v>
      </c>
      <c r="E872" t="str">
        <f t="shared" si="556"/>
        <v>AWE</v>
      </c>
      <c r="F872" t="str">
        <f t="shared" si="556"/>
        <v>CED</v>
      </c>
      <c r="G872" s="359">
        <f t="shared" si="553"/>
        <v>0</v>
      </c>
      <c r="H872">
        <f t="shared" si="557"/>
        <v>0</v>
      </c>
      <c r="I872" t="str">
        <f t="shared" si="554"/>
        <v>\newcommand{\ImpPgaPofallAWECEDJ}{0,0}%0</v>
      </c>
      <c r="J872" t="str">
        <f t="shared" si="555"/>
        <v>\ImpPgaPofallAWECEDJ</v>
      </c>
    </row>
    <row r="873" spans="2:13" x14ac:dyDescent="0.3">
      <c r="C873" t="s">
        <v>1826</v>
      </c>
      <c r="D873" t="str">
        <f t="shared" si="556"/>
        <v>ImpPgaPofall</v>
      </c>
      <c r="E873" t="str">
        <f t="shared" si="556"/>
        <v>AWE</v>
      </c>
      <c r="F873" t="str">
        <f t="shared" si="556"/>
        <v>CED</v>
      </c>
      <c r="G873" s="359">
        <f t="shared" si="553"/>
        <v>0</v>
      </c>
      <c r="H873">
        <f t="shared" si="557"/>
        <v>0</v>
      </c>
      <c r="I873" t="str">
        <f t="shared" si="554"/>
        <v>\newcommand{\ImpPgaPofallAWECEDK}{0,0}%0</v>
      </c>
      <c r="J873" t="str">
        <f t="shared" si="555"/>
        <v>\ImpPgaPofallAWECEDK</v>
      </c>
    </row>
    <row r="874" spans="2:13" x14ac:dyDescent="0.3">
      <c r="C874" t="s">
        <v>1882</v>
      </c>
      <c r="D874" t="str">
        <f t="shared" si="556"/>
        <v>ImpPgaPofall</v>
      </c>
      <c r="E874" t="str">
        <f t="shared" si="556"/>
        <v>AWE</v>
      </c>
      <c r="F874" t="str">
        <f t="shared" si="556"/>
        <v>CED</v>
      </c>
      <c r="G874" s="359">
        <f t="shared" si="553"/>
        <v>0</v>
      </c>
      <c r="H874">
        <f>H833</f>
        <v>0</v>
      </c>
      <c r="I874" t="str">
        <f t="shared" si="554"/>
        <v>\newcommand{\ImpPgaPofallAWECEDL}{0,0}%0</v>
      </c>
      <c r="J874" t="str">
        <f t="shared" si="555"/>
        <v>\ImpPgaPofallAWECEDL</v>
      </c>
    </row>
    <row r="876" spans="2:13" x14ac:dyDescent="0.3">
      <c r="B876" s="42" t="s">
        <v>2000</v>
      </c>
      <c r="E876" s="42" t="s">
        <v>1172</v>
      </c>
      <c r="F876" s="42" t="str">
        <f>F821</f>
        <v>Impacts of PGA</v>
      </c>
      <c r="G876" s="362" t="s">
        <v>1791</v>
      </c>
      <c r="H876" s="42"/>
      <c r="I876" s="42" t="str">
        <f>"%" &amp;F876 &amp;G876 &amp;B876 &amp;G876  &amp;E876</f>
        <v>%Impacts of PGA.% of PGA manug impacts.AWE</v>
      </c>
      <c r="J876" s="42" t="str">
        <f>"\"&amp;B876&amp;E876&amp;F876</f>
        <v>\% of PGA manug impactsAWEImpacts of PGA</v>
      </c>
    </row>
    <row r="877" spans="2:13" x14ac:dyDescent="0.3">
      <c r="C877" s="42" t="s">
        <v>720</v>
      </c>
      <c r="D877" s="42" t="s">
        <v>1997</v>
      </c>
      <c r="E877" t="str">
        <f>E821</f>
        <v>AWE</v>
      </c>
      <c r="F877" t="s">
        <v>32</v>
      </c>
      <c r="G877" s="359">
        <f t="shared" ref="G877:G888" si="558">L877</f>
        <v>49.624497951043587</v>
      </c>
      <c r="H877" t="str">
        <f>H822</f>
        <v>accumulator</v>
      </c>
      <c r="I877" t="str">
        <f t="shared" ref="I877:I888" si="559">"\newcommand{"&amp;J877&amp;"}{"&amp;TEXT(G877,$H$13)&amp;"}%"&amp;H877</f>
        <v>\newcommand{\ImpPgaPofStageAWEGWPA}{49,6}%accumulator</v>
      </c>
      <c r="J877" t="str">
        <f t="shared" ref="J877:J888" si="560">"\"&amp;D877&amp;E877&amp;F877&amp;C877</f>
        <v>\ImpPgaPofStageAWEGWPA</v>
      </c>
      <c r="L877">
        <f>M877</f>
        <v>49.624497951043587</v>
      </c>
      <c r="M877">
        <f>100*M822/$R$853</f>
        <v>49.624497951043587</v>
      </c>
    </row>
    <row r="878" spans="2:13" x14ac:dyDescent="0.3">
      <c r="C878" t="s">
        <v>788</v>
      </c>
      <c r="D878" t="str">
        <f t="shared" ref="D878:F888" si="561">D877</f>
        <v>ImpPgaPofStage</v>
      </c>
      <c r="E878" t="str">
        <f t="shared" si="561"/>
        <v>AWE</v>
      </c>
      <c r="F878" t="str">
        <f t="shared" si="561"/>
        <v>GWP</v>
      </c>
      <c r="G878" s="359">
        <f t="shared" si="558"/>
        <v>0</v>
      </c>
      <c r="H878">
        <f t="shared" ref="H878:H888" si="562">H823</f>
        <v>0</v>
      </c>
      <c r="I878" t="str">
        <f t="shared" si="559"/>
        <v>\newcommand{\ImpPgaPofStageAWEGWPB}{0,0}%0</v>
      </c>
      <c r="J878" t="str">
        <f t="shared" si="560"/>
        <v>\ImpPgaPofStageAWEGWPB</v>
      </c>
    </row>
    <row r="879" spans="2:13" x14ac:dyDescent="0.3">
      <c r="C879" t="s">
        <v>790</v>
      </c>
      <c r="D879" t="str">
        <f t="shared" si="561"/>
        <v>ImpPgaPofStage</v>
      </c>
      <c r="E879" t="str">
        <f t="shared" si="561"/>
        <v>AWE</v>
      </c>
      <c r="F879" t="str">
        <f t="shared" si="561"/>
        <v>GWP</v>
      </c>
      <c r="G879" s="359">
        <f t="shared" si="558"/>
        <v>0</v>
      </c>
      <c r="H879">
        <f t="shared" si="562"/>
        <v>0</v>
      </c>
      <c r="I879" t="str">
        <f t="shared" si="559"/>
        <v>\newcommand{\ImpPgaPofStageAWEGWPC}{0,0}%0</v>
      </c>
      <c r="J879" t="str">
        <f t="shared" si="560"/>
        <v>\ImpPgaPofStageAWEGWPC</v>
      </c>
    </row>
    <row r="880" spans="2:13" x14ac:dyDescent="0.3">
      <c r="C880" t="s">
        <v>1786</v>
      </c>
      <c r="D880" t="str">
        <f t="shared" si="561"/>
        <v>ImpPgaPofStage</v>
      </c>
      <c r="E880" t="str">
        <f t="shared" si="561"/>
        <v>AWE</v>
      </c>
      <c r="F880" t="str">
        <f t="shared" si="561"/>
        <v>GWP</v>
      </c>
      <c r="G880" s="359">
        <f t="shared" si="558"/>
        <v>0</v>
      </c>
      <c r="H880">
        <f t="shared" si="562"/>
        <v>0</v>
      </c>
      <c r="I880" t="str">
        <f t="shared" si="559"/>
        <v>\newcommand{\ImpPgaPofStageAWEGWPD}{0,0}%0</v>
      </c>
      <c r="J880" t="str">
        <f t="shared" si="560"/>
        <v>\ImpPgaPofStageAWEGWPD</v>
      </c>
    </row>
    <row r="881" spans="3:13" x14ac:dyDescent="0.3">
      <c r="C881" t="s">
        <v>1784</v>
      </c>
      <c r="D881" t="str">
        <f t="shared" si="561"/>
        <v>ImpPgaPofStage</v>
      </c>
      <c r="E881" t="str">
        <f t="shared" si="561"/>
        <v>AWE</v>
      </c>
      <c r="F881" t="str">
        <f t="shared" si="561"/>
        <v>GWP</v>
      </c>
      <c r="G881" s="359">
        <f t="shared" si="558"/>
        <v>0</v>
      </c>
      <c r="H881">
        <f t="shared" si="562"/>
        <v>0</v>
      </c>
      <c r="I881" t="str">
        <f t="shared" si="559"/>
        <v>\newcommand{\ImpPgaPofStageAWEGWPE}{0,0}%0</v>
      </c>
      <c r="J881" t="str">
        <f t="shared" si="560"/>
        <v>\ImpPgaPofStageAWEGWPE</v>
      </c>
    </row>
    <row r="882" spans="3:13" x14ac:dyDescent="0.3">
      <c r="C882" t="s">
        <v>1783</v>
      </c>
      <c r="D882" t="str">
        <f t="shared" si="561"/>
        <v>ImpPgaPofStage</v>
      </c>
      <c r="E882" t="str">
        <f t="shared" si="561"/>
        <v>AWE</v>
      </c>
      <c r="F882" t="str">
        <f t="shared" si="561"/>
        <v>GWP</v>
      </c>
      <c r="G882" s="359">
        <f t="shared" si="558"/>
        <v>0</v>
      </c>
      <c r="H882" t="str">
        <f t="shared" si="562"/>
        <v>Deck of LLA</v>
      </c>
      <c r="I882" t="str">
        <f t="shared" si="559"/>
        <v>\newcommand{\ImpPgaPofStageAWEGWPF}{0,0}%Deck of LLA</v>
      </c>
      <c r="J882" t="str">
        <f t="shared" si="560"/>
        <v>\ImpPgaPofStageAWEGWPF</v>
      </c>
    </row>
    <row r="883" spans="3:13" x14ac:dyDescent="0.3">
      <c r="C883" t="s">
        <v>1782</v>
      </c>
      <c r="D883" t="str">
        <f t="shared" si="561"/>
        <v>ImpPgaPofStage</v>
      </c>
      <c r="E883" t="str">
        <f t="shared" si="561"/>
        <v>AWE</v>
      </c>
      <c r="F883" t="str">
        <f t="shared" si="561"/>
        <v>GWP</v>
      </c>
      <c r="G883" s="359">
        <f t="shared" si="558"/>
        <v>0</v>
      </c>
      <c r="H883">
        <f t="shared" si="562"/>
        <v>0</v>
      </c>
      <c r="I883" t="str">
        <f t="shared" si="559"/>
        <v>\newcommand{\ImpPgaPofStageAWEGWPG}{0,0}%0</v>
      </c>
      <c r="J883" t="str">
        <f t="shared" si="560"/>
        <v>\ImpPgaPofStageAWEGWPG</v>
      </c>
    </row>
    <row r="884" spans="3:13" x14ac:dyDescent="0.3">
      <c r="C884" t="s">
        <v>1798</v>
      </c>
      <c r="D884" t="str">
        <f t="shared" si="561"/>
        <v>ImpPgaPofStage</v>
      </c>
      <c r="E884" t="str">
        <f t="shared" si="561"/>
        <v>AWE</v>
      </c>
      <c r="F884" t="str">
        <f t="shared" si="561"/>
        <v>GWP</v>
      </c>
      <c r="G884" s="359">
        <f t="shared" si="558"/>
        <v>0</v>
      </c>
      <c r="H884">
        <f t="shared" si="562"/>
        <v>0</v>
      </c>
      <c r="I884" t="str">
        <f t="shared" si="559"/>
        <v>\newcommand{\ImpPgaPofStageAWEGWPH}{0,0}%0</v>
      </c>
      <c r="J884" t="str">
        <f t="shared" si="560"/>
        <v>\ImpPgaPofStageAWEGWPH</v>
      </c>
    </row>
    <row r="885" spans="3:13" x14ac:dyDescent="0.3">
      <c r="C885" t="s">
        <v>1796</v>
      </c>
      <c r="D885" t="str">
        <f t="shared" si="561"/>
        <v>ImpPgaPofStage</v>
      </c>
      <c r="E885" t="str">
        <f t="shared" si="561"/>
        <v>AWE</v>
      </c>
      <c r="F885" t="str">
        <f t="shared" si="561"/>
        <v>GWP</v>
      </c>
      <c r="G885" s="359">
        <f t="shared" si="558"/>
        <v>0</v>
      </c>
      <c r="H885">
        <f t="shared" si="562"/>
        <v>0</v>
      </c>
      <c r="I885" t="str">
        <f t="shared" si="559"/>
        <v>\newcommand{\ImpPgaPofStageAWEGWPI}{0,0}%0</v>
      </c>
      <c r="J885" t="str">
        <f t="shared" si="560"/>
        <v>\ImpPgaPofStageAWEGWPI</v>
      </c>
    </row>
    <row r="886" spans="3:13" x14ac:dyDescent="0.3">
      <c r="C886" t="s">
        <v>1794</v>
      </c>
      <c r="D886" t="str">
        <f t="shared" si="561"/>
        <v>ImpPgaPofStage</v>
      </c>
      <c r="E886" t="str">
        <f t="shared" si="561"/>
        <v>AWE</v>
      </c>
      <c r="F886" t="str">
        <f t="shared" si="561"/>
        <v>GWP</v>
      </c>
      <c r="G886" s="359">
        <f t="shared" si="558"/>
        <v>0</v>
      </c>
      <c r="H886">
        <f t="shared" si="562"/>
        <v>0</v>
      </c>
      <c r="I886" t="str">
        <f t="shared" si="559"/>
        <v>\newcommand{\ImpPgaPofStageAWEGWPJ}{0,0}%0</v>
      </c>
      <c r="J886" t="str">
        <f t="shared" si="560"/>
        <v>\ImpPgaPofStageAWEGWPJ</v>
      </c>
    </row>
    <row r="887" spans="3:13" x14ac:dyDescent="0.3">
      <c r="C887" t="s">
        <v>1826</v>
      </c>
      <c r="D887" t="str">
        <f t="shared" si="561"/>
        <v>ImpPgaPofStage</v>
      </c>
      <c r="E887" t="str">
        <f t="shared" si="561"/>
        <v>AWE</v>
      </c>
      <c r="F887" t="str">
        <f t="shared" si="561"/>
        <v>GWP</v>
      </c>
      <c r="G887" s="359">
        <f t="shared" si="558"/>
        <v>0</v>
      </c>
      <c r="H887">
        <f t="shared" si="562"/>
        <v>0</v>
      </c>
      <c r="I887" t="str">
        <f t="shared" si="559"/>
        <v>\newcommand{\ImpPgaPofStageAWEGWPK}{0,0}%0</v>
      </c>
      <c r="J887" t="str">
        <f t="shared" si="560"/>
        <v>\ImpPgaPofStageAWEGWPK</v>
      </c>
    </row>
    <row r="888" spans="3:13" x14ac:dyDescent="0.3">
      <c r="C888" t="s">
        <v>1882</v>
      </c>
      <c r="D888" t="str">
        <f t="shared" si="561"/>
        <v>ImpPgaPofStage</v>
      </c>
      <c r="E888" t="str">
        <f t="shared" si="561"/>
        <v>AWE</v>
      </c>
      <c r="F888" t="str">
        <f t="shared" si="561"/>
        <v>GWP</v>
      </c>
      <c r="G888" s="359">
        <f t="shared" si="558"/>
        <v>0</v>
      </c>
      <c r="H888">
        <f t="shared" si="562"/>
        <v>0</v>
      </c>
      <c r="I888" t="str">
        <f t="shared" si="559"/>
        <v>\newcommand{\ImpPgaPofStageAWEGWPL}{0,0}%0</v>
      </c>
      <c r="J888" t="str">
        <f t="shared" si="560"/>
        <v>\ImpPgaPofStageAWEGWPL</v>
      </c>
    </row>
    <row r="890" spans="3:13" x14ac:dyDescent="0.3">
      <c r="C890" s="42" t="s">
        <v>720</v>
      </c>
      <c r="D890" s="42" t="str">
        <f>D877</f>
        <v>ImpPgaPofStage</v>
      </c>
      <c r="E890" t="str">
        <f>E836</f>
        <v>AWE</v>
      </c>
      <c r="F890" t="s">
        <v>162</v>
      </c>
      <c r="G890" s="359">
        <f t="shared" ref="G890:G901" si="563">L890</f>
        <v>57.347533412750742</v>
      </c>
      <c r="H890" t="str">
        <f>H822</f>
        <v>accumulator</v>
      </c>
      <c r="I890" t="str">
        <f t="shared" ref="I890:I901" si="564">"\newcommand{"&amp;J890&amp;"}{"&amp;TEXT(G890,$H$13)&amp;"}%"&amp;H890</f>
        <v>\newcommand{\ImpPgaPofStageAWECEDA}{57,3}%accumulator</v>
      </c>
      <c r="J890" t="str">
        <f t="shared" ref="J890:J901" si="565">"\"&amp;D890&amp;E890&amp;F890&amp;C890</f>
        <v>\ImpPgaPofStageAWECEDA</v>
      </c>
      <c r="L890">
        <f>M890</f>
        <v>57.347533412750742</v>
      </c>
      <c r="M890">
        <f>100*M836/$R$852</f>
        <v>57.347533412750742</v>
      </c>
    </row>
    <row r="891" spans="3:13" x14ac:dyDescent="0.3">
      <c r="C891" t="s">
        <v>788</v>
      </c>
      <c r="D891" t="str">
        <f t="shared" ref="D891:F901" si="566">D890</f>
        <v>ImpPgaPofStage</v>
      </c>
      <c r="E891" t="str">
        <f t="shared" si="566"/>
        <v>AWE</v>
      </c>
      <c r="F891" t="str">
        <f t="shared" si="566"/>
        <v>CED</v>
      </c>
      <c r="G891" s="359">
        <f t="shared" si="563"/>
        <v>0</v>
      </c>
      <c r="H891">
        <f t="shared" ref="H891:H901" si="567">H823</f>
        <v>0</v>
      </c>
      <c r="I891" t="str">
        <f t="shared" si="564"/>
        <v>\newcommand{\ImpPgaPofStageAWECEDB}{0,0}%0</v>
      </c>
      <c r="J891" t="str">
        <f t="shared" si="565"/>
        <v>\ImpPgaPofStageAWECEDB</v>
      </c>
    </row>
    <row r="892" spans="3:13" x14ac:dyDescent="0.3">
      <c r="C892" t="s">
        <v>790</v>
      </c>
      <c r="D892" t="str">
        <f t="shared" si="566"/>
        <v>ImpPgaPofStage</v>
      </c>
      <c r="E892" t="str">
        <f t="shared" si="566"/>
        <v>AWE</v>
      </c>
      <c r="F892" t="str">
        <f t="shared" si="566"/>
        <v>CED</v>
      </c>
      <c r="G892" s="359">
        <f t="shared" si="563"/>
        <v>0</v>
      </c>
      <c r="H892">
        <f t="shared" si="567"/>
        <v>0</v>
      </c>
      <c r="I892" t="str">
        <f t="shared" si="564"/>
        <v>\newcommand{\ImpPgaPofStageAWECEDC}{0,0}%0</v>
      </c>
      <c r="J892" t="str">
        <f t="shared" si="565"/>
        <v>\ImpPgaPofStageAWECEDC</v>
      </c>
    </row>
    <row r="893" spans="3:13" x14ac:dyDescent="0.3">
      <c r="C893" t="s">
        <v>1786</v>
      </c>
      <c r="D893" t="str">
        <f t="shared" si="566"/>
        <v>ImpPgaPofStage</v>
      </c>
      <c r="E893" t="str">
        <f t="shared" si="566"/>
        <v>AWE</v>
      </c>
      <c r="F893" t="str">
        <f t="shared" si="566"/>
        <v>CED</v>
      </c>
      <c r="G893" s="359">
        <f t="shared" si="563"/>
        <v>0</v>
      </c>
      <c r="H893">
        <f t="shared" si="567"/>
        <v>0</v>
      </c>
      <c r="I893" t="str">
        <f t="shared" si="564"/>
        <v>\newcommand{\ImpPgaPofStageAWECEDD}{0,0}%0</v>
      </c>
      <c r="J893" t="str">
        <f t="shared" si="565"/>
        <v>\ImpPgaPofStageAWECEDD</v>
      </c>
    </row>
    <row r="894" spans="3:13" x14ac:dyDescent="0.3">
      <c r="C894" t="s">
        <v>1784</v>
      </c>
      <c r="D894" t="str">
        <f t="shared" si="566"/>
        <v>ImpPgaPofStage</v>
      </c>
      <c r="E894" t="str">
        <f t="shared" si="566"/>
        <v>AWE</v>
      </c>
      <c r="F894" t="str">
        <f t="shared" si="566"/>
        <v>CED</v>
      </c>
      <c r="G894" s="359">
        <f t="shared" si="563"/>
        <v>0</v>
      </c>
      <c r="H894">
        <f t="shared" si="567"/>
        <v>0</v>
      </c>
      <c r="I894" t="str">
        <f t="shared" si="564"/>
        <v>\newcommand{\ImpPgaPofStageAWECEDE}{0,0}%0</v>
      </c>
      <c r="J894" t="str">
        <f t="shared" si="565"/>
        <v>\ImpPgaPofStageAWECEDE</v>
      </c>
    </row>
    <row r="895" spans="3:13" x14ac:dyDescent="0.3">
      <c r="C895" t="s">
        <v>1783</v>
      </c>
      <c r="D895" t="str">
        <f t="shared" si="566"/>
        <v>ImpPgaPofStage</v>
      </c>
      <c r="E895" t="str">
        <f t="shared" si="566"/>
        <v>AWE</v>
      </c>
      <c r="F895" t="str">
        <f t="shared" si="566"/>
        <v>CED</v>
      </c>
      <c r="G895" s="359">
        <f t="shared" si="563"/>
        <v>0</v>
      </c>
      <c r="H895" t="str">
        <f t="shared" si="567"/>
        <v>Deck of LLA</v>
      </c>
      <c r="I895" t="str">
        <f t="shared" si="564"/>
        <v>\newcommand{\ImpPgaPofStageAWECEDF}{0,0}%Deck of LLA</v>
      </c>
      <c r="J895" t="str">
        <f t="shared" si="565"/>
        <v>\ImpPgaPofStageAWECEDF</v>
      </c>
    </row>
    <row r="896" spans="3:13" x14ac:dyDescent="0.3">
      <c r="C896" t="s">
        <v>1782</v>
      </c>
      <c r="D896" t="str">
        <f t="shared" si="566"/>
        <v>ImpPgaPofStage</v>
      </c>
      <c r="E896" t="str">
        <f t="shared" si="566"/>
        <v>AWE</v>
      </c>
      <c r="F896" t="str">
        <f t="shared" si="566"/>
        <v>CED</v>
      </c>
      <c r="G896" s="359">
        <f t="shared" si="563"/>
        <v>0</v>
      </c>
      <c r="H896">
        <f t="shared" si="567"/>
        <v>0</v>
      </c>
      <c r="I896" t="str">
        <f t="shared" si="564"/>
        <v>\newcommand{\ImpPgaPofStageAWECEDG}{0,0}%0</v>
      </c>
      <c r="J896" t="str">
        <f t="shared" si="565"/>
        <v>\ImpPgaPofStageAWECEDG</v>
      </c>
    </row>
    <row r="897" spans="3:20" x14ac:dyDescent="0.3">
      <c r="C897" t="s">
        <v>1798</v>
      </c>
      <c r="D897" t="str">
        <f t="shared" si="566"/>
        <v>ImpPgaPofStage</v>
      </c>
      <c r="E897" t="str">
        <f t="shared" si="566"/>
        <v>AWE</v>
      </c>
      <c r="F897" t="str">
        <f t="shared" si="566"/>
        <v>CED</v>
      </c>
      <c r="G897" s="359">
        <f t="shared" si="563"/>
        <v>0</v>
      </c>
      <c r="H897">
        <f t="shared" si="567"/>
        <v>0</v>
      </c>
      <c r="I897" t="str">
        <f t="shared" si="564"/>
        <v>\newcommand{\ImpPgaPofStageAWECEDH}{0,0}%0</v>
      </c>
      <c r="J897" t="str">
        <f t="shared" si="565"/>
        <v>\ImpPgaPofStageAWECEDH</v>
      </c>
    </row>
    <row r="898" spans="3:20" x14ac:dyDescent="0.3">
      <c r="C898" t="s">
        <v>1796</v>
      </c>
      <c r="D898" t="str">
        <f t="shared" si="566"/>
        <v>ImpPgaPofStage</v>
      </c>
      <c r="E898" t="str">
        <f t="shared" si="566"/>
        <v>AWE</v>
      </c>
      <c r="F898" t="str">
        <f t="shared" si="566"/>
        <v>CED</v>
      </c>
      <c r="G898" s="359">
        <f t="shared" si="563"/>
        <v>0</v>
      </c>
      <c r="H898">
        <f t="shared" si="567"/>
        <v>0</v>
      </c>
      <c r="I898" t="str">
        <f t="shared" si="564"/>
        <v>\newcommand{\ImpPgaPofStageAWECEDI}{0,0}%0</v>
      </c>
      <c r="J898" t="str">
        <f t="shared" si="565"/>
        <v>\ImpPgaPofStageAWECEDI</v>
      </c>
    </row>
    <row r="899" spans="3:20" x14ac:dyDescent="0.3">
      <c r="C899" t="s">
        <v>1794</v>
      </c>
      <c r="D899" t="str">
        <f t="shared" si="566"/>
        <v>ImpPgaPofStage</v>
      </c>
      <c r="E899" t="str">
        <f t="shared" si="566"/>
        <v>AWE</v>
      </c>
      <c r="F899" t="str">
        <f t="shared" si="566"/>
        <v>CED</v>
      </c>
      <c r="G899" s="359">
        <f t="shared" si="563"/>
        <v>0</v>
      </c>
      <c r="H899">
        <f t="shared" si="567"/>
        <v>0</v>
      </c>
      <c r="I899" t="str">
        <f t="shared" si="564"/>
        <v>\newcommand{\ImpPgaPofStageAWECEDJ}{0,0}%0</v>
      </c>
      <c r="J899" t="str">
        <f t="shared" si="565"/>
        <v>\ImpPgaPofStageAWECEDJ</v>
      </c>
    </row>
    <row r="900" spans="3:20" x14ac:dyDescent="0.3">
      <c r="C900" t="s">
        <v>1826</v>
      </c>
      <c r="D900" t="str">
        <f t="shared" si="566"/>
        <v>ImpPgaPofStage</v>
      </c>
      <c r="E900" t="str">
        <f t="shared" si="566"/>
        <v>AWE</v>
      </c>
      <c r="F900" t="str">
        <f t="shared" si="566"/>
        <v>CED</v>
      </c>
      <c r="G900" s="359">
        <f t="shared" si="563"/>
        <v>0</v>
      </c>
      <c r="H900">
        <f t="shared" si="567"/>
        <v>0</v>
      </c>
      <c r="I900" t="str">
        <f t="shared" si="564"/>
        <v>\newcommand{\ImpPgaPofStageAWECEDK}{0,0}%0</v>
      </c>
      <c r="J900" t="str">
        <f t="shared" si="565"/>
        <v>\ImpPgaPofStageAWECEDK</v>
      </c>
    </row>
    <row r="901" spans="3:20" x14ac:dyDescent="0.3">
      <c r="C901" t="s">
        <v>1882</v>
      </c>
      <c r="D901" t="str">
        <f t="shared" si="566"/>
        <v>ImpPgaPofStage</v>
      </c>
      <c r="E901" t="str">
        <f t="shared" si="566"/>
        <v>AWE</v>
      </c>
      <c r="F901" t="str">
        <f t="shared" si="566"/>
        <v>CED</v>
      </c>
      <c r="G901" s="359">
        <f t="shared" si="563"/>
        <v>0</v>
      </c>
      <c r="H901">
        <f t="shared" si="567"/>
        <v>0</v>
      </c>
      <c r="I901" t="str">
        <f t="shared" si="564"/>
        <v>\newcommand{\ImpPgaPofStageAWECEDL}{0,0}%0</v>
      </c>
      <c r="J901" t="str">
        <f t="shared" si="565"/>
        <v>\ImpPgaPofStageAWECEDL</v>
      </c>
    </row>
    <row r="902" spans="3:20" x14ac:dyDescent="0.3">
      <c r="T902">
        <f>O906/$O$915</f>
        <v>0</v>
      </c>
    </row>
    <row r="903" spans="3:20" x14ac:dyDescent="0.3">
      <c r="T903">
        <f>O907/$O$915</f>
        <v>0</v>
      </c>
    </row>
    <row r="904" spans="3:20" x14ac:dyDescent="0.3">
      <c r="T904">
        <f>O908/$O$915</f>
        <v>0</v>
      </c>
    </row>
    <row r="905" spans="3:20" x14ac:dyDescent="0.3">
      <c r="T905">
        <f>O909/$O$915</f>
        <v>0</v>
      </c>
    </row>
    <row r="912" spans="3:20" x14ac:dyDescent="0.3">
      <c r="M912" s="18" t="s">
        <v>2002</v>
      </c>
      <c r="N912" s="18"/>
      <c r="O912" s="18"/>
      <c r="P912" s="18"/>
      <c r="Q912" s="18"/>
      <c r="R912" s="18"/>
    </row>
    <row r="914" spans="14:21" x14ac:dyDescent="0.3">
      <c r="T914">
        <f>O918/$O$915</f>
        <v>14.730443487478501</v>
      </c>
    </row>
    <row r="915" spans="14:21" x14ac:dyDescent="0.3">
      <c r="O915">
        <f>'Communication to latex'!$E$5</f>
        <v>462528</v>
      </c>
      <c r="T915">
        <f>O919/$O$915</f>
        <v>4.2230360107928595</v>
      </c>
    </row>
    <row r="916" spans="14:21" x14ac:dyDescent="0.3">
      <c r="T916">
        <f>O920/$O$915</f>
        <v>6.1449553720042314</v>
      </c>
    </row>
    <row r="917" spans="14:21" x14ac:dyDescent="0.3">
      <c r="T917">
        <f>O921/$O$915</f>
        <v>2.3399353120243531</v>
      </c>
    </row>
    <row r="918" spans="14:21" x14ac:dyDescent="0.3">
      <c r="N918" s="14">
        <f>AWE!F632</f>
        <v>470496.6822765742</v>
      </c>
      <c r="O918" s="14">
        <f>AWE!H632</f>
        <v>6813242.5653764559</v>
      </c>
      <c r="P918" t="str">
        <f>AWE!D632</f>
        <v>Full deck</v>
      </c>
      <c r="Q918">
        <f>N918/$O$915</f>
        <v>1.0172285402755599</v>
      </c>
      <c r="U918">
        <f>T914</f>
        <v>14.730443487478501</v>
      </c>
    </row>
    <row r="919" spans="14:21" x14ac:dyDescent="0.3">
      <c r="N919" s="14">
        <f>AWE!F633</f>
        <v>132296.28</v>
      </c>
      <c r="O919" s="14">
        <f>AWE!H633</f>
        <v>1953272.4</v>
      </c>
      <c r="P919" t="str">
        <f>AWE!D633</f>
        <v>Catapult</v>
      </c>
      <c r="Q919">
        <f>N919/$O$915</f>
        <v>0.28602869447903695</v>
      </c>
      <c r="U919">
        <f t="shared" ref="U919:U921" si="568">T915</f>
        <v>4.2230360107928595</v>
      </c>
    </row>
    <row r="920" spans="14:21" x14ac:dyDescent="0.3">
      <c r="N920" s="14">
        <f>AWE!F634</f>
        <v>198322.30600553524</v>
      </c>
      <c r="O920" s="14">
        <f>AWE!H634</f>
        <v>2842213.918302373</v>
      </c>
      <c r="P920" t="str">
        <f>AWE!D634</f>
        <v>Shifter</v>
      </c>
      <c r="Q920">
        <f>N920/$O$915</f>
        <v>0.42877902744382013</v>
      </c>
      <c r="U920">
        <f t="shared" si="568"/>
        <v>6.1449553720042314</v>
      </c>
    </row>
    <row r="921" spans="14:21" x14ac:dyDescent="0.3">
      <c r="N921" s="14">
        <f>AWE!F635</f>
        <v>74095.72</v>
      </c>
      <c r="O921" s="14">
        <f>AWE!H635</f>
        <v>1082285.6000000001</v>
      </c>
      <c r="P921" t="str">
        <f>AWE!D635</f>
        <v>Yaw</v>
      </c>
      <c r="Q921">
        <f>N921/$O$915</f>
        <v>0.16019726373322263</v>
      </c>
      <c r="U921">
        <f t="shared" si="568"/>
        <v>2.3399353120243531</v>
      </c>
    </row>
    <row r="931" spans="13:23" x14ac:dyDescent="0.3">
      <c r="N931" t="s">
        <v>14</v>
      </c>
      <c r="O931" t="s">
        <v>15</v>
      </c>
      <c r="P931" t="s">
        <v>20</v>
      </c>
      <c r="Q931" t="s">
        <v>16</v>
      </c>
      <c r="R931" t="s">
        <v>50</v>
      </c>
      <c r="S931" t="s">
        <v>139</v>
      </c>
      <c r="T931" t="s">
        <v>783</v>
      </c>
      <c r="U931" t="s">
        <v>1769</v>
      </c>
      <c r="V931" t="s">
        <v>44</v>
      </c>
      <c r="W931" t="s">
        <v>47</v>
      </c>
    </row>
    <row r="932" spans="13:23" x14ac:dyDescent="0.3">
      <c r="M932" t="s">
        <v>783</v>
      </c>
      <c r="N932" s="14">
        <f>'Communication to latex'!$G$145</f>
        <v>6.4194436116937009E-2</v>
      </c>
      <c r="O932" s="14">
        <f>'Communication to latex'!$G$146</f>
        <v>0.89223475341296021</v>
      </c>
      <c r="P932" s="14">
        <f>'Communication to latex'!$G$147</f>
        <v>2.6537687263994019</v>
      </c>
      <c r="Q932" s="14">
        <f>'Communication to latex'!$G$148</f>
        <v>1.8922335259316396</v>
      </c>
      <c r="R932" s="14">
        <f>'Communication to latex'!$G$149</f>
        <v>0.16241719355147477</v>
      </c>
      <c r="S932" s="14">
        <f>'Communication to latex'!$G$150</f>
        <v>0.65674863608273137</v>
      </c>
    </row>
    <row r="933" spans="13:23" x14ac:dyDescent="0.3">
      <c r="M933" t="s">
        <v>1769</v>
      </c>
      <c r="T933" s="14">
        <f>'Communication to latex'!$G$108</f>
        <v>6.3215972714951443</v>
      </c>
      <c r="U933" s="14">
        <f>'Communication to latex'!$G$109</f>
        <v>0.32507135074415039</v>
      </c>
      <c r="V933" s="14">
        <f>'Communication to latex'!$G$110</f>
        <v>0.880399361284395</v>
      </c>
      <c r="W933" s="14">
        <f>'Communication to latex'!$G$111</f>
        <v>0.27122449952203481</v>
      </c>
    </row>
    <row r="934" spans="13:23" x14ac:dyDescent="0.3">
      <c r="M934" t="s">
        <v>44</v>
      </c>
    </row>
    <row r="935" spans="13:23" x14ac:dyDescent="0.3">
      <c r="M935" t="s">
        <v>47</v>
      </c>
    </row>
    <row r="937" spans="13:23" x14ac:dyDescent="0.3">
      <c r="N937" t="s">
        <v>2076</v>
      </c>
      <c r="O937" t="s">
        <v>2077</v>
      </c>
      <c r="P937" t="s">
        <v>2078</v>
      </c>
      <c r="Q937" t="s">
        <v>2079</v>
      </c>
      <c r="R937" t="s">
        <v>2080</v>
      </c>
      <c r="S937" t="s">
        <v>2081</v>
      </c>
      <c r="T937" t="s">
        <v>49</v>
      </c>
      <c r="U937" t="s">
        <v>44</v>
      </c>
      <c r="V937" t="s">
        <v>47</v>
      </c>
    </row>
    <row r="938" spans="13:23" x14ac:dyDescent="0.3">
      <c r="N938" s="14">
        <f t="shared" ref="N938" si="569">N932</f>
        <v>6.4194436116937009E-2</v>
      </c>
      <c r="O938" s="14">
        <f>Q932</f>
        <v>1.8922335259316396</v>
      </c>
      <c r="P938" s="14">
        <f>O932</f>
        <v>0.89223475341296021</v>
      </c>
      <c r="Q938" s="14">
        <f>P932</f>
        <v>2.6537687263994019</v>
      </c>
      <c r="R938" s="14">
        <f>R932</f>
        <v>0.16241719355147477</v>
      </c>
      <c r="S938" s="14">
        <f>S932</f>
        <v>0.65674863608273137</v>
      </c>
      <c r="T938" s="14">
        <f>U933</f>
        <v>0.32507135074415039</v>
      </c>
      <c r="U938" s="14">
        <f>V933</f>
        <v>0.880399361284395</v>
      </c>
      <c r="V938" s="14">
        <f>W933</f>
        <v>0.27122449952203481</v>
      </c>
    </row>
    <row r="939" spans="13:23" x14ac:dyDescent="0.3">
      <c r="N939" s="14">
        <f>'Communication to latex'!$G$200</f>
        <v>4.4366640225996186</v>
      </c>
      <c r="O939" s="14">
        <f>'Communication to latex'!$G$203</f>
        <v>0</v>
      </c>
      <c r="P939" s="14">
        <f>'Communication to latex'!$G$201</f>
        <v>2.6729859537173737</v>
      </c>
      <c r="Q939" s="14">
        <f>'Communication to latex'!$G$202</f>
        <v>2.2766164712812915</v>
      </c>
      <c r="R939" s="14">
        <f>'Communication to latex'!$G$204</f>
        <v>1.0470725989414846</v>
      </c>
      <c r="S939" s="14">
        <f>'Communication to latex'!$G$205</f>
        <v>0.7119447848828484</v>
      </c>
      <c r="T939" s="14">
        <f>'Communication to latex'!$G$80</f>
        <v>0.70451015783057913</v>
      </c>
      <c r="U939" s="14">
        <f>'Communication to latex'!$G$81</f>
        <v>0.73521556462588233</v>
      </c>
      <c r="V939" s="14">
        <f>'Communication to latex'!$G$82</f>
        <v>0.39310824854226534</v>
      </c>
    </row>
    <row r="944" spans="13:23" x14ac:dyDescent="0.3">
      <c r="M944" t="s">
        <v>783</v>
      </c>
    </row>
    <row r="945" spans="13:22" x14ac:dyDescent="0.3">
      <c r="M945" t="s">
        <v>1769</v>
      </c>
      <c r="N945">
        <v>3</v>
      </c>
    </row>
    <row r="946" spans="13:22" x14ac:dyDescent="0.3">
      <c r="M946" t="s">
        <v>44</v>
      </c>
      <c r="N946">
        <v>5</v>
      </c>
    </row>
    <row r="947" spans="13:22" x14ac:dyDescent="0.3">
      <c r="M947" t="s">
        <v>47</v>
      </c>
      <c r="N947">
        <v>1</v>
      </c>
    </row>
    <row r="952" spans="13:22" x14ac:dyDescent="0.3">
      <c r="M952" t="s">
        <v>1172</v>
      </c>
    </row>
    <row r="953" spans="13:22" x14ac:dyDescent="0.3">
      <c r="M953" t="s">
        <v>1142</v>
      </c>
    </row>
    <row r="958" spans="13:22" x14ac:dyDescent="0.3">
      <c r="M958" s="70"/>
      <c r="N958" s="47" t="s">
        <v>2038</v>
      </c>
      <c r="O958" s="47"/>
      <c r="P958" s="47"/>
      <c r="Q958" s="70"/>
    </row>
    <row r="959" spans="13:22" x14ac:dyDescent="0.3">
      <c r="M959" s="70"/>
    </row>
    <row r="960" spans="13:22" x14ac:dyDescent="0.3">
      <c r="N960" t="str">
        <f>N937</f>
        <v>Man: Tether / Tower</v>
      </c>
      <c r="O960" t="str">
        <f t="shared" ref="O960:V960" si="570">O937</f>
        <v>Man: LLA</v>
      </c>
      <c r="P960" t="str">
        <f t="shared" si="570"/>
        <v>Man: Aircraft / Rotor</v>
      </c>
      <c r="Q960" t="str">
        <f t="shared" si="570"/>
        <v>Man: PGA / Nacelle</v>
      </c>
      <c r="R960" t="str">
        <f t="shared" si="570"/>
        <v>Man: Foundation</v>
      </c>
      <c r="S960" t="str">
        <f t="shared" si="570"/>
        <v>Man: BOS</v>
      </c>
      <c r="T960" t="str">
        <f t="shared" si="570"/>
        <v>Installation</v>
      </c>
      <c r="U960" t="str">
        <f t="shared" si="570"/>
        <v>OenM</v>
      </c>
      <c r="V960" t="str">
        <f t="shared" si="570"/>
        <v>EOL</v>
      </c>
    </row>
    <row r="961" spans="7:32" x14ac:dyDescent="0.3">
      <c r="N961" s="14">
        <f>'Communication to latex'!G137</f>
        <v>2.0777024182320742</v>
      </c>
      <c r="O961" s="14">
        <f>'Communication to latex'!G140</f>
        <v>27.438370182299941</v>
      </c>
      <c r="P961" s="14">
        <f>'Communication to latex'!G138</f>
        <v>16.327139786872973</v>
      </c>
      <c r="Q961" s="14">
        <f>'Communication to latex'!G139</f>
        <v>42.260221460120128</v>
      </c>
      <c r="R961" s="14">
        <f>'Communication to latex'!G141</f>
        <v>1.5148950391480474</v>
      </c>
      <c r="S961" s="14">
        <f>'Communication to latex'!G142</f>
        <v>10.482194131784958</v>
      </c>
      <c r="T961" s="14">
        <f>'Communication to latex'!G103</f>
        <v>4.6602968533030209</v>
      </c>
      <c r="U961" s="14">
        <f>'Communication to latex'!G104</f>
        <v>21.618157999532958</v>
      </c>
      <c r="V961" s="14">
        <f>'Communication to latex'!G105</f>
        <v>1.0906210155760316</v>
      </c>
    </row>
    <row r="962" spans="7:32" x14ac:dyDescent="0.3">
      <c r="N962" s="14">
        <f>'Communication to latex'!G192</f>
        <v>63.183633737484676</v>
      </c>
      <c r="O962" s="14">
        <f>'Communication to latex'!G195</f>
        <v>0</v>
      </c>
      <c r="P962" s="14">
        <f>'Communication to latex'!G193</f>
        <v>51.634565239059953</v>
      </c>
      <c r="Q962" s="14">
        <f>'Communication to latex'!G194</f>
        <v>35.147250945705572</v>
      </c>
      <c r="R962" s="14">
        <f>'Communication to latex'!G196</f>
        <v>9.9770965773956988</v>
      </c>
      <c r="S962" s="14">
        <f>'Communication to latex'!G197</f>
        <v>11.332986817964082</v>
      </c>
      <c r="T962" s="14">
        <f>'Communication to latex'!G74</f>
        <v>10.126259053675444</v>
      </c>
      <c r="U962" s="14">
        <f>'Communication to latex'!G75</f>
        <v>10.046934474049847</v>
      </c>
      <c r="V962" s="14">
        <f>'Communication to latex'!G76</f>
        <v>3.5657236475020886</v>
      </c>
    </row>
    <row r="968" spans="7:32" s="70" customFormat="1" x14ac:dyDescent="0.3">
      <c r="G968" s="361"/>
    </row>
    <row r="972" spans="7:32" x14ac:dyDescent="0.3">
      <c r="L972" s="419" t="s">
        <v>2135</v>
      </c>
      <c r="M972" s="39" t="s">
        <v>2134</v>
      </c>
      <c r="N972" s="39"/>
      <c r="O972" s="39"/>
      <c r="P972" s="39"/>
      <c r="Q972" s="39"/>
      <c r="R972" s="39"/>
      <c r="S972" s="39"/>
      <c r="T972" s="39"/>
      <c r="U972" s="39"/>
      <c r="V972" s="39"/>
      <c r="W972" s="39"/>
      <c r="X972" s="39"/>
      <c r="Y972" s="39"/>
      <c r="Z972" s="39"/>
      <c r="AA972" s="39"/>
      <c r="AB972" s="39"/>
      <c r="AC972" s="39"/>
      <c r="AD972" s="39"/>
      <c r="AE972" s="39"/>
      <c r="AF972" s="39"/>
    </row>
    <row r="974" spans="7:32" x14ac:dyDescent="0.3">
      <c r="M974" s="8" t="s">
        <v>2011</v>
      </c>
      <c r="N974" s="8" t="s">
        <v>2013</v>
      </c>
      <c r="O974" s="8" t="s">
        <v>2009</v>
      </c>
      <c r="P974" s="8" t="s">
        <v>1765</v>
      </c>
      <c r="Q974" s="355">
        <v>16</v>
      </c>
      <c r="R974" s="355" t="s">
        <v>1765</v>
      </c>
      <c r="S974" s="355">
        <v>18</v>
      </c>
      <c r="T974" s="355" t="s">
        <v>1765</v>
      </c>
      <c r="U974" s="355">
        <v>20</v>
      </c>
      <c r="V974" s="355" t="s">
        <v>1765</v>
      </c>
      <c r="W974" s="355">
        <v>22</v>
      </c>
      <c r="X974" s="355" t="s">
        <v>1765</v>
      </c>
      <c r="Y974" s="355">
        <v>24</v>
      </c>
      <c r="Z974" s="356" t="s">
        <v>1764</v>
      </c>
    </row>
    <row r="975" spans="7:32" x14ac:dyDescent="0.3">
      <c r="M975" s="8" t="s">
        <v>2011</v>
      </c>
      <c r="N975" s="8" t="s">
        <v>1915</v>
      </c>
      <c r="O975" s="8" t="s">
        <v>2009</v>
      </c>
      <c r="P975" s="8" t="s">
        <v>1765</v>
      </c>
      <c r="Q975" s="355">
        <v>192.33176051964972</v>
      </c>
      <c r="R975" s="355" t="s">
        <v>1765</v>
      </c>
      <c r="S975" s="355">
        <v>209.80111809321923</v>
      </c>
      <c r="T975" s="355" t="s">
        <v>1765</v>
      </c>
      <c r="U975" s="355">
        <v>227.96429515908503</v>
      </c>
      <c r="V975" s="355" t="s">
        <v>1765</v>
      </c>
      <c r="W975" s="355">
        <v>246.82129171724708</v>
      </c>
      <c r="X975" s="355" t="s">
        <v>1765</v>
      </c>
      <c r="Y975" s="355">
        <v>266.37210776770547</v>
      </c>
      <c r="Z975" s="356" t="s">
        <v>1764</v>
      </c>
      <c r="AA975" t="s">
        <v>1775</v>
      </c>
    </row>
    <row r="976" spans="7:32" x14ac:dyDescent="0.3">
      <c r="M976" s="8" t="s">
        <v>2011</v>
      </c>
      <c r="N976" s="8" t="s">
        <v>2012</v>
      </c>
      <c r="O976" s="8" t="s">
        <v>2009</v>
      </c>
      <c r="P976" s="8" t="s">
        <v>1765</v>
      </c>
      <c r="Q976" s="355">
        <v>7.2513236044242904</v>
      </c>
      <c r="R976" s="355" t="s">
        <v>1765</v>
      </c>
      <c r="S976" s="355">
        <v>7.5219026525872783</v>
      </c>
      <c r="T976" s="355" t="s">
        <v>1765</v>
      </c>
      <c r="U976" s="355">
        <v>7.7982924830457252</v>
      </c>
      <c r="V976" s="355" t="s">
        <v>1765</v>
      </c>
      <c r="W976" s="355">
        <v>8.0804930957996319</v>
      </c>
      <c r="X976" s="355" t="s">
        <v>1765</v>
      </c>
      <c r="Y976" s="355">
        <v>8.3685044908489949</v>
      </c>
      <c r="Z976" s="356" t="s">
        <v>1764</v>
      </c>
    </row>
    <row r="977" spans="10:28" x14ac:dyDescent="0.3">
      <c r="M977" s="8" t="s">
        <v>2011</v>
      </c>
      <c r="N977" s="8" t="s">
        <v>2010</v>
      </c>
      <c r="O977" s="8" t="s">
        <v>2009</v>
      </c>
      <c r="P977" s="8" t="s">
        <v>1765</v>
      </c>
      <c r="Q977" s="355">
        <v>118.9749626282472</v>
      </c>
      <c r="R977" s="355" t="s">
        <v>1765</v>
      </c>
      <c r="S977" s="355">
        <v>123.18045477242215</v>
      </c>
      <c r="T977" s="355" t="s">
        <v>1765</v>
      </c>
      <c r="U977" s="355">
        <v>127.46959888687017</v>
      </c>
      <c r="V977" s="355" t="s">
        <v>1765</v>
      </c>
      <c r="W977" s="355">
        <v>131.84239497159112</v>
      </c>
      <c r="X977" s="355" t="s">
        <v>1765</v>
      </c>
      <c r="Y977" s="355">
        <v>136.29884302658516</v>
      </c>
      <c r="Z977" s="356" t="s">
        <v>1764</v>
      </c>
    </row>
    <row r="981" spans="10:28" x14ac:dyDescent="0.3">
      <c r="M981" s="351" t="s">
        <v>1973</v>
      </c>
      <c r="Q981" s="14">
        <f>100*(Q975-$U975)/$U975</f>
        <v>-15.630752445056855</v>
      </c>
      <c r="R981" s="14"/>
      <c r="S981" s="14">
        <f>100*(S975-$U975)/$U975</f>
        <v>-7.9675534509431012</v>
      </c>
      <c r="T981" s="14"/>
      <c r="U981" s="14">
        <f>100*(U975-$U975)/$U975</f>
        <v>0</v>
      </c>
      <c r="V981" s="14"/>
      <c r="W981" s="14">
        <f>100*(W975-$U975)/$U975</f>
        <v>8.2719079077724373</v>
      </c>
      <c r="X981" s="14"/>
      <c r="Y981" s="14">
        <f>100*(Y975-$U975)/$U975</f>
        <v>16.848170272374247</v>
      </c>
    </row>
    <row r="982" spans="10:28" x14ac:dyDescent="0.3">
      <c r="Q982" s="14">
        <f t="shared" ref="Q982:S983" si="571">100*(Q976-$U976)/$U976</f>
        <v>-7.0139569631505916</v>
      </c>
      <c r="R982" s="14"/>
      <c r="S982" s="14">
        <f t="shared" si="571"/>
        <v>-3.5442352420013261</v>
      </c>
      <c r="T982" s="14"/>
      <c r="U982" s="14">
        <f t="shared" ref="U982" si="572">100*(U976-$U976)/$U976</f>
        <v>0</v>
      </c>
      <c r="V982" s="14"/>
      <c r="W982" s="14">
        <f t="shared" ref="W982" si="573">100*(W976-$U976)/$U976</f>
        <v>3.6187487628533983</v>
      </c>
      <c r="X982" s="14"/>
      <c r="Y982" s="14">
        <f t="shared" ref="Y982" si="574">100*(Y976-$U976)/$U976</f>
        <v>7.3120110465588235</v>
      </c>
    </row>
    <row r="983" spans="10:28" x14ac:dyDescent="0.3">
      <c r="Q983" s="14">
        <f t="shared" si="571"/>
        <v>-6.6640487871637548</v>
      </c>
      <c r="R983" s="14"/>
      <c r="S983" s="14">
        <f t="shared" si="571"/>
        <v>-3.3648369116267913</v>
      </c>
      <c r="T983" s="14"/>
      <c r="U983" s="14">
        <f t="shared" ref="U983" si="575">100*(U977-$U977)/$U977</f>
        <v>0</v>
      </c>
      <c r="V983" s="14"/>
      <c r="W983" s="14">
        <f t="shared" ref="W983" si="576">100*(W977-$U977)/$U977</f>
        <v>3.4304619477165073</v>
      </c>
      <c r="X983" s="14"/>
      <c r="Y983" s="14">
        <f t="shared" ref="Y983" si="577">100*(Y977-$U977)/$U977</f>
        <v>6.9265489315228654</v>
      </c>
    </row>
    <row r="986" spans="10:28" x14ac:dyDescent="0.3">
      <c r="J986" s="419" t="s">
        <v>2135</v>
      </c>
      <c r="K986" s="44"/>
      <c r="L986" s="44"/>
      <c r="M986" s="44"/>
      <c r="N986" s="44"/>
      <c r="O986" s="44"/>
      <c r="P986" s="44"/>
      <c r="Q986" s="44"/>
      <c r="R986" s="44"/>
      <c r="S986" s="44"/>
      <c r="T986" s="44"/>
      <c r="U986" s="44"/>
      <c r="V986" s="44"/>
      <c r="W986" s="44"/>
      <c r="X986" s="44"/>
      <c r="Y986" s="44"/>
      <c r="Z986" s="44"/>
      <c r="AA986" s="44"/>
      <c r="AB986" s="44"/>
    </row>
    <row r="987" spans="10:28" x14ac:dyDescent="0.3">
      <c r="J987" s="44"/>
      <c r="K987" t="s">
        <v>2011</v>
      </c>
      <c r="L987" t="s">
        <v>2013</v>
      </c>
      <c r="M987" t="s">
        <v>2009</v>
      </c>
      <c r="P987" t="s">
        <v>1765</v>
      </c>
      <c r="Q987">
        <v>16</v>
      </c>
      <c r="R987" t="s">
        <v>1765</v>
      </c>
      <c r="S987">
        <v>18</v>
      </c>
      <c r="T987" t="s">
        <v>1765</v>
      </c>
      <c r="U987">
        <v>20</v>
      </c>
      <c r="V987" t="s">
        <v>1765</v>
      </c>
      <c r="W987">
        <v>22</v>
      </c>
      <c r="X987" t="s">
        <v>1765</v>
      </c>
      <c r="Y987">
        <v>24</v>
      </c>
      <c r="Z987" s="334" t="s">
        <v>1764</v>
      </c>
      <c r="AB987" s="44"/>
    </row>
    <row r="988" spans="10:28" x14ac:dyDescent="0.3">
      <c r="J988" s="44"/>
      <c r="K988" t="s">
        <v>2011</v>
      </c>
      <c r="L988" t="s">
        <v>1915</v>
      </c>
      <c r="M988" t="s">
        <v>2009</v>
      </c>
      <c r="P988" t="s">
        <v>1765</v>
      </c>
      <c r="Q988" t="str">
        <f>TEXT(Q975,$M$981)&amp;"  ("&amp;TEXT(Q981,$M$981)&amp;"\%)"</f>
        <v>192,3  (-15,6\%)</v>
      </c>
      <c r="R988" t="s">
        <v>1765</v>
      </c>
      <c r="S988" t="str">
        <f>TEXT(S975,$M$981)&amp;"  ("&amp;TEXT(S981,$M$981)&amp;"\%)"</f>
        <v>209,8  (-8,0\%)</v>
      </c>
      <c r="T988" t="s">
        <v>1765</v>
      </c>
      <c r="U988" t="str">
        <f>TEXT(U975,$M$981)</f>
        <v>228,0</v>
      </c>
      <c r="V988" t="s">
        <v>1765</v>
      </c>
      <c r="W988" t="str">
        <f>TEXT(W975,$M$981)&amp;"  (+"&amp;TEXT(W981,$M$981)&amp;"\%)"</f>
        <v>246,8  (+8,3\%)</v>
      </c>
      <c r="X988" t="s">
        <v>1765</v>
      </c>
      <c r="Y988" t="str">
        <f>TEXT(Y975,$M$981)&amp;"  (+"&amp;TEXT(Y981,$M$981)&amp;"\%)"</f>
        <v>266,4  (+16,8\%)</v>
      </c>
      <c r="Z988" s="334" t="s">
        <v>1764</v>
      </c>
      <c r="AA988" t="s">
        <v>1775</v>
      </c>
      <c r="AB988" s="44"/>
    </row>
    <row r="989" spans="10:28" x14ac:dyDescent="0.3">
      <c r="J989" s="44"/>
      <c r="K989" t="s">
        <v>2011</v>
      </c>
      <c r="L989" t="s">
        <v>2012</v>
      </c>
      <c r="M989" t="s">
        <v>2009</v>
      </c>
      <c r="P989" t="s">
        <v>1765</v>
      </c>
      <c r="Q989" t="str">
        <f>TEXT(Q976,$M$981)&amp;"  ("&amp;TEXT(Q982,$M$981)&amp;"\%)"</f>
        <v>7,3  (-7,0\%)</v>
      </c>
      <c r="R989" t="s">
        <v>1765</v>
      </c>
      <c r="S989" t="str">
        <f>TEXT(S976,$M$981)&amp;"  ("&amp;TEXT(S982,$M$981)&amp;"\%)"</f>
        <v>7,5  (-3,5\%)</v>
      </c>
      <c r="T989" t="s">
        <v>1765</v>
      </c>
      <c r="U989" t="str">
        <f t="shared" ref="U989:U990" si="578">TEXT(U976,$M$981)</f>
        <v>7,8</v>
      </c>
      <c r="V989" t="s">
        <v>1765</v>
      </c>
      <c r="W989" t="str">
        <f t="shared" ref="W989:W990" si="579">TEXT(W976,$M$981)&amp;"  (+"&amp;TEXT(W982,$M$981)&amp;"\%)"</f>
        <v>8,1  (+3,6\%)</v>
      </c>
      <c r="X989" t="s">
        <v>1765</v>
      </c>
      <c r="Y989" t="str">
        <f t="shared" ref="Y989:Y990" si="580">TEXT(Y976,$M$981)&amp;"  (+"&amp;TEXT(Y982,$M$981)&amp;"\%)"</f>
        <v>8,4  (+7,3\%)</v>
      </c>
      <c r="Z989" s="334" t="s">
        <v>1764</v>
      </c>
      <c r="AB989" s="44"/>
    </row>
    <row r="990" spans="10:28" x14ac:dyDescent="0.3">
      <c r="J990" s="44"/>
      <c r="K990" t="s">
        <v>2011</v>
      </c>
      <c r="L990" t="s">
        <v>2010</v>
      </c>
      <c r="M990" t="s">
        <v>2009</v>
      </c>
      <c r="P990" t="s">
        <v>1765</v>
      </c>
      <c r="Q990" t="str">
        <f>TEXT(Q977,$M$981)&amp;"  ("&amp;TEXT(Q983,$M$981)&amp;"\%)"</f>
        <v>119,0  (-6,7\%)</v>
      </c>
      <c r="R990" t="s">
        <v>1765</v>
      </c>
      <c r="S990" t="str">
        <f>TEXT(S977,$M$981)&amp;"  ("&amp;TEXT(S983,$M$981)&amp;"\%)"</f>
        <v>123,2  (-3,4\%)</v>
      </c>
      <c r="T990" t="s">
        <v>1765</v>
      </c>
      <c r="U990" t="str">
        <f t="shared" si="578"/>
        <v>127,5</v>
      </c>
      <c r="V990" t="s">
        <v>1765</v>
      </c>
      <c r="W990" t="str">
        <f t="shared" si="579"/>
        <v>131,8  (+3,4\%)</v>
      </c>
      <c r="X990" t="s">
        <v>1765</v>
      </c>
      <c r="Y990" t="str">
        <f t="shared" si="580"/>
        <v>136,3  (+6,9\%)</v>
      </c>
      <c r="Z990" s="334" t="s">
        <v>1764</v>
      </c>
      <c r="AB990" s="44"/>
    </row>
    <row r="991" spans="10:28" x14ac:dyDescent="0.3">
      <c r="J991" s="44"/>
      <c r="K991" s="44"/>
      <c r="L991" s="44"/>
      <c r="M991" s="44"/>
      <c r="N991" s="44"/>
      <c r="O991" s="44"/>
      <c r="P991" s="44"/>
      <c r="Q991" s="44"/>
      <c r="R991" s="44"/>
      <c r="S991" s="44"/>
      <c r="T991" s="44"/>
      <c r="U991" s="44"/>
      <c r="V991" s="44"/>
      <c r="W991" s="44"/>
      <c r="X991" s="44"/>
      <c r="Y991" s="44"/>
      <c r="Z991" s="44"/>
      <c r="AA991" s="44"/>
      <c r="AB991" s="44"/>
    </row>
    <row r="999" spans="7:37" s="70" customFormat="1" x14ac:dyDescent="0.3">
      <c r="G999" s="361"/>
    </row>
    <row r="1000" spans="7:37" x14ac:dyDescent="0.3">
      <c r="R1000" t="str">
        <f>TEXT(Q976,$M$981)&amp;"  ("&amp;TEXT(Q982,$M$981)&amp;"\%)"</f>
        <v>7,3  (-7,0\%)</v>
      </c>
    </row>
    <row r="1001" spans="7:37" x14ac:dyDescent="0.3">
      <c r="L1001" s="419" t="s">
        <v>2135</v>
      </c>
      <c r="M1001" s="359" t="s">
        <v>2011</v>
      </c>
      <c r="N1001" s="359" t="s">
        <v>2017</v>
      </c>
      <c r="O1001" s="359" t="s">
        <v>2009</v>
      </c>
      <c r="P1001" s="359"/>
      <c r="Q1001" s="359"/>
      <c r="R1001" s="359" t="s">
        <v>1765</v>
      </c>
      <c r="S1001" s="359">
        <f>S1012</f>
        <v>117</v>
      </c>
      <c r="T1001" s="359" t="str">
        <f t="shared" ref="T1001:AB1001" si="581">T1012</f>
        <v>&amp;</v>
      </c>
      <c r="U1001" s="359">
        <f t="shared" si="581"/>
        <v>117</v>
      </c>
      <c r="V1001" s="359" t="str">
        <f t="shared" si="581"/>
        <v>&amp;</v>
      </c>
      <c r="W1001" s="359">
        <f t="shared" si="581"/>
        <v>117</v>
      </c>
      <c r="X1001" s="359" t="str">
        <f t="shared" si="581"/>
        <v>&amp;</v>
      </c>
      <c r="Y1001" s="359">
        <f t="shared" si="581"/>
        <v>90</v>
      </c>
      <c r="Z1001" s="359" t="str">
        <f t="shared" si="581"/>
        <v>&amp;</v>
      </c>
      <c r="AA1001" s="359">
        <f t="shared" si="581"/>
        <v>90</v>
      </c>
      <c r="AB1001" s="359" t="str">
        <f t="shared" si="581"/>
        <v>\\</v>
      </c>
    </row>
    <row r="1002" spans="7:37" x14ac:dyDescent="0.3">
      <c r="M1002" s="359" t="s">
        <v>2011</v>
      </c>
      <c r="N1002" s="359" t="s">
        <v>2018</v>
      </c>
      <c r="O1002" s="359" t="s">
        <v>2009</v>
      </c>
      <c r="P1002" s="359"/>
      <c r="Q1002" s="359"/>
      <c r="R1002" s="359" t="s">
        <v>1765</v>
      </c>
      <c r="S1002" s="359">
        <f t="shared" ref="S1002:AB1002" si="582">S1013</f>
        <v>600</v>
      </c>
      <c r="T1002" s="359" t="str">
        <f t="shared" si="582"/>
        <v>&amp;</v>
      </c>
      <c r="U1002" s="359">
        <f t="shared" si="582"/>
        <v>800</v>
      </c>
      <c r="V1002" s="359" t="str">
        <f t="shared" si="582"/>
        <v>&amp;</v>
      </c>
      <c r="W1002" s="359">
        <f t="shared" si="582"/>
        <v>400</v>
      </c>
      <c r="X1002" s="359" t="str">
        <f t="shared" si="582"/>
        <v>&amp;</v>
      </c>
      <c r="Y1002" s="359">
        <f t="shared" si="582"/>
        <v>347.5</v>
      </c>
      <c r="Z1002" s="359" t="str">
        <f t="shared" si="582"/>
        <v>&amp;</v>
      </c>
      <c r="AA1002" s="359">
        <f t="shared" si="582"/>
        <v>250</v>
      </c>
      <c r="AB1002" s="359" t="str">
        <f t="shared" si="582"/>
        <v>\\</v>
      </c>
      <c r="AE1002" t="s">
        <v>1719</v>
      </c>
      <c r="AF1002" t="s">
        <v>1172</v>
      </c>
    </row>
    <row r="1003" spans="7:37" x14ac:dyDescent="0.3">
      <c r="M1003" s="359" t="s">
        <v>2011</v>
      </c>
      <c r="N1003" s="359" t="s">
        <v>2019</v>
      </c>
      <c r="O1003" s="359" t="s">
        <v>2009</v>
      </c>
      <c r="P1003" s="359"/>
      <c r="Q1003" s="359"/>
      <c r="R1003" s="359" t="s">
        <v>1765</v>
      </c>
      <c r="S1003" s="359">
        <f t="shared" ref="S1003:AB1003" si="583">S1014</f>
        <v>11</v>
      </c>
      <c r="T1003" s="359" t="str">
        <f t="shared" si="583"/>
        <v>&amp;</v>
      </c>
      <c r="U1003" s="359">
        <f t="shared" si="583"/>
        <v>11</v>
      </c>
      <c r="V1003" s="359" t="str">
        <f t="shared" si="583"/>
        <v>&amp;</v>
      </c>
      <c r="W1003" s="359">
        <f t="shared" si="583"/>
        <v>11</v>
      </c>
      <c r="X1003" s="359" t="str">
        <f t="shared" si="583"/>
        <v>&amp;</v>
      </c>
      <c r="Y1003" s="359">
        <f t="shared" si="583"/>
        <v>11.5</v>
      </c>
      <c r="Z1003" s="359" t="str">
        <f t="shared" si="583"/>
        <v>&amp;</v>
      </c>
      <c r="AA1003" s="359">
        <f t="shared" si="583"/>
        <v>11.5</v>
      </c>
      <c r="AB1003" s="359" t="str">
        <f t="shared" si="583"/>
        <v>\\</v>
      </c>
      <c r="AD1003" t="s">
        <v>1502</v>
      </c>
      <c r="AE1003" s="359">
        <f>G83</f>
        <v>12.978117802421346</v>
      </c>
      <c r="AF1003" s="359">
        <f>G112</f>
        <v>7.7982924830457243</v>
      </c>
    </row>
    <row r="1004" spans="7:37" x14ac:dyDescent="0.3">
      <c r="M1004" s="359" t="s">
        <v>2011</v>
      </c>
      <c r="N1004" s="359" t="s">
        <v>2020</v>
      </c>
      <c r="O1004" s="359" t="s">
        <v>2009</v>
      </c>
      <c r="P1004" s="359"/>
      <c r="Q1004" s="359"/>
      <c r="R1004" s="359" t="s">
        <v>1765</v>
      </c>
      <c r="S1004" s="359" t="str">
        <f t="shared" ref="S1004:AB1004" si="584">S1015</f>
        <v>\EspecsAWEA</v>
      </c>
      <c r="T1004" s="359" t="str">
        <f t="shared" si="584"/>
        <v>&amp;</v>
      </c>
      <c r="U1004" s="359" t="str">
        <f t="shared" si="584"/>
        <v>\EspecsAWEA</v>
      </c>
      <c r="V1004" s="359" t="str">
        <f t="shared" si="584"/>
        <v>&amp;</v>
      </c>
      <c r="W1004" s="359" t="str">
        <f t="shared" si="584"/>
        <v>\EspecsAWEA</v>
      </c>
      <c r="X1004" s="359" t="str">
        <f t="shared" si="584"/>
        <v>&amp;</v>
      </c>
      <c r="Y1004" s="359">
        <f t="shared" si="584"/>
        <v>238005</v>
      </c>
      <c r="Z1004" s="359" t="str">
        <f t="shared" si="584"/>
        <v>&amp;</v>
      </c>
      <c r="AA1004" s="359">
        <f t="shared" si="584"/>
        <v>238005</v>
      </c>
      <c r="AB1004" s="359" t="str">
        <f t="shared" si="584"/>
        <v>\\</v>
      </c>
      <c r="AC1004" s="359" t="s">
        <v>1775</v>
      </c>
      <c r="AD1004" t="s">
        <v>1501</v>
      </c>
      <c r="AE1004" s="359">
        <f>G77</f>
        <v>195.01445049283734</v>
      </c>
      <c r="AF1004" s="359">
        <f>G106</f>
        <v>127.46959888687016</v>
      </c>
      <c r="AH1004">
        <f>(U1017-AE1003)/AE1003</f>
        <v>0.12363083244982737</v>
      </c>
      <c r="AI1004">
        <f>(W1017-$AE$1003)/$AE$1003</f>
        <v>-0.12363083244982749</v>
      </c>
      <c r="AJ1004">
        <f>(Y1017-$AE$1003)/$AE$1003</f>
        <v>-0.15608898997732493</v>
      </c>
      <c r="AK1004">
        <f>(AA1017-$AE$1003)/$AE$1003</f>
        <v>-0.2163590207966159</v>
      </c>
    </row>
    <row r="1005" spans="7:37" x14ac:dyDescent="0.3">
      <c r="M1005" s="359" t="s">
        <v>2011</v>
      </c>
      <c r="N1005" s="359" t="s">
        <v>1142</v>
      </c>
      <c r="O1005" s="359" t="s">
        <v>2009</v>
      </c>
      <c r="P1005" s="359"/>
      <c r="Q1005" s="359"/>
      <c r="R1005" s="359" t="s">
        <v>1765</v>
      </c>
      <c r="T1005" s="359" t="str">
        <f t="shared" ref="T1005" si="585">T1016</f>
        <v>&amp;</v>
      </c>
      <c r="V1005" s="359" t="str">
        <f t="shared" ref="V1005" si="586">V1016</f>
        <v>&amp;</v>
      </c>
      <c r="X1005" s="359" t="str">
        <f t="shared" ref="X1005" si="587">X1016</f>
        <v>&amp;</v>
      </c>
      <c r="Z1005" s="359" t="str">
        <f t="shared" ref="Z1005" si="588">Z1016</f>
        <v>&amp;</v>
      </c>
      <c r="AB1005" s="359" t="str">
        <f t="shared" ref="AB1005" si="589">AB1016</f>
        <v>\\</v>
      </c>
      <c r="AC1005" s="359"/>
      <c r="AH1005">
        <f>(U1018-AE1004)/AE1004</f>
        <v>0.11710151328250408</v>
      </c>
      <c r="AI1005">
        <f>(W1018-$AE$1004)/$AE$1004</f>
        <v>-0.11710151328250379</v>
      </c>
      <c r="AJ1005">
        <f>(Y1018-$AE$1004)/$AE$1004</f>
        <v>-0.1478464959491182</v>
      </c>
      <c r="AK1005">
        <f>(AA1018-$AE$1004)/$AE$1004</f>
        <v>-0.20493348367433845</v>
      </c>
    </row>
    <row r="1006" spans="7:37" x14ac:dyDescent="0.3">
      <c r="M1006" s="359" t="s">
        <v>1881</v>
      </c>
      <c r="N1006" s="359" t="s">
        <v>32</v>
      </c>
      <c r="O1006" s="359"/>
      <c r="P1006" s="359"/>
      <c r="Q1006" s="359"/>
      <c r="R1006" s="359" t="s">
        <v>1765</v>
      </c>
      <c r="S1006" s="359" t="str">
        <f>S1017</f>
        <v>\GWPHAWTStageE</v>
      </c>
      <c r="T1006" s="359" t="str">
        <f t="shared" ref="T1006" si="590">T1017</f>
        <v>&amp;</v>
      </c>
      <c r="U1006" t="str">
        <f>TEXT(U1017,$M$981)&amp;"  (+"&amp;TEXT(AH1007,$M$981)&amp;"\%)"</f>
        <v>14,6  (+12,4\%)</v>
      </c>
      <c r="V1006" s="359" t="str">
        <f t="shared" ref="V1006:V1007" si="591">V1017</f>
        <v>&amp;</v>
      </c>
      <c r="W1006" t="str">
        <f>TEXT(W1017,$M$981)&amp;"  ("&amp;TEXT(AI1007,$M$981)&amp;"\%)"</f>
        <v>11,4  (-12,4\%)</v>
      </c>
      <c r="X1006" s="359" t="str">
        <f t="shared" ref="X1006:X1007" si="592">X1017</f>
        <v>&amp;</v>
      </c>
      <c r="Y1006" t="str">
        <f>TEXT(Y1017,$M$981)&amp;"  ("&amp;TEXT(AJ1007,$M$981)&amp;"\%)"</f>
        <v>11,0  (-15,6\%)</v>
      </c>
      <c r="Z1006" s="359" t="str">
        <f t="shared" ref="Z1006:Z1007" si="593">Z1017</f>
        <v>&amp;</v>
      </c>
      <c r="AA1006" t="str">
        <f>TEXT(AA1017,$M$981)&amp;"  ("&amp;TEXT(AK1007,$M$981)&amp;"\%)"</f>
        <v>10,2  (-21,6\%)</v>
      </c>
      <c r="AB1006" s="359" t="str">
        <f t="shared" ref="AB1006" si="594">AB1017</f>
        <v>\\</v>
      </c>
      <c r="AC1006" s="359"/>
    </row>
    <row r="1007" spans="7:37" x14ac:dyDescent="0.3">
      <c r="M1007" s="359" t="s">
        <v>1881</v>
      </c>
      <c r="N1007" s="359" t="s">
        <v>162</v>
      </c>
      <c r="O1007" s="359"/>
      <c r="P1007" s="359"/>
      <c r="Q1007" s="359"/>
      <c r="R1007" s="359" t="s">
        <v>1765</v>
      </c>
      <c r="S1007" s="359" t="str">
        <f>S1018</f>
        <v>\CEDHAWTStageE</v>
      </c>
      <c r="T1007" s="359" t="str">
        <f t="shared" ref="T1007" si="595">T1018</f>
        <v>&amp;</v>
      </c>
      <c r="U1007" t="str">
        <f>TEXT(U1018,$M$981)&amp;"  (+"&amp;TEXT(AH1008,$M$981)&amp;"\%)"</f>
        <v>217,9  (+11,7\%)</v>
      </c>
      <c r="V1007" s="359" t="str">
        <f t="shared" si="591"/>
        <v>&amp;</v>
      </c>
      <c r="W1007" t="str">
        <f>TEXT(W1018,$M$981)&amp;"  ("&amp;TEXT(AI1008,$M$981)&amp;"\%)"</f>
        <v>172,2  (-11,7\%)</v>
      </c>
      <c r="X1007" s="359" t="str">
        <f t="shared" si="592"/>
        <v>&amp;</v>
      </c>
      <c r="Y1007" t="str">
        <f>TEXT(Y1018,$M$981)&amp;"  ("&amp;TEXT(AJ1008,$M$981)&amp;"\%)"</f>
        <v>166,2  (-14,8\%)</v>
      </c>
      <c r="Z1007" s="359" t="str">
        <f t="shared" si="593"/>
        <v>&amp;</v>
      </c>
      <c r="AA1007" t="str">
        <f>TEXT(AA1018,$M$981)&amp;"  ("&amp;TEXT(AK1008,$M$981)&amp;"\%)"</f>
        <v>155,0  (-20,5\%)</v>
      </c>
      <c r="AB1007" s="359" t="str">
        <f t="shared" ref="AB1007" si="596">AB1018</f>
        <v>\\</v>
      </c>
      <c r="AC1007" s="359" t="s">
        <v>1775</v>
      </c>
      <c r="AH1007">
        <f>100*AH1004</f>
        <v>12.363083244982736</v>
      </c>
      <c r="AI1007">
        <f t="shared" ref="AI1007:AK1008" si="597">100*AI1004</f>
        <v>-12.363083244982748</v>
      </c>
      <c r="AJ1007">
        <f t="shared" si="597"/>
        <v>-15.608898997732492</v>
      </c>
      <c r="AK1007">
        <f t="shared" si="597"/>
        <v>-21.635902079661591</v>
      </c>
    </row>
    <row r="1008" spans="7:37" x14ac:dyDescent="0.3">
      <c r="M1008" s="359" t="s">
        <v>2011</v>
      </c>
      <c r="N1008" s="359" t="s">
        <v>1172</v>
      </c>
      <c r="O1008" s="359" t="s">
        <v>2009</v>
      </c>
      <c r="P1008" s="359"/>
      <c r="Q1008" s="359"/>
      <c r="R1008" s="359" t="s">
        <v>1765</v>
      </c>
      <c r="T1008" s="359" t="str">
        <f t="shared" ref="T1008" si="598">T1019</f>
        <v>&amp;</v>
      </c>
      <c r="V1008" s="359" t="str">
        <f t="shared" ref="V1008" si="599">V1019</f>
        <v>&amp;</v>
      </c>
      <c r="X1008" s="359" t="str">
        <f t="shared" ref="X1008" si="600">X1019</f>
        <v>&amp;</v>
      </c>
      <c r="Z1008" s="359" t="str">
        <f t="shared" ref="Z1008" si="601">Z1019</f>
        <v>&amp;</v>
      </c>
      <c r="AB1008" s="359" t="str">
        <f t="shared" ref="AB1008" si="602">AB1019</f>
        <v>\\</v>
      </c>
      <c r="AH1008">
        <f>100*AH1005</f>
        <v>11.710151328250408</v>
      </c>
      <c r="AI1008">
        <f t="shared" si="597"/>
        <v>-11.71015132825038</v>
      </c>
      <c r="AJ1008">
        <f t="shared" si="597"/>
        <v>-14.784649594911819</v>
      </c>
      <c r="AK1008">
        <f t="shared" si="597"/>
        <v>-20.493348367433846</v>
      </c>
    </row>
    <row r="1009" spans="12:38" x14ac:dyDescent="0.3">
      <c r="M1009" s="359" t="s">
        <v>1881</v>
      </c>
      <c r="N1009" s="359" t="s">
        <v>32</v>
      </c>
      <c r="O1009" s="359"/>
      <c r="P1009" s="359"/>
      <c r="Q1009" s="359"/>
      <c r="R1009" s="359" t="s">
        <v>1765</v>
      </c>
      <c r="S1009" s="359" t="str">
        <f>S1020</f>
        <v>\GWPAWEStageE</v>
      </c>
      <c r="T1009" s="359" t="str">
        <f t="shared" ref="T1009" si="603">T1020</f>
        <v>&amp;</v>
      </c>
      <c r="U1009" s="359" t="str">
        <f>U1020</f>
        <v>\GWPAWEStageE</v>
      </c>
      <c r="V1009" s="359" t="str">
        <f t="shared" ref="V1009" si="604">V1020</f>
        <v>&amp;</v>
      </c>
      <c r="W1009" s="359" t="str">
        <f>W1020</f>
        <v>\GWPAWEStageE</v>
      </c>
      <c r="X1009" s="359" t="str">
        <f t="shared" ref="X1009" si="605">X1020</f>
        <v>&amp;</v>
      </c>
      <c r="Y1009" t="str">
        <f>TEXT(Y1020,$M$981)&amp;"  ("&amp;TEXT(AK1011,$M$981)&amp;"\%)"</f>
        <v>7,6  (-2,8\%)</v>
      </c>
      <c r="Z1009" s="359" t="str">
        <f t="shared" ref="Z1009" si="606">Z1020</f>
        <v>&amp;</v>
      </c>
      <c r="AA1009" t="str">
        <f>TEXT(AA1020,$M$981)&amp;"  ("&amp;TEXT(AL1011,$M$981)&amp;"\%)"</f>
        <v>7,6  (-2,8\%)</v>
      </c>
      <c r="AB1009" s="359" t="str">
        <f t="shared" ref="AB1009" si="607">AB1020</f>
        <v>\\</v>
      </c>
    </row>
    <row r="1010" spans="12:38" x14ac:dyDescent="0.3">
      <c r="M1010" s="359" t="s">
        <v>1881</v>
      </c>
      <c r="N1010" s="359" t="s">
        <v>162</v>
      </c>
      <c r="O1010" s="359"/>
      <c r="P1010" s="359"/>
      <c r="Q1010" s="359"/>
      <c r="R1010" s="359" t="s">
        <v>1765</v>
      </c>
      <c r="S1010" s="359" t="str">
        <f>S1021</f>
        <v>\CEDAWEStageE</v>
      </c>
      <c r="T1010" s="359" t="str">
        <f t="shared" ref="T1010" si="608">T1021</f>
        <v>&amp;</v>
      </c>
      <c r="U1010" s="359" t="str">
        <f>U1021</f>
        <v>\CEDAWEStageE</v>
      </c>
      <c r="V1010" s="359" t="str">
        <f t="shared" ref="V1010" si="609">V1021</f>
        <v>&amp;</v>
      </c>
      <c r="W1010" s="359" t="str">
        <f>W1021</f>
        <v>\CEDAWEStageE</v>
      </c>
      <c r="X1010" s="359" t="str">
        <f t="shared" ref="X1010" si="610">X1021</f>
        <v>&amp;</v>
      </c>
      <c r="Y1010" t="str">
        <f>TEXT(Y1021,$M$981)&amp;"  ("&amp;TEXT(AK1012,$M$981)&amp;"\%)"</f>
        <v>123,9  (-2,8\%)</v>
      </c>
      <c r="Z1010" s="359" t="str">
        <f t="shared" ref="Z1010" si="611">Z1021</f>
        <v>&amp;</v>
      </c>
      <c r="AA1010" t="str">
        <f>TEXT(AA1021,$M$981)&amp;"  ("&amp;TEXT(AL1012,$M$981)&amp;"\%)"</f>
        <v>123,9  (-2,8\%)</v>
      </c>
      <c r="AB1010" s="359" t="str">
        <f t="shared" ref="AB1010" si="612">AB1021</f>
        <v>\\</v>
      </c>
      <c r="AF1010" t="s">
        <v>1172</v>
      </c>
    </row>
    <row r="1011" spans="12:38" x14ac:dyDescent="0.3">
      <c r="L1011" s="47"/>
      <c r="M1011" s="47"/>
      <c r="N1011" s="47"/>
      <c r="O1011" s="47"/>
      <c r="P1011" s="47"/>
      <c r="Q1011" s="47" t="s">
        <v>2021</v>
      </c>
      <c r="R1011" s="47"/>
      <c r="S1011" s="47"/>
      <c r="T1011" s="47"/>
      <c r="U1011" s="47"/>
      <c r="V1011" s="47"/>
      <c r="W1011" s="47"/>
      <c r="X1011" s="47"/>
      <c r="Y1011" s="47"/>
      <c r="Z1011" s="47"/>
      <c r="AA1011" s="47"/>
      <c r="AB1011" s="47"/>
      <c r="AF1011" t="s">
        <v>2028</v>
      </c>
      <c r="AH1011" s="2">
        <f>M8</f>
        <v>3606928.6255981736</v>
      </c>
      <c r="AK1011">
        <f>100*(Y1020-$AF$1003)/$AF$1003</f>
        <v>-2.8322934392134425</v>
      </c>
      <c r="AL1011">
        <f>100*(AA1020-$AF$1003)/$AF$1003</f>
        <v>-2.8322934392134425</v>
      </c>
    </row>
    <row r="1012" spans="12:38" x14ac:dyDescent="0.3">
      <c r="M1012" s="359" t="s">
        <v>2011</v>
      </c>
      <c r="N1012" s="359" t="s">
        <v>2017</v>
      </c>
      <c r="O1012" s="359" t="s">
        <v>2009</v>
      </c>
      <c r="P1012" s="359" t="s">
        <v>1765</v>
      </c>
      <c r="Q1012" s="359" t="s">
        <v>91</v>
      </c>
      <c r="R1012" s="359" t="s">
        <v>1765</v>
      </c>
      <c r="S1012" s="359">
        <v>117</v>
      </c>
      <c r="T1012" s="359" t="s">
        <v>1765</v>
      </c>
      <c r="U1012" s="359">
        <v>117</v>
      </c>
      <c r="V1012" s="359" t="s">
        <v>1765</v>
      </c>
      <c r="W1012" s="359">
        <v>117</v>
      </c>
      <c r="X1012" s="359" t="s">
        <v>1765</v>
      </c>
      <c r="Y1012" s="359">
        <v>90</v>
      </c>
      <c r="Z1012" s="359" t="s">
        <v>1765</v>
      </c>
      <c r="AA1012" s="359">
        <v>90</v>
      </c>
      <c r="AB1012" s="363" t="s">
        <v>1764</v>
      </c>
      <c r="AC1012" s="359"/>
      <c r="AD1012" s="359"/>
      <c r="AF1012" t="s">
        <v>2029</v>
      </c>
      <c r="AH1012" s="2">
        <f>N8</f>
        <v>58958258.633946277</v>
      </c>
      <c r="AK1012">
        <f>100*(Y1021-$AF$1004)/$AF$1004</f>
        <v>-2.8322934392134735</v>
      </c>
      <c r="AL1012">
        <f>100*(AA1021-$AF$1004)/$AF$1004</f>
        <v>-2.8322934392134735</v>
      </c>
    </row>
    <row r="1013" spans="12:38" x14ac:dyDescent="0.3">
      <c r="M1013" s="359" t="s">
        <v>2011</v>
      </c>
      <c r="N1013" s="359" t="s">
        <v>2018</v>
      </c>
      <c r="O1013" s="359" t="s">
        <v>2009</v>
      </c>
      <c r="P1013" s="359" t="s">
        <v>1765</v>
      </c>
      <c r="Q1013" s="359" t="s">
        <v>1288</v>
      </c>
      <c r="R1013" s="359" t="s">
        <v>1765</v>
      </c>
      <c r="S1013" s="359">
        <f>AG1021/1000</f>
        <v>600</v>
      </c>
      <c r="T1013" s="359" t="s">
        <v>1765</v>
      </c>
      <c r="U1013" s="359">
        <f>AI1021/1000</f>
        <v>800</v>
      </c>
      <c r="V1013" s="359" t="s">
        <v>1765</v>
      </c>
      <c r="W1013" s="359">
        <f>AJ1021/1000</f>
        <v>400</v>
      </c>
      <c r="X1013" s="359" t="s">
        <v>1765</v>
      </c>
      <c r="Y1013" s="359">
        <v>347.5</v>
      </c>
      <c r="Z1013" s="359" t="s">
        <v>1765</v>
      </c>
      <c r="AA1013" s="359">
        <v>250</v>
      </c>
      <c r="AB1013" s="363" t="s">
        <v>1764</v>
      </c>
      <c r="AC1013" s="359"/>
      <c r="AD1013" s="359"/>
    </row>
    <row r="1014" spans="12:38" x14ac:dyDescent="0.3">
      <c r="M1014" s="359" t="s">
        <v>2011</v>
      </c>
      <c r="N1014" s="359" t="s">
        <v>2019</v>
      </c>
      <c r="O1014" s="359" t="s">
        <v>2009</v>
      </c>
      <c r="P1014" s="359" t="s">
        <v>1765</v>
      </c>
      <c r="Q1014" s="359" t="s">
        <v>2022</v>
      </c>
      <c r="R1014" s="359" t="s">
        <v>1765</v>
      </c>
      <c r="S1014" s="359">
        <v>11</v>
      </c>
      <c r="T1014" s="359" t="s">
        <v>1765</v>
      </c>
      <c r="U1014" s="359">
        <v>11</v>
      </c>
      <c r="V1014" s="359" t="s">
        <v>1765</v>
      </c>
      <c r="W1014" s="359">
        <v>11</v>
      </c>
      <c r="X1014" s="359" t="s">
        <v>1765</v>
      </c>
      <c r="Y1014" s="359">
        <v>11.5</v>
      </c>
      <c r="Z1014" s="359" t="s">
        <v>1765</v>
      </c>
      <c r="AA1014" s="359">
        <f>Y1014</f>
        <v>11.5</v>
      </c>
      <c r="AB1014" s="363" t="s">
        <v>1764</v>
      </c>
      <c r="AC1014" s="359"/>
      <c r="AD1014" s="359"/>
    </row>
    <row r="1015" spans="12:38" x14ac:dyDescent="0.3">
      <c r="M1015" s="359" t="s">
        <v>2011</v>
      </c>
      <c r="N1015" s="359" t="s">
        <v>2020</v>
      </c>
      <c r="O1015" s="359" t="s">
        <v>2009</v>
      </c>
      <c r="P1015" s="359" t="s">
        <v>1765</v>
      </c>
      <c r="Q1015" s="359" t="s">
        <v>1933</v>
      </c>
      <c r="R1015" s="359" t="s">
        <v>1765</v>
      </c>
      <c r="S1015" s="359" t="s">
        <v>2023</v>
      </c>
      <c r="T1015" s="359" t="s">
        <v>1765</v>
      </c>
      <c r="U1015" s="359" t="s">
        <v>2023</v>
      </c>
      <c r="V1015" s="359" t="s">
        <v>1765</v>
      </c>
      <c r="W1015" s="359" t="s">
        <v>2023</v>
      </c>
      <c r="X1015" s="359" t="s">
        <v>1765</v>
      </c>
      <c r="Y1015" s="359">
        <v>238005</v>
      </c>
      <c r="Z1015" s="359" t="s">
        <v>1765</v>
      </c>
      <c r="AA1015" s="359">
        <f>Y1015</f>
        <v>238005</v>
      </c>
      <c r="AB1015" s="363" t="s">
        <v>1764</v>
      </c>
      <c r="AC1015" s="359"/>
      <c r="AD1015" s="359" t="s">
        <v>1775</v>
      </c>
    </row>
    <row r="1016" spans="12:38" x14ac:dyDescent="0.3">
      <c r="M1016" s="359" t="s">
        <v>2011</v>
      </c>
      <c r="N1016" s="359" t="s">
        <v>1142</v>
      </c>
      <c r="O1016" s="359" t="s">
        <v>2009</v>
      </c>
      <c r="P1016" s="359" t="s">
        <v>1765</v>
      </c>
      <c r="Q1016" s="359"/>
      <c r="R1016" s="359" t="s">
        <v>1765</v>
      </c>
      <c r="S1016" s="359"/>
      <c r="T1016" s="359" t="s">
        <v>1765</v>
      </c>
      <c r="U1016" s="359"/>
      <c r="V1016" s="359" t="s">
        <v>1765</v>
      </c>
      <c r="W1016" s="359"/>
      <c r="X1016" s="359" t="s">
        <v>1765</v>
      </c>
      <c r="Y1016" s="359"/>
      <c r="Z1016" s="359" t="s">
        <v>1765</v>
      </c>
      <c r="AA1016" s="359"/>
      <c r="AB1016" s="363" t="s">
        <v>1764</v>
      </c>
      <c r="AC1016" s="359"/>
      <c r="AD1016" s="359"/>
    </row>
    <row r="1017" spans="12:38" x14ac:dyDescent="0.3">
      <c r="M1017" s="359" t="s">
        <v>1881</v>
      </c>
      <c r="N1017" s="359" t="s">
        <v>32</v>
      </c>
      <c r="O1017" s="359"/>
      <c r="P1017" s="359" t="s">
        <v>1765</v>
      </c>
      <c r="Q1017" s="359" t="s">
        <v>2014</v>
      </c>
      <c r="R1017" s="359" t="s">
        <v>1765</v>
      </c>
      <c r="S1017" s="359" t="s">
        <v>2027</v>
      </c>
      <c r="T1017" s="359" t="s">
        <v>1765</v>
      </c>
      <c r="U1017" s="359">
        <f>AI1024</f>
        <v>14.582613309966622</v>
      </c>
      <c r="V1017" s="359" t="s">
        <v>1765</v>
      </c>
      <c r="W1017" s="359">
        <f>AJ1024</f>
        <v>11.373622294876069</v>
      </c>
      <c r="X1017" s="359" t="s">
        <v>1765</v>
      </c>
      <c r="Y1017" s="359">
        <f>AH1024</f>
        <v>10.952376502834658</v>
      </c>
      <c r="Z1017" s="359" t="s">
        <v>1765</v>
      </c>
      <c r="AA1017" s="359">
        <f>AK1024</f>
        <v>10.170184942906335</v>
      </c>
      <c r="AB1017" s="363" t="s">
        <v>1764</v>
      </c>
      <c r="AC1017" s="359"/>
      <c r="AD1017" s="359"/>
    </row>
    <row r="1018" spans="12:38" x14ac:dyDescent="0.3">
      <c r="M1018" s="359" t="s">
        <v>1881</v>
      </c>
      <c r="N1018" s="359" t="s">
        <v>162</v>
      </c>
      <c r="O1018" s="359"/>
      <c r="P1018" s="359" t="s">
        <v>1765</v>
      </c>
      <c r="Q1018" s="359" t="s">
        <v>2015</v>
      </c>
      <c r="R1018" s="359" t="s">
        <v>1765</v>
      </c>
      <c r="S1018" s="359" t="s">
        <v>2026</v>
      </c>
      <c r="T1018" s="359" t="s">
        <v>1765</v>
      </c>
      <c r="U1018" s="359">
        <f>AI1025</f>
        <v>217.85093775750457</v>
      </c>
      <c r="V1018" s="359" t="s">
        <v>1765</v>
      </c>
      <c r="W1018" s="359">
        <f>AJ1025</f>
        <v>172.17796322817017</v>
      </c>
      <c r="X1018" s="359" t="s">
        <v>1765</v>
      </c>
      <c r="Y1018" s="359">
        <f>AH1025</f>
        <v>166.18224732802855</v>
      </c>
      <c r="Z1018" s="359" t="s">
        <v>1765</v>
      </c>
      <c r="AA1018" s="359">
        <f>AK1025</f>
        <v>155.04945978650338</v>
      </c>
      <c r="AB1018" s="363" t="s">
        <v>1764</v>
      </c>
      <c r="AC1018" s="359"/>
      <c r="AD1018" s="359" t="s">
        <v>1775</v>
      </c>
    </row>
    <row r="1019" spans="12:38" x14ac:dyDescent="0.3">
      <c r="M1019" s="359" t="s">
        <v>2011</v>
      </c>
      <c r="N1019" s="359" t="s">
        <v>1172</v>
      </c>
      <c r="O1019" s="359" t="s">
        <v>2009</v>
      </c>
      <c r="P1019" s="359" t="s">
        <v>1765</v>
      </c>
      <c r="Q1019" s="359"/>
      <c r="R1019" s="359" t="s">
        <v>1765</v>
      </c>
      <c r="S1019" s="359"/>
      <c r="T1019" s="359" t="s">
        <v>1765</v>
      </c>
      <c r="U1019" s="359"/>
      <c r="V1019" s="359" t="s">
        <v>1765</v>
      </c>
      <c r="W1019" s="359"/>
      <c r="X1019" s="359" t="s">
        <v>1765</v>
      </c>
      <c r="Y1019" s="359"/>
      <c r="Z1019" s="359" t="s">
        <v>1765</v>
      </c>
      <c r="AA1019" s="359"/>
      <c r="AB1019" s="363" t="s">
        <v>1764</v>
      </c>
      <c r="AC1019" s="359"/>
      <c r="AD1019" s="359"/>
    </row>
    <row r="1020" spans="12:38" x14ac:dyDescent="0.3">
      <c r="M1020" s="359" t="s">
        <v>1881</v>
      </c>
      <c r="N1020" s="359" t="s">
        <v>32</v>
      </c>
      <c r="O1020" s="359"/>
      <c r="P1020" s="359" t="s">
        <v>1765</v>
      </c>
      <c r="Q1020" s="359" t="s">
        <v>2014</v>
      </c>
      <c r="R1020" s="359" t="s">
        <v>1765</v>
      </c>
      <c r="S1020" s="359" t="s">
        <v>2025</v>
      </c>
      <c r="T1020" s="359" t="s">
        <v>1765</v>
      </c>
      <c r="U1020" s="359" t="s">
        <v>2025</v>
      </c>
      <c r="V1020" s="359" t="s">
        <v>1765</v>
      </c>
      <c r="W1020" s="359" t="s">
        <v>2025</v>
      </c>
      <c r="X1020" s="359" t="s">
        <v>1765</v>
      </c>
      <c r="Y1020" s="359">
        <f>AH1011/(2*Y1015)</f>
        <v>7.5774219566777452</v>
      </c>
      <c r="Z1020" s="359" t="s">
        <v>1765</v>
      </c>
      <c r="AA1020" s="359">
        <f>Y1020</f>
        <v>7.5774219566777452</v>
      </c>
      <c r="AB1020" s="363" t="s">
        <v>1764</v>
      </c>
      <c r="AC1020" s="359"/>
      <c r="AD1020" s="359"/>
      <c r="AG1020" s="47" t="s">
        <v>2031</v>
      </c>
      <c r="AH1020" s="47"/>
      <c r="AI1020" s="47"/>
      <c r="AJ1020" s="47"/>
    </row>
    <row r="1021" spans="12:38" x14ac:dyDescent="0.3">
      <c r="M1021" s="359" t="s">
        <v>1881</v>
      </c>
      <c r="N1021" s="359" t="s">
        <v>162</v>
      </c>
      <c r="O1021" s="359"/>
      <c r="P1021" s="359" t="s">
        <v>1765</v>
      </c>
      <c r="Q1021" s="359" t="s">
        <v>2015</v>
      </c>
      <c r="R1021" s="359" t="s">
        <v>1765</v>
      </c>
      <c r="S1021" s="359" t="s">
        <v>2024</v>
      </c>
      <c r="T1021" s="359" t="s">
        <v>1765</v>
      </c>
      <c r="U1021" s="359" t="s">
        <v>2024</v>
      </c>
      <c r="V1021" s="359" t="s">
        <v>1765</v>
      </c>
      <c r="W1021" s="359" t="s">
        <v>2024</v>
      </c>
      <c r="X1021" s="359" t="s">
        <v>1765</v>
      </c>
      <c r="Y1021" s="359">
        <f>AH1012/(2*Y1015)</f>
        <v>123.8592858006056</v>
      </c>
      <c r="Z1021" s="359" t="s">
        <v>1765</v>
      </c>
      <c r="AA1021" s="359">
        <f>Y1021</f>
        <v>123.8592858006056</v>
      </c>
      <c r="AB1021" s="363" t="s">
        <v>1764</v>
      </c>
      <c r="AC1021" s="359"/>
      <c r="AD1021" s="359"/>
      <c r="AG1021" s="2">
        <f>HAWT!T93</f>
        <v>600000</v>
      </c>
      <c r="AH1021" s="2">
        <f>HAWT!U93</f>
        <v>347500</v>
      </c>
      <c r="AI1021" s="2">
        <f>HAWT!V93</f>
        <v>800000</v>
      </c>
      <c r="AJ1021" s="2">
        <f>HAWT!W93</f>
        <v>400000</v>
      </c>
      <c r="AK1021" s="2">
        <f>HAWT!X93</f>
        <v>250000</v>
      </c>
    </row>
    <row r="1022" spans="12:38" x14ac:dyDescent="0.3">
      <c r="M1022" s="359"/>
      <c r="N1022" s="359"/>
      <c r="O1022" s="359"/>
      <c r="P1022" s="359"/>
      <c r="Q1022" s="359"/>
      <c r="R1022" s="359"/>
      <c r="S1022" s="359"/>
      <c r="T1022" s="359"/>
      <c r="U1022" s="359"/>
      <c r="V1022" s="359"/>
      <c r="W1022" s="359"/>
      <c r="X1022" s="359"/>
      <c r="Y1022" s="359"/>
      <c r="Z1022" s="359"/>
      <c r="AA1022" s="359"/>
      <c r="AB1022" s="359"/>
      <c r="AC1022" s="359"/>
      <c r="AD1022" s="359"/>
      <c r="AG1022" s="2">
        <f>HAWT!T94</f>
        <v>117</v>
      </c>
      <c r="AH1022" s="2">
        <f>HAWT!U94</f>
        <v>90</v>
      </c>
      <c r="AI1022" s="2">
        <f>HAWT!V94</f>
        <v>117</v>
      </c>
      <c r="AJ1022" s="2">
        <f>HAWT!W94</f>
        <v>117</v>
      </c>
      <c r="AK1022" s="2">
        <f>HAWT!X94</f>
        <v>90</v>
      </c>
    </row>
    <row r="1023" spans="12:38" x14ac:dyDescent="0.3">
      <c r="AG1023" s="2">
        <f>HAWT!T95</f>
        <v>0</v>
      </c>
      <c r="AH1023" s="2">
        <f>HAWT!U95</f>
        <v>0</v>
      </c>
      <c r="AI1023" s="2">
        <f>HAWT!V95</f>
        <v>0</v>
      </c>
      <c r="AJ1023" s="2">
        <f>HAWT!W95</f>
        <v>0</v>
      </c>
      <c r="AK1023" s="2">
        <f>HAWT!X95</f>
        <v>0</v>
      </c>
    </row>
    <row r="1024" spans="12:38" x14ac:dyDescent="0.3">
      <c r="X1024" t="s">
        <v>1765</v>
      </c>
      <c r="AG1024" s="2">
        <f>HAWT!T96</f>
        <v>12.978117802421345</v>
      </c>
      <c r="AH1024" s="2">
        <f>HAWT!U96</f>
        <v>10.952376502834658</v>
      </c>
      <c r="AI1024" s="2">
        <f>HAWT!V96</f>
        <v>14.582613309966622</v>
      </c>
      <c r="AJ1024" s="2">
        <f>HAWT!W96</f>
        <v>11.373622294876069</v>
      </c>
      <c r="AK1024" s="2">
        <f>HAWT!X96</f>
        <v>10.170184942906335</v>
      </c>
    </row>
    <row r="1025" spans="2:37" s="70" customFormat="1" x14ac:dyDescent="0.3">
      <c r="G1025" s="361"/>
      <c r="AG1025" s="70">
        <f>HAWT!T97</f>
        <v>195.01445049283737</v>
      </c>
      <c r="AH1025" s="70">
        <f>HAWT!U97</f>
        <v>166.18224732802855</v>
      </c>
      <c r="AI1025" s="70">
        <f>HAWT!V97</f>
        <v>217.85093775750457</v>
      </c>
      <c r="AJ1025" s="70">
        <f>HAWT!W97</f>
        <v>172.17796322817017</v>
      </c>
      <c r="AK1025" s="70">
        <f>HAWT!X97</f>
        <v>155.04945978650338</v>
      </c>
    </row>
    <row r="1026" spans="2:37" x14ac:dyDescent="0.3">
      <c r="B1026" s="42" t="s">
        <v>2032</v>
      </c>
      <c r="C1026" s="42"/>
      <c r="E1026" s="42" t="s">
        <v>1172</v>
      </c>
      <c r="F1026" s="42" t="s">
        <v>2033</v>
      </c>
      <c r="G1026" s="362" t="s">
        <v>1791</v>
      </c>
      <c r="H1026" s="42"/>
      <c r="I1026" s="42" t="str">
        <f>"%" &amp;F1026 &amp;G1026 &amp;B1026 &amp;G1026  &amp;E1026</f>
        <v>%other .other stuff.AWE</v>
      </c>
      <c r="J1026" s="42" t="str">
        <f>"\"&amp;B1026&amp;E1026&amp;F1026</f>
        <v xml:space="preserve">\other stuffAWEother </v>
      </c>
    </row>
    <row r="1027" spans="2:37" x14ac:dyDescent="0.3">
      <c r="C1027" s="42" t="s">
        <v>720</v>
      </c>
      <c r="D1027" s="42" t="s">
        <v>852</v>
      </c>
      <c r="E1027" t="str">
        <f t="shared" ref="E1027" si="613">E1026</f>
        <v>AWE</v>
      </c>
      <c r="F1027" t="s">
        <v>32</v>
      </c>
      <c r="G1027" s="359">
        <f t="shared" ref="G1027:G1038" si="614">L1027</f>
        <v>0</v>
      </c>
      <c r="H1027" t="s">
        <v>2034</v>
      </c>
      <c r="I1027" t="str">
        <f t="shared" ref="I1027:I1038" si="615">"\newcommand{"&amp;J1027&amp;"}{"&amp;TEXT(G1027,$H$13)&amp;"}%"&amp;H1027</f>
        <v>\newcommand{\otherAWEGWPA}{0,0}%mass of AWE vs HAWT</v>
      </c>
      <c r="J1027" t="str">
        <f t="shared" ref="J1027:J1038" si="616">"\"&amp;D1027&amp;E1027&amp;F1027&amp;C1027</f>
        <v>\otherAWEGWPA</v>
      </c>
      <c r="AD1027" t="s">
        <v>1765</v>
      </c>
      <c r="AF1027" t="s">
        <v>1765</v>
      </c>
    </row>
    <row r="1028" spans="2:37" x14ac:dyDescent="0.3">
      <c r="C1028" t="s">
        <v>788</v>
      </c>
      <c r="D1028" t="str">
        <f t="shared" ref="D1028:F1036" si="617">D1027</f>
        <v>other</v>
      </c>
      <c r="E1028" t="str">
        <f t="shared" si="617"/>
        <v>AWE</v>
      </c>
      <c r="F1028" t="str">
        <f t="shared" si="617"/>
        <v>GWP</v>
      </c>
      <c r="G1028" s="359">
        <f t="shared" si="614"/>
        <v>0</v>
      </c>
      <c r="I1028" t="str">
        <f t="shared" si="615"/>
        <v>\newcommand{\otherAWEGWPB}{0,0}%</v>
      </c>
      <c r="J1028" t="str">
        <f t="shared" si="616"/>
        <v>\otherAWEGWPB</v>
      </c>
      <c r="AD1028" t="s">
        <v>1765</v>
      </c>
      <c r="AF1028" t="s">
        <v>1765</v>
      </c>
    </row>
    <row r="1029" spans="2:37" x14ac:dyDescent="0.3">
      <c r="C1029" t="s">
        <v>790</v>
      </c>
      <c r="D1029" t="str">
        <f t="shared" si="617"/>
        <v>other</v>
      </c>
      <c r="E1029" t="str">
        <f t="shared" si="617"/>
        <v>AWE</v>
      </c>
      <c r="F1029" t="str">
        <f t="shared" si="617"/>
        <v>GWP</v>
      </c>
      <c r="G1029" s="359">
        <f t="shared" si="614"/>
        <v>0</v>
      </c>
      <c r="I1029" t="str">
        <f t="shared" si="615"/>
        <v>\newcommand{\otherAWEGWPC}{0,0}%</v>
      </c>
      <c r="J1029" t="str">
        <f t="shared" si="616"/>
        <v>\otherAWEGWPC</v>
      </c>
      <c r="AD1029" t="s">
        <v>1765</v>
      </c>
      <c r="AF1029" t="s">
        <v>1765</v>
      </c>
    </row>
    <row r="1030" spans="2:37" x14ac:dyDescent="0.3">
      <c r="C1030" t="s">
        <v>1786</v>
      </c>
      <c r="D1030" t="str">
        <f t="shared" si="617"/>
        <v>other</v>
      </c>
      <c r="E1030" t="str">
        <f t="shared" si="617"/>
        <v>AWE</v>
      </c>
      <c r="F1030" t="str">
        <f t="shared" si="617"/>
        <v>GWP</v>
      </c>
      <c r="G1030" s="359">
        <f t="shared" si="614"/>
        <v>0</v>
      </c>
      <c r="I1030" t="str">
        <f t="shared" si="615"/>
        <v>\newcommand{\otherAWEGWPD}{0,0}%</v>
      </c>
      <c r="J1030" t="str">
        <f t="shared" si="616"/>
        <v>\otherAWEGWPD</v>
      </c>
      <c r="AD1030" t="s">
        <v>1765</v>
      </c>
      <c r="AF1030" t="s">
        <v>1765</v>
      </c>
    </row>
    <row r="1031" spans="2:37" x14ac:dyDescent="0.3">
      <c r="C1031" t="s">
        <v>1784</v>
      </c>
      <c r="D1031" t="str">
        <f t="shared" si="617"/>
        <v>other</v>
      </c>
      <c r="E1031" t="str">
        <f t="shared" si="617"/>
        <v>AWE</v>
      </c>
      <c r="F1031" t="str">
        <f t="shared" si="617"/>
        <v>GWP</v>
      </c>
      <c r="G1031" s="359">
        <f t="shared" si="614"/>
        <v>0</v>
      </c>
      <c r="I1031" t="str">
        <f t="shared" si="615"/>
        <v>\newcommand{\otherAWEGWPE}{0,0}%</v>
      </c>
      <c r="J1031" t="str">
        <f t="shared" si="616"/>
        <v>\otherAWEGWPE</v>
      </c>
      <c r="AD1031" t="s">
        <v>1765</v>
      </c>
      <c r="AF1031" t="s">
        <v>1765</v>
      </c>
    </row>
    <row r="1032" spans="2:37" x14ac:dyDescent="0.3">
      <c r="C1032" t="s">
        <v>1783</v>
      </c>
      <c r="D1032" t="str">
        <f t="shared" si="617"/>
        <v>other</v>
      </c>
      <c r="E1032" t="str">
        <f t="shared" si="617"/>
        <v>AWE</v>
      </c>
      <c r="F1032" t="str">
        <f t="shared" si="617"/>
        <v>GWP</v>
      </c>
      <c r="G1032" s="359">
        <f t="shared" si="614"/>
        <v>0</v>
      </c>
      <c r="I1032" t="str">
        <f t="shared" si="615"/>
        <v>\newcommand{\otherAWEGWPF}{0,0}%</v>
      </c>
      <c r="J1032" t="str">
        <f t="shared" si="616"/>
        <v>\otherAWEGWPF</v>
      </c>
      <c r="AD1032" t="s">
        <v>1765</v>
      </c>
      <c r="AF1032" t="s">
        <v>1765</v>
      </c>
    </row>
    <row r="1033" spans="2:37" x14ac:dyDescent="0.3">
      <c r="C1033" t="s">
        <v>1782</v>
      </c>
      <c r="D1033" t="str">
        <f t="shared" si="617"/>
        <v>other</v>
      </c>
      <c r="E1033" t="str">
        <f t="shared" si="617"/>
        <v>AWE</v>
      </c>
      <c r="F1033" t="str">
        <f t="shared" si="617"/>
        <v>GWP</v>
      </c>
      <c r="G1033" s="359">
        <f t="shared" si="614"/>
        <v>0</v>
      </c>
      <c r="I1033" t="str">
        <f t="shared" si="615"/>
        <v>\newcommand{\otherAWEGWPG}{0,0}%</v>
      </c>
      <c r="J1033" t="str">
        <f t="shared" si="616"/>
        <v>\otherAWEGWPG</v>
      </c>
      <c r="AD1033" t="s">
        <v>1765</v>
      </c>
      <c r="AF1033" t="s">
        <v>1765</v>
      </c>
    </row>
    <row r="1034" spans="2:37" x14ac:dyDescent="0.3">
      <c r="C1034" t="s">
        <v>1798</v>
      </c>
      <c r="D1034" t="str">
        <f t="shared" si="617"/>
        <v>other</v>
      </c>
      <c r="E1034" t="str">
        <f t="shared" si="617"/>
        <v>AWE</v>
      </c>
      <c r="F1034" t="str">
        <f t="shared" si="617"/>
        <v>GWP</v>
      </c>
      <c r="G1034" s="359">
        <f t="shared" si="614"/>
        <v>0</v>
      </c>
      <c r="I1034" t="str">
        <f t="shared" si="615"/>
        <v>\newcommand{\otherAWEGWPH}{0,0}%</v>
      </c>
      <c r="J1034" t="str">
        <f t="shared" si="616"/>
        <v>\otherAWEGWPH</v>
      </c>
      <c r="AD1034" t="s">
        <v>1765</v>
      </c>
      <c r="AF1034" t="s">
        <v>1765</v>
      </c>
    </row>
    <row r="1035" spans="2:37" x14ac:dyDescent="0.3">
      <c r="C1035" t="s">
        <v>1796</v>
      </c>
      <c r="D1035" t="str">
        <f t="shared" si="617"/>
        <v>other</v>
      </c>
      <c r="E1035" t="str">
        <f t="shared" si="617"/>
        <v>AWE</v>
      </c>
      <c r="F1035" t="str">
        <f t="shared" si="617"/>
        <v>GWP</v>
      </c>
      <c r="G1035" s="359">
        <f t="shared" si="614"/>
        <v>0</v>
      </c>
      <c r="I1035" t="str">
        <f t="shared" si="615"/>
        <v>\newcommand{\otherAWEGWPI}{0,0}%</v>
      </c>
      <c r="J1035" t="str">
        <f t="shared" si="616"/>
        <v>\otherAWEGWPI</v>
      </c>
      <c r="M1035" s="419" t="s">
        <v>2135</v>
      </c>
      <c r="O1035" t="s">
        <v>2136</v>
      </c>
      <c r="AD1035" t="s">
        <v>1765</v>
      </c>
      <c r="AF1035" t="s">
        <v>1765</v>
      </c>
    </row>
    <row r="1036" spans="2:37" x14ac:dyDescent="0.3">
      <c r="C1036" t="s">
        <v>1794</v>
      </c>
      <c r="D1036" t="str">
        <f t="shared" si="617"/>
        <v>other</v>
      </c>
      <c r="E1036" t="str">
        <f t="shared" si="617"/>
        <v>AWE</v>
      </c>
      <c r="F1036" t="str">
        <f t="shared" si="617"/>
        <v>GWP</v>
      </c>
      <c r="G1036" s="359">
        <f t="shared" si="614"/>
        <v>0</v>
      </c>
      <c r="I1036" t="str">
        <f t="shared" si="615"/>
        <v>\newcommand{\otherAWEGWPJ}{0,0}%</v>
      </c>
      <c r="J1036" t="str">
        <f t="shared" si="616"/>
        <v>\otherAWEGWPJ</v>
      </c>
      <c r="L1036" s="44"/>
      <c r="M1036" s="44"/>
      <c r="N1036" s="44"/>
      <c r="O1036" s="44"/>
      <c r="P1036" s="44"/>
      <c r="Q1036" s="44"/>
      <c r="R1036" s="44"/>
      <c r="S1036" s="44"/>
      <c r="T1036" s="44"/>
      <c r="U1036" s="44"/>
      <c r="V1036" s="44"/>
      <c r="W1036" s="44"/>
      <c r="X1036" s="44"/>
      <c r="Y1036" s="44"/>
      <c r="Z1036" s="44"/>
      <c r="AA1036" s="44"/>
      <c r="AB1036" s="44"/>
      <c r="AD1036" t="s">
        <v>1765</v>
      </c>
      <c r="AE1036" s="14"/>
      <c r="AF1036" s="14" t="s">
        <v>1765</v>
      </c>
    </row>
    <row r="1037" spans="2:37" x14ac:dyDescent="0.3">
      <c r="C1037" t="s">
        <v>1826</v>
      </c>
      <c r="D1037" t="str">
        <f t="shared" ref="D1037:F1037" si="618">D1036</f>
        <v>other</v>
      </c>
      <c r="E1037" t="str">
        <f t="shared" si="618"/>
        <v>AWE</v>
      </c>
      <c r="F1037" t="str">
        <f t="shared" si="618"/>
        <v>GWP</v>
      </c>
      <c r="G1037" s="359">
        <f t="shared" si="614"/>
        <v>0</v>
      </c>
      <c r="I1037" t="str">
        <f t="shared" si="615"/>
        <v>\newcommand{\otherAWEGWPK}{0,0}%</v>
      </c>
      <c r="J1037" t="str">
        <f t="shared" si="616"/>
        <v>\otherAWEGWPK</v>
      </c>
      <c r="S1037" t="s">
        <v>2040</v>
      </c>
      <c r="U1037" t="s">
        <v>2068</v>
      </c>
      <c r="W1037" t="s">
        <v>2041</v>
      </c>
      <c r="Y1037" t="s">
        <v>2042</v>
      </c>
      <c r="AB1037" s="44"/>
      <c r="AD1037" t="s">
        <v>1765</v>
      </c>
      <c r="AE1037" s="14"/>
      <c r="AF1037" s="14" t="s">
        <v>1765</v>
      </c>
    </row>
    <row r="1038" spans="2:37" x14ac:dyDescent="0.3">
      <c r="C1038" t="s">
        <v>1882</v>
      </c>
      <c r="D1038" t="str">
        <f t="shared" ref="D1038:F1038" si="619">D1037</f>
        <v>other</v>
      </c>
      <c r="E1038" t="str">
        <f t="shared" si="619"/>
        <v>AWE</v>
      </c>
      <c r="F1038" t="str">
        <f t="shared" si="619"/>
        <v>GWP</v>
      </c>
      <c r="G1038" s="359">
        <f t="shared" si="614"/>
        <v>0</v>
      </c>
      <c r="I1038" t="str">
        <f t="shared" si="615"/>
        <v>\newcommand{\otherAWEGWPL}{0,0}%</v>
      </c>
      <c r="J1038" t="str">
        <f t="shared" si="616"/>
        <v>\otherAWEGWPL</v>
      </c>
      <c r="L1038" s="44"/>
      <c r="M1038" s="359" t="s">
        <v>2011</v>
      </c>
      <c r="N1038" s="359" t="s">
        <v>2061</v>
      </c>
      <c r="O1038" s="359" t="s">
        <v>2009</v>
      </c>
      <c r="P1038" s="359"/>
      <c r="Q1038" s="359"/>
      <c r="R1038" s="359" t="s">
        <v>1765</v>
      </c>
      <c r="S1038" s="359">
        <v>40</v>
      </c>
      <c r="T1038" s="359" t="s">
        <v>1765</v>
      </c>
      <c r="U1038" s="359">
        <v>12.8</v>
      </c>
      <c r="V1038" s="359" t="s">
        <v>1765</v>
      </c>
      <c r="W1038" s="359" t="s">
        <v>2059</v>
      </c>
      <c r="X1038" s="359" t="s">
        <v>1765</v>
      </c>
      <c r="Y1038" s="359" t="s">
        <v>2062</v>
      </c>
      <c r="Z1038" s="363" t="s">
        <v>1764</v>
      </c>
      <c r="AA1038" s="359"/>
      <c r="AB1038" s="44"/>
      <c r="AD1038" t="s">
        <v>1765</v>
      </c>
      <c r="AE1038" s="14"/>
      <c r="AF1038" t="s">
        <v>1765</v>
      </c>
    </row>
    <row r="1039" spans="2:37" x14ac:dyDescent="0.3">
      <c r="L1039" s="44"/>
      <c r="M1039" s="359" t="s">
        <v>2011</v>
      </c>
      <c r="N1039" s="359" t="s">
        <v>2053</v>
      </c>
      <c r="O1039" s="359" t="s">
        <v>2009</v>
      </c>
      <c r="P1039" s="359"/>
      <c r="Q1039" s="359"/>
      <c r="R1039" s="359" t="s">
        <v>1765</v>
      </c>
      <c r="S1039" s="359">
        <v>90</v>
      </c>
      <c r="T1039" s="359" t="s">
        <v>1765</v>
      </c>
      <c r="U1039" s="359">
        <v>90</v>
      </c>
      <c r="V1039" s="359" t="s">
        <v>1765</v>
      </c>
      <c r="W1039" s="359">
        <v>90</v>
      </c>
      <c r="X1039" s="359" t="s">
        <v>1765</v>
      </c>
      <c r="Y1039" s="359">
        <v>250</v>
      </c>
      <c r="Z1039" s="363" t="s">
        <v>1764</v>
      </c>
      <c r="AA1039" s="359"/>
      <c r="AB1039" s="44"/>
      <c r="AD1039" t="s">
        <v>1765</v>
      </c>
      <c r="AE1039" s="14"/>
      <c r="AF1039" t="s">
        <v>1765</v>
      </c>
    </row>
    <row r="1040" spans="2:37" x14ac:dyDescent="0.3">
      <c r="L1040" s="44"/>
      <c r="M1040" s="359" t="s">
        <v>2011</v>
      </c>
      <c r="N1040" s="359" t="s">
        <v>2044</v>
      </c>
      <c r="O1040" s="359" t="s">
        <v>2009</v>
      </c>
      <c r="P1040" s="359"/>
      <c r="Q1040" s="359"/>
      <c r="R1040" s="359" t="s">
        <v>1765</v>
      </c>
      <c r="S1040" s="359">
        <v>10</v>
      </c>
      <c r="T1040" s="359" t="s">
        <v>1765</v>
      </c>
      <c r="U1040" s="359">
        <v>10</v>
      </c>
      <c r="V1040" s="359" t="s">
        <v>1765</v>
      </c>
      <c r="W1040" s="359">
        <v>10</v>
      </c>
      <c r="X1040" s="359" t="s">
        <v>1765</v>
      </c>
      <c r="Y1040" s="359">
        <v>10.8</v>
      </c>
      <c r="Z1040" s="363" t="s">
        <v>1764</v>
      </c>
      <c r="AA1040" s="359"/>
      <c r="AB1040" s="44"/>
      <c r="AD1040" t="s">
        <v>1765</v>
      </c>
      <c r="AE1040" s="14"/>
      <c r="AF1040" t="s">
        <v>1765</v>
      </c>
    </row>
    <row r="1041" spans="12:30" x14ac:dyDescent="0.3">
      <c r="L1041" s="44"/>
      <c r="M1041" s="359" t="s">
        <v>2011</v>
      </c>
      <c r="N1041" s="359" t="s">
        <v>1928</v>
      </c>
      <c r="O1041" s="359" t="s">
        <v>2009</v>
      </c>
      <c r="P1041" s="359"/>
      <c r="Q1041" s="359"/>
      <c r="R1041" s="359" t="s">
        <v>1765</v>
      </c>
      <c r="S1041" s="359">
        <f>E9</f>
        <v>205442.80499999996</v>
      </c>
      <c r="T1041" s="359" t="s">
        <v>1765</v>
      </c>
      <c r="U1041" s="359">
        <f>S1041</f>
        <v>205442.80499999996</v>
      </c>
      <c r="V1041" s="359" t="s">
        <v>1765</v>
      </c>
      <c r="W1041" s="359">
        <f>E9</f>
        <v>205442.80499999996</v>
      </c>
      <c r="X1041" s="359" t="s">
        <v>1765</v>
      </c>
      <c r="Y1041" s="359">
        <f>10*V1079</f>
        <v>227360</v>
      </c>
      <c r="Z1041" s="363" t="s">
        <v>1764</v>
      </c>
      <c r="AA1041" s="359" t="s">
        <v>1775</v>
      </c>
      <c r="AB1041" s="44"/>
    </row>
    <row r="1042" spans="12:30" x14ac:dyDescent="0.3">
      <c r="L1042" s="44"/>
      <c r="M1042" s="359" t="s">
        <v>2011</v>
      </c>
      <c r="N1042" s="359" t="s">
        <v>2060</v>
      </c>
      <c r="O1042" s="359" t="s">
        <v>2009</v>
      </c>
      <c r="P1042" s="359"/>
      <c r="Q1042" s="359"/>
      <c r="R1042" s="359"/>
      <c r="S1042" s="359"/>
      <c r="T1042" s="359" t="s">
        <v>1765</v>
      </c>
      <c r="U1042" s="359"/>
      <c r="V1042" s="359" t="s">
        <v>1765</v>
      </c>
      <c r="W1042" s="359"/>
      <c r="X1042" s="359" t="s">
        <v>1765</v>
      </c>
      <c r="Y1042" s="359"/>
      <c r="Z1042" s="363" t="s">
        <v>1764</v>
      </c>
      <c r="AA1042" s="359"/>
      <c r="AB1042" s="44"/>
    </row>
    <row r="1043" spans="12:30" x14ac:dyDescent="0.3">
      <c r="L1043" s="44"/>
      <c r="M1043" s="359" t="s">
        <v>1881</v>
      </c>
      <c r="N1043" s="359" t="s">
        <v>1040</v>
      </c>
      <c r="O1043" s="359"/>
      <c r="P1043" s="359"/>
      <c r="Q1043" s="359"/>
      <c r="R1043" s="359" t="s">
        <v>1765</v>
      </c>
      <c r="S1043" s="359">
        <v>302</v>
      </c>
      <c r="T1043" s="359" t="s">
        <v>1765</v>
      </c>
      <c r="U1043" s="359">
        <v>315</v>
      </c>
      <c r="V1043" s="359" t="s">
        <v>1765</v>
      </c>
      <c r="W1043" s="359">
        <v>302</v>
      </c>
      <c r="X1043" s="359" t="s">
        <v>1765</v>
      </c>
      <c r="Y1043" s="366" t="s">
        <v>2043</v>
      </c>
      <c r="Z1043" s="363" t="s">
        <v>1764</v>
      </c>
      <c r="AA1043" s="359"/>
      <c r="AB1043" s="44"/>
    </row>
    <row r="1044" spans="12:30" x14ac:dyDescent="0.3">
      <c r="L1044" s="44"/>
      <c r="M1044" s="359" t="s">
        <v>1881</v>
      </c>
      <c r="N1044" s="359" t="s">
        <v>1484</v>
      </c>
      <c r="O1044" s="359"/>
      <c r="P1044" s="359"/>
      <c r="Q1044" s="359"/>
      <c r="R1044" s="359" t="s">
        <v>1765</v>
      </c>
      <c r="S1044" s="359">
        <v>1155</v>
      </c>
      <c r="T1044" s="359" t="s">
        <v>1765</v>
      </c>
      <c r="U1044" s="359">
        <v>600</v>
      </c>
      <c r="V1044" s="359" t="s">
        <v>1765</v>
      </c>
      <c r="W1044" s="359">
        <v>1700</v>
      </c>
      <c r="X1044" s="359" t="s">
        <v>1765</v>
      </c>
      <c r="Y1044" s="359">
        <v>982</v>
      </c>
      <c r="Z1044" s="363" t="s">
        <v>1764</v>
      </c>
      <c r="AA1044" s="359"/>
      <c r="AB1044" s="44"/>
    </row>
    <row r="1045" spans="12:30" x14ac:dyDescent="0.3">
      <c r="L1045" s="44"/>
      <c r="M1045" s="359" t="s">
        <v>1881</v>
      </c>
      <c r="N1045" s="359" t="s">
        <v>2069</v>
      </c>
      <c r="O1045" s="359"/>
      <c r="P1045" s="359"/>
      <c r="Q1045" s="359"/>
      <c r="R1045" s="359" t="s">
        <v>1765</v>
      </c>
      <c r="S1045" s="366" t="s">
        <v>2043</v>
      </c>
      <c r="T1045" s="359" t="s">
        <v>1765</v>
      </c>
      <c r="U1045" s="366" t="s">
        <v>2043</v>
      </c>
      <c r="V1045" s="359" t="s">
        <v>1765</v>
      </c>
      <c r="W1045" s="359">
        <f>V1070</f>
        <v>4000</v>
      </c>
      <c r="X1045" s="359" t="s">
        <v>1765</v>
      </c>
      <c r="Y1045" s="359">
        <f>V1071</f>
        <v>768</v>
      </c>
      <c r="Z1045" s="363" t="s">
        <v>1764</v>
      </c>
      <c r="AA1045" s="359"/>
      <c r="AB1045" s="44"/>
    </row>
    <row r="1046" spans="12:30" x14ac:dyDescent="0.3">
      <c r="L1046" s="44"/>
      <c r="M1046" s="359" t="s">
        <v>1881</v>
      </c>
      <c r="N1046" s="359" t="s">
        <v>2055</v>
      </c>
      <c r="O1046" s="359"/>
      <c r="P1046" s="359"/>
      <c r="Q1046" s="359"/>
      <c r="R1046" s="359" t="s">
        <v>1765</v>
      </c>
      <c r="S1046" s="366" t="s">
        <v>2043</v>
      </c>
      <c r="T1046" s="359" t="s">
        <v>1765</v>
      </c>
      <c r="U1046" s="366" t="s">
        <v>2043</v>
      </c>
      <c r="V1046" s="359" t="s">
        <v>1765</v>
      </c>
      <c r="W1046" s="359">
        <f>V1063</f>
        <v>360</v>
      </c>
      <c r="X1046" s="359" t="s">
        <v>1765</v>
      </c>
      <c r="Y1046" s="359">
        <f>V1064</f>
        <v>180</v>
      </c>
      <c r="Z1046" s="363" t="s">
        <v>1764</v>
      </c>
      <c r="AA1046" s="359"/>
      <c r="AB1046" s="44"/>
    </row>
    <row r="1047" spans="12:30" x14ac:dyDescent="0.3">
      <c r="L1047" s="44"/>
      <c r="M1047" s="359" t="s">
        <v>1881</v>
      </c>
      <c r="N1047" s="359" t="s">
        <v>2054</v>
      </c>
      <c r="O1047" s="359"/>
      <c r="P1047" s="359"/>
      <c r="Q1047" s="359"/>
      <c r="R1047" s="359" t="s">
        <v>1765</v>
      </c>
      <c r="S1047" s="366" t="s">
        <v>2043</v>
      </c>
      <c r="T1047" s="359" t="s">
        <v>1765</v>
      </c>
      <c r="U1047" s="366" t="s">
        <v>2043</v>
      </c>
      <c r="V1047" s="359" t="s">
        <v>1765</v>
      </c>
      <c r="W1047" s="359">
        <f>V1067</f>
        <v>51</v>
      </c>
      <c r="X1047" s="359" t="s">
        <v>1765</v>
      </c>
      <c r="Y1047" s="359">
        <f>V1067</f>
        <v>51</v>
      </c>
      <c r="Z1047" s="363" t="s">
        <v>1764</v>
      </c>
      <c r="AA1047" s="359"/>
      <c r="AB1047" s="44"/>
    </row>
    <row r="1048" spans="12:30" x14ac:dyDescent="0.3">
      <c r="L1048" s="44"/>
      <c r="M1048" s="359"/>
      <c r="N1048" s="359" t="s">
        <v>2071</v>
      </c>
      <c r="O1048" s="359"/>
      <c r="P1048" s="359"/>
      <c r="Q1048" s="359"/>
      <c r="R1048" s="359" t="s">
        <v>1765</v>
      </c>
      <c r="S1048" s="366">
        <f>S1057</f>
        <v>1849.28</v>
      </c>
      <c r="T1048" s="359" t="s">
        <v>1765</v>
      </c>
      <c r="U1048" s="366">
        <f>U1057</f>
        <v>1307.28</v>
      </c>
      <c r="V1048" s="359" t="s">
        <v>1765</v>
      </c>
      <c r="W1048" s="366">
        <f>W1057</f>
        <v>6805.28</v>
      </c>
      <c r="X1048" s="359" t="s">
        <v>1765</v>
      </c>
      <c r="Y1048" s="366">
        <f>Y1057</f>
        <v>2555.77</v>
      </c>
      <c r="Z1048" s="363" t="s">
        <v>1764</v>
      </c>
      <c r="AA1048" s="359" t="s">
        <v>1775</v>
      </c>
      <c r="AB1048" s="44"/>
    </row>
    <row r="1049" spans="12:30" x14ac:dyDescent="0.3">
      <c r="L1049" s="44"/>
      <c r="M1049" s="359" t="s">
        <v>2011</v>
      </c>
      <c r="N1049" s="359" t="s">
        <v>2070</v>
      </c>
      <c r="O1049" s="359" t="s">
        <v>2009</v>
      </c>
      <c r="P1049" s="359"/>
      <c r="Q1049" s="359"/>
      <c r="R1049" s="359" t="s">
        <v>1765</v>
      </c>
      <c r="S1049" s="359"/>
      <c r="T1049" s="359" t="s">
        <v>1765</v>
      </c>
      <c r="U1049" s="359"/>
      <c r="V1049" s="359" t="s">
        <v>1765</v>
      </c>
      <c r="W1049" s="359"/>
      <c r="X1049" s="359" t="s">
        <v>1765</v>
      </c>
      <c r="Y1049" s="359"/>
      <c r="Z1049" s="363" t="s">
        <v>1764</v>
      </c>
      <c r="AA1049" s="359"/>
      <c r="AB1049" s="44"/>
    </row>
    <row r="1050" spans="12:30" x14ac:dyDescent="0.3">
      <c r="L1050" s="44"/>
      <c r="M1050" s="359" t="s">
        <v>1881</v>
      </c>
      <c r="N1050" s="359" t="s">
        <v>32</v>
      </c>
      <c r="O1050" s="359"/>
      <c r="P1050" s="359"/>
      <c r="Q1050" s="359"/>
      <c r="R1050" s="359" t="s">
        <v>1765</v>
      </c>
      <c r="S1050" s="359">
        <f>AA1073</f>
        <v>18.037929317122121</v>
      </c>
      <c r="T1050" s="359" t="s">
        <v>1765</v>
      </c>
      <c r="U1050" s="359">
        <f>AC1073</f>
        <v>13.990880432295999</v>
      </c>
      <c r="V1050" s="359" t="s">
        <v>1765</v>
      </c>
      <c r="W1050" s="359">
        <f>AB1073</f>
        <v>26.888575221129184</v>
      </c>
      <c r="X1050" s="359" t="s">
        <v>1765</v>
      </c>
      <c r="Y1050" s="359">
        <f>AD1073</f>
        <v>16.338468359103665</v>
      </c>
      <c r="Z1050" s="363" t="s">
        <v>1764</v>
      </c>
      <c r="AA1050" s="359"/>
      <c r="AB1050" s="44"/>
    </row>
    <row r="1051" spans="12:30" x14ac:dyDescent="0.3">
      <c r="L1051" s="44"/>
      <c r="M1051" s="359" t="s">
        <v>1881</v>
      </c>
      <c r="N1051" s="359" t="s">
        <v>162</v>
      </c>
      <c r="O1051" s="359"/>
      <c r="P1051" s="359"/>
      <c r="Q1051" s="359"/>
      <c r="R1051" s="359" t="s">
        <v>1765</v>
      </c>
      <c r="S1051" s="359">
        <f>AA1074</f>
        <v>268.47537827082783</v>
      </c>
      <c r="T1051" s="359" t="s">
        <v>1765</v>
      </c>
      <c r="U1051" s="359">
        <f>AC1074</f>
        <v>212.16566949324371</v>
      </c>
      <c r="V1051" s="359" t="s">
        <v>1765</v>
      </c>
      <c r="W1051" s="359">
        <f>AB1074</f>
        <v>392.01365934409995</v>
      </c>
      <c r="X1051" s="359" t="s">
        <v>1765</v>
      </c>
      <c r="Y1051" s="359">
        <f>AD1074</f>
        <v>247.82738182535488</v>
      </c>
      <c r="Z1051" s="363" t="s">
        <v>1764</v>
      </c>
      <c r="AA1051" s="359"/>
      <c r="AB1051" s="44"/>
    </row>
    <row r="1052" spans="12:30" x14ac:dyDescent="0.3">
      <c r="L1052" s="44"/>
      <c r="M1052" s="44"/>
      <c r="N1052" s="44"/>
      <c r="O1052" s="44"/>
      <c r="P1052" s="44"/>
      <c r="Q1052" s="44"/>
      <c r="R1052" s="44"/>
      <c r="S1052" s="44"/>
      <c r="T1052" s="44"/>
      <c r="U1052" s="44"/>
      <c r="V1052" s="44"/>
      <c r="W1052" s="44"/>
      <c r="X1052" s="44"/>
      <c r="Y1052" s="44"/>
      <c r="Z1052" s="365" t="s">
        <v>1764</v>
      </c>
      <c r="AA1052" s="44"/>
      <c r="AB1052" s="44"/>
    </row>
    <row r="1053" spans="12:30" x14ac:dyDescent="0.3">
      <c r="Z1053" s="334" t="s">
        <v>1764</v>
      </c>
    </row>
    <row r="1055" spans="12:30" x14ac:dyDescent="0.3">
      <c r="S1055">
        <f>S1043+S1044</f>
        <v>1457</v>
      </c>
      <c r="U1055">
        <f>U1043+U1044</f>
        <v>915</v>
      </c>
      <c r="W1055">
        <f>W1043+W1044+W1045+W1046+W1047</f>
        <v>6413</v>
      </c>
      <c r="Y1055">
        <f>Y1044+Y1045+Y1046+Y1047</f>
        <v>1981</v>
      </c>
    </row>
    <row r="1056" spans="12:30" x14ac:dyDescent="0.3">
      <c r="S1056">
        <f>98.9+249.69+43.69</f>
        <v>392.28000000000003</v>
      </c>
      <c r="U1056">
        <f>S1056</f>
        <v>392.28000000000003</v>
      </c>
      <c r="W1056">
        <f>S1056</f>
        <v>392.28000000000003</v>
      </c>
      <c r="Y1056">
        <f>30.6+31.78+238.74+228.07+45.58</f>
        <v>574.7700000000001</v>
      </c>
      <c r="AC1056" t="s">
        <v>1765</v>
      </c>
      <c r="AD1056" t="s">
        <v>91</v>
      </c>
    </row>
    <row r="1057" spans="13:30" x14ac:dyDescent="0.3">
      <c r="M1057" t="s">
        <v>2011</v>
      </c>
      <c r="N1057" t="s">
        <v>2009</v>
      </c>
      <c r="S1057">
        <f>S1055+S1056</f>
        <v>1849.28</v>
      </c>
      <c r="U1057">
        <f>U1055+U1056</f>
        <v>1307.28</v>
      </c>
      <c r="W1057">
        <f>W1055+W1056</f>
        <v>6805.28</v>
      </c>
      <c r="Y1057">
        <f>Y1055+Y1056</f>
        <v>2555.77</v>
      </c>
      <c r="AC1057" t="s">
        <v>1765</v>
      </c>
      <c r="AD1057" t="s">
        <v>1288</v>
      </c>
    </row>
    <row r="1058" spans="13:30" x14ac:dyDescent="0.3">
      <c r="M1058" t="s">
        <v>2011</v>
      </c>
      <c r="N1058" t="s">
        <v>2009</v>
      </c>
      <c r="AC1058" t="s">
        <v>1765</v>
      </c>
      <c r="AD1058" t="s">
        <v>91</v>
      </c>
    </row>
    <row r="1059" spans="13:30" x14ac:dyDescent="0.3">
      <c r="M1059" t="s">
        <v>2011</v>
      </c>
      <c r="N1059" t="s">
        <v>2009</v>
      </c>
      <c r="AC1059" t="s">
        <v>1765</v>
      </c>
      <c r="AD1059" t="s">
        <v>1288</v>
      </c>
    </row>
    <row r="1060" spans="13:30" x14ac:dyDescent="0.3">
      <c r="M1060" t="s">
        <v>2011</v>
      </c>
      <c r="N1060" t="s">
        <v>2009</v>
      </c>
      <c r="AC1060" t="s">
        <v>1765</v>
      </c>
      <c r="AD1060" t="s">
        <v>2022</v>
      </c>
    </row>
    <row r="1061" spans="13:30" x14ac:dyDescent="0.3">
      <c r="M1061" t="s">
        <v>2011</v>
      </c>
      <c r="N1061" t="s">
        <v>2009</v>
      </c>
      <c r="AC1061" t="s">
        <v>1765</v>
      </c>
      <c r="AD1061" t="s">
        <v>1933</v>
      </c>
    </row>
    <row r="1062" spans="13:30" x14ac:dyDescent="0.3">
      <c r="S1062" t="s">
        <v>2045</v>
      </c>
      <c r="V1062" t="s">
        <v>2046</v>
      </c>
      <c r="AC1062" t="s">
        <v>1765</v>
      </c>
    </row>
    <row r="1063" spans="13:30" x14ac:dyDescent="0.3">
      <c r="S1063">
        <v>0.15</v>
      </c>
      <c r="T1063">
        <v>3</v>
      </c>
      <c r="U1063">
        <v>800</v>
      </c>
      <c r="V1063">
        <f>U1063*T1063*S1063</f>
        <v>360</v>
      </c>
      <c r="AC1063" t="s">
        <v>1765</v>
      </c>
      <c r="AD1063" t="s">
        <v>2014</v>
      </c>
    </row>
    <row r="1064" spans="13:30" x14ac:dyDescent="0.3">
      <c r="S1064">
        <f>S1063/2</f>
        <v>7.4999999999999997E-2</v>
      </c>
      <c r="T1064">
        <v>3</v>
      </c>
      <c r="U1064">
        <v>800</v>
      </c>
      <c r="V1064">
        <f>U1064*T1064*S1064</f>
        <v>180</v>
      </c>
      <c r="AC1064" t="s">
        <v>1765</v>
      </c>
      <c r="AD1064" t="s">
        <v>2015</v>
      </c>
    </row>
    <row r="1065" spans="13:30" x14ac:dyDescent="0.3">
      <c r="AC1065" t="s">
        <v>1765</v>
      </c>
    </row>
    <row r="1066" spans="13:30" x14ac:dyDescent="0.3">
      <c r="S1066" t="s">
        <v>2047</v>
      </c>
      <c r="AC1066" t="s">
        <v>1765</v>
      </c>
      <c r="AD1066" t="s">
        <v>2014</v>
      </c>
    </row>
    <row r="1067" spans="13:30" x14ac:dyDescent="0.3">
      <c r="S1067">
        <v>17</v>
      </c>
      <c r="T1067">
        <v>3</v>
      </c>
      <c r="V1067">
        <f>T1067*S1067</f>
        <v>51</v>
      </c>
      <c r="AC1067" t="s">
        <v>1765</v>
      </c>
      <c r="AD1067" t="s">
        <v>2015</v>
      </c>
    </row>
    <row r="1069" spans="13:30" x14ac:dyDescent="0.3">
      <c r="Q1069" t="s">
        <v>2048</v>
      </c>
      <c r="R1069" s="147">
        <v>0.5</v>
      </c>
    </row>
    <row r="1070" spans="13:30" x14ac:dyDescent="0.3">
      <c r="R1070" t="s">
        <v>1142</v>
      </c>
      <c r="S1070">
        <v>8000</v>
      </c>
      <c r="V1070">
        <f>S1070*R1069</f>
        <v>4000</v>
      </c>
    </row>
    <row r="1071" spans="13:30" x14ac:dyDescent="0.3">
      <c r="R1071" t="s">
        <v>1172</v>
      </c>
      <c r="S1071">
        <v>768</v>
      </c>
      <c r="T1071">
        <v>2</v>
      </c>
      <c r="V1071">
        <f>S1071*R1069*T1071</f>
        <v>768</v>
      </c>
    </row>
    <row r="1072" spans="13:30" x14ac:dyDescent="0.3">
      <c r="AA1072" t="s">
        <v>2063</v>
      </c>
      <c r="AB1072" t="s">
        <v>2064</v>
      </c>
      <c r="AC1072" t="s">
        <v>2063</v>
      </c>
      <c r="AD1072" t="s">
        <v>2065</v>
      </c>
    </row>
    <row r="1073" spans="17:30" x14ac:dyDescent="0.3">
      <c r="Z1073" t="s">
        <v>32</v>
      </c>
      <c r="AA1073" s="14">
        <v>18.037929317122121</v>
      </c>
      <c r="AB1073" s="14">
        <v>26.888575221129184</v>
      </c>
      <c r="AC1073" s="14">
        <v>13.990880432295999</v>
      </c>
      <c r="AD1073">
        <v>16.338468359103665</v>
      </c>
    </row>
    <row r="1074" spans="17:30" x14ac:dyDescent="0.3">
      <c r="Q1074" t="s">
        <v>12</v>
      </c>
      <c r="S1074">
        <v>1700</v>
      </c>
      <c r="Z1074" t="s">
        <v>162</v>
      </c>
      <c r="AA1074" s="14">
        <v>268.47537827082783</v>
      </c>
      <c r="AB1074" s="14">
        <v>392.01365934409995</v>
      </c>
      <c r="AC1074" s="14">
        <v>212.16566949324371</v>
      </c>
      <c r="AD1074">
        <v>247.82738182535488</v>
      </c>
    </row>
    <row r="1075" spans="17:30" x14ac:dyDescent="0.3">
      <c r="S1075">
        <v>982</v>
      </c>
      <c r="Z1075" t="s">
        <v>90</v>
      </c>
      <c r="AA1075">
        <v>40</v>
      </c>
      <c r="AC1075">
        <v>12.8</v>
      </c>
    </row>
    <row r="1076" spans="17:30" x14ac:dyDescent="0.3">
      <c r="Z1076" t="s">
        <v>2066</v>
      </c>
      <c r="AA1076">
        <v>16</v>
      </c>
      <c r="AC1076">
        <v>13</v>
      </c>
    </row>
    <row r="1077" spans="17:30" x14ac:dyDescent="0.3">
      <c r="Z1077" t="s">
        <v>2067</v>
      </c>
      <c r="AC1077">
        <v>915</v>
      </c>
    </row>
    <row r="1078" spans="17:30" x14ac:dyDescent="0.3">
      <c r="Z1078" t="s">
        <v>1041</v>
      </c>
      <c r="AC1078">
        <v>315</v>
      </c>
    </row>
    <row r="1079" spans="17:30" x14ac:dyDescent="0.3">
      <c r="S1079" t="s">
        <v>2056</v>
      </c>
      <c r="V1079">
        <v>22736</v>
      </c>
      <c r="Z1079" t="s">
        <v>27</v>
      </c>
      <c r="AC1079">
        <v>600</v>
      </c>
    </row>
    <row r="1080" spans="17:30" x14ac:dyDescent="0.3">
      <c r="U1080" t="s">
        <v>2057</v>
      </c>
      <c r="V1080" s="1">
        <v>0.51900000000000002</v>
      </c>
    </row>
    <row r="1081" spans="17:30" x14ac:dyDescent="0.3">
      <c r="T1081" t="s">
        <v>2058</v>
      </c>
      <c r="V1081">
        <f>V1079*20</f>
        <v>454720</v>
      </c>
    </row>
    <row r="1085" spans="17:30" x14ac:dyDescent="0.3">
      <c r="Q1085" t="s">
        <v>2049</v>
      </c>
    </row>
    <row r="1086" spans="17:30" x14ac:dyDescent="0.3">
      <c r="R1086" t="s">
        <v>2050</v>
      </c>
    </row>
    <row r="1088" spans="17:30" x14ac:dyDescent="0.3">
      <c r="Q1088" t="s">
        <v>2051</v>
      </c>
    </row>
    <row r="1089" spans="18:18" x14ac:dyDescent="0.3">
      <c r="R1089" t="s">
        <v>2052</v>
      </c>
    </row>
  </sheetData>
  <hyperlinks>
    <hyperlink ref="AQ696" r:id="rId1" xr:uid="{55728746-D681-441F-8DBF-E62C8F317827}"/>
    <hyperlink ref="AQ697" r:id="rId2" xr:uid="{FFC609F1-0A38-4630-B29E-B431AE45A802}"/>
    <hyperlink ref="AQ698" r:id="rId3" xr:uid="{8AA2BCC8-062D-4B58-B43F-E20BAC6332E5}"/>
    <hyperlink ref="AQ699" r:id="rId4" xr:uid="{213865CA-1794-45C8-B991-1D93C5C1F38C}"/>
    <hyperlink ref="AQ700" r:id="rId5" xr:uid="{BFA25492-EA8C-4AC0-8C25-2C5EBEAFA719}"/>
    <hyperlink ref="AQ702" r:id="rId6" xr:uid="{44897195-F7D0-4BD4-AFFD-7E42F05FD834}"/>
    <hyperlink ref="AQ710" r:id="rId7" xr:uid="{9C8A775A-4D14-4E2C-BB21-04EEA79DBC18}"/>
    <hyperlink ref="AQ711" r:id="rId8" xr:uid="{4B1518EA-5DE8-4F70-8733-4C3B7DA94E88}"/>
    <hyperlink ref="AQ712" r:id="rId9" xr:uid="{1621CB2E-AF81-4F26-8289-5E442A306C17}"/>
    <hyperlink ref="AQ713" r:id="rId10" xr:uid="{540068BB-4214-4DCE-8967-07C82C8AB7E6}"/>
    <hyperlink ref="AQ714" r:id="rId11" xr:uid="{8C9A2AA4-C064-468D-843D-8953946A36C0}"/>
    <hyperlink ref="AQ716" r:id="rId12" xr:uid="{6E359A18-B11D-45A4-94AF-965F55F0213D}"/>
    <hyperlink ref="AH623" r:id="rId13" xr:uid="{AB51EB58-52E4-48DB-A7AF-B77490F43826}"/>
    <hyperlink ref="AH624:AH631" r:id="rId14" display="\\" xr:uid="{59A3A2D3-42C8-4204-935D-32845B0FCDFB}"/>
    <hyperlink ref="AP655" r:id="rId15" xr:uid="{68220EA9-69D3-4E2F-A018-67BF0F530EBF}"/>
    <hyperlink ref="AP656:AP663" r:id="rId16" display="\\" xr:uid="{D002A915-DB99-4AE0-83B3-74D1D78BC75B}"/>
    <hyperlink ref="AA742" r:id="rId17" xr:uid="{11B3BF30-5CAE-4941-9672-22FD64448893}"/>
    <hyperlink ref="AA743" r:id="rId18" xr:uid="{04B26F67-44B8-447F-8296-34AAE75AE758}"/>
    <hyperlink ref="AA744" r:id="rId19" xr:uid="{6BA896CA-1F3E-40FE-8729-1611F48E690D}"/>
    <hyperlink ref="AA745" r:id="rId20" xr:uid="{96FF1B81-5F8F-412C-A838-5E09F0BD0375}"/>
    <hyperlink ref="AA746" r:id="rId21" xr:uid="{B1E7E740-47AA-4767-AEA5-FFE95C314218}"/>
    <hyperlink ref="AA747" r:id="rId22" xr:uid="{21DDAB77-7D69-455B-B2B0-BB3110F3FAFF}"/>
    <hyperlink ref="AA748" r:id="rId23" xr:uid="{C0B3512D-AB92-485D-837A-F6CED30A659F}"/>
    <hyperlink ref="AA749" r:id="rId24" xr:uid="{7B68DEAC-8BC1-480F-B189-7E5AC48BD57B}"/>
    <hyperlink ref="AA750" r:id="rId25" xr:uid="{7613DBAB-F269-4E46-987C-6598EE6D65C9}"/>
    <hyperlink ref="AA751" r:id="rId26" xr:uid="{180455C4-4BCE-459C-830D-89E2D5508420}"/>
    <hyperlink ref="Z794" r:id="rId27" xr:uid="{B044AD0A-0039-412F-861B-BB8CB0B6CC1D}"/>
    <hyperlink ref="AH721" r:id="rId28" xr:uid="{B21D65B6-578A-4150-AB49-C77A00ACBC5B}"/>
    <hyperlink ref="AH722:AH733" r:id="rId29" display="\\" xr:uid="{CB43D54C-690F-4090-9D06-2C0F33A1DF4F}"/>
    <hyperlink ref="Z974" r:id="rId30" xr:uid="{E9C0770C-0258-4545-A225-0C6E21808EA4}"/>
    <hyperlink ref="Z976" r:id="rId31" xr:uid="{5543FA26-A6A7-4ABC-A2CF-9EC2FCD983E4}"/>
    <hyperlink ref="Z977" r:id="rId32" xr:uid="{817D236D-FD39-468F-9E0B-E6EBF8BA8E69}"/>
    <hyperlink ref="Z975" r:id="rId33" xr:uid="{7BC4CC2B-11B5-4A6E-AC45-8622E0B6C415}"/>
    <hyperlink ref="Z987" r:id="rId34" xr:uid="{E4A9A6C3-51DA-491F-AB73-984897ED5E55}"/>
    <hyperlink ref="Z989" r:id="rId35" xr:uid="{56942917-4560-4E4A-A548-0689E0087CC0}"/>
    <hyperlink ref="Z990" r:id="rId36" xr:uid="{2EAF3D4C-7CBE-4BB5-85F6-C31D7F4CFF8A}"/>
    <hyperlink ref="Z988" r:id="rId37" xr:uid="{9FDFECA3-CA99-4C7B-A379-5E79FFAFC336}"/>
    <hyperlink ref="AB1012" r:id="rId38" xr:uid="{73C99AE1-9007-4E1E-8627-A8E25C43FAB8}"/>
    <hyperlink ref="AB1013:AB1021" r:id="rId39" display="\\" xr:uid="{91C975BE-98F6-4250-8822-89505AFE06AB}"/>
    <hyperlink ref="Z1039" r:id="rId40" xr:uid="{C5A71864-ED59-40CA-8936-6B75EB653904}"/>
    <hyperlink ref="Z1040:Z1053" r:id="rId41" display="\\" xr:uid="{6B068845-6BEE-4396-B5B3-3FCA8996BFD1}"/>
    <hyperlink ref="Z1041" r:id="rId42" xr:uid="{BFB169E4-CFA9-42BE-ABB0-A47DF3ED6CB0}"/>
    <hyperlink ref="Z1042" r:id="rId43" xr:uid="{DA926FFD-D80B-4B12-8E81-1815C3D932D9}"/>
    <hyperlink ref="Z1043:Z1044" r:id="rId44" display="\\" xr:uid="{A57D80CF-6135-4CE1-B971-16E7B32C9C81}"/>
    <hyperlink ref="Z1043" r:id="rId45" xr:uid="{9B33062E-21CB-45A6-8B93-445E0BC5C69C}"/>
    <hyperlink ref="Z1044" r:id="rId46" xr:uid="{AB50BC0B-4B2B-4E3A-9034-E63AB531266E}"/>
    <hyperlink ref="Z1038" r:id="rId47" xr:uid="{6F8A8813-5961-41AB-8885-5BC0262F12F3}"/>
    <hyperlink ref="Z1048" r:id="rId48" xr:uid="{ECE0B906-7D6D-459D-809A-99937767B3D6}"/>
    <hyperlink ref="AI105" r:id="rId49" xr:uid="{B3E1E2C9-B9D3-43A0-B447-808088CAFA3A}"/>
    <hyperlink ref="AI106:AI110" r:id="rId50" display="\\" xr:uid="{EBA9A930-CC6F-4B20-B023-E67D8865DCE9}"/>
  </hyperlinks>
  <pageMargins left="0.7" right="0.7" top="0.75" bottom="0.75" header="0.3" footer="0.3"/>
  <pageSetup paperSize="9" orientation="portrait" r:id="rId51"/>
  <drawing r:id="rId5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B6B0-F4A4-40D4-8D1E-2FE96693C625}">
  <dimension ref="A2:AU291"/>
  <sheetViews>
    <sheetView topLeftCell="A60" zoomScale="49" zoomScaleNormal="49" workbookViewId="0">
      <selection activeCell="D295" sqref="D295"/>
    </sheetView>
  </sheetViews>
  <sheetFormatPr defaultRowHeight="14.4" x14ac:dyDescent="0.3"/>
  <cols>
    <col min="3" max="3" width="11" bestFit="1" customWidth="1"/>
    <col min="4" max="4" width="25.21875" customWidth="1"/>
    <col min="5" max="5" width="11" bestFit="1" customWidth="1"/>
    <col min="6" max="6" width="15.77734375" customWidth="1"/>
    <col min="7" max="7" width="14.88671875" customWidth="1"/>
    <col min="10" max="11" width="12.21875" bestFit="1" customWidth="1"/>
    <col min="17" max="17" width="19.109375" bestFit="1" customWidth="1"/>
    <col min="18" max="18" width="12.44140625" bestFit="1" customWidth="1"/>
  </cols>
  <sheetData>
    <row r="2" spans="2:7" x14ac:dyDescent="0.3">
      <c r="B2" t="s">
        <v>1178</v>
      </c>
    </row>
    <row r="3" spans="2:7" x14ac:dyDescent="0.3">
      <c r="C3" t="s">
        <v>1179</v>
      </c>
    </row>
    <row r="4" spans="2:7" x14ac:dyDescent="0.3">
      <c r="C4" t="s">
        <v>1180</v>
      </c>
    </row>
    <row r="8" spans="2:7" x14ac:dyDescent="0.3">
      <c r="B8" s="417" t="s">
        <v>1141</v>
      </c>
      <c r="C8" s="417"/>
      <c r="D8" s="417"/>
      <c r="E8" s="417"/>
      <c r="F8" s="417"/>
      <c r="G8" s="417"/>
    </row>
    <row r="9" spans="2:7" x14ac:dyDescent="0.3">
      <c r="C9" s="386" t="s">
        <v>32</v>
      </c>
      <c r="D9" s="386"/>
      <c r="E9" s="386" t="s">
        <v>162</v>
      </c>
      <c r="F9" s="386"/>
    </row>
    <row r="10" spans="2:7" x14ac:dyDescent="0.3">
      <c r="B10" t="str">
        <f>AWE!F687</f>
        <v>Materials and Manufacturing</v>
      </c>
      <c r="C10">
        <f>AWE!G687</f>
        <v>2923915.7427901062</v>
      </c>
      <c r="D10" s="1">
        <f>AWE!H687</f>
        <v>0.81063864752943471</v>
      </c>
      <c r="E10">
        <f>AWE!G694</f>
        <v>46299294.710681409</v>
      </c>
      <c r="F10" s="1">
        <f>AWE!H694</f>
        <v>0.7852893858032598</v>
      </c>
    </row>
    <row r="11" spans="2:7" x14ac:dyDescent="0.3">
      <c r="B11" t="str">
        <f>AWE!F688</f>
        <v>Installation</v>
      </c>
      <c r="C11">
        <f>AWE!G688</f>
        <v>150354.60171699038</v>
      </c>
      <c r="D11" s="1">
        <f>AWE!H688</f>
        <v>4.1684939549380615E-2</v>
      </c>
      <c r="E11">
        <f>AWE!G695</f>
        <v>2155517.7829645397</v>
      </c>
      <c r="F11" s="1">
        <f>AWE!H695</f>
        <v>3.6560065254767578E-2</v>
      </c>
    </row>
    <row r="12" spans="2:7" x14ac:dyDescent="0.3">
      <c r="B12" t="str">
        <f>AWE!F689</f>
        <v>Operation and Maintenance</v>
      </c>
      <c r="C12">
        <f>AWE!G689</f>
        <v>407209.35577614867</v>
      </c>
      <c r="D12" s="1">
        <f>AWE!H689</f>
        <v>0.11289642741644687</v>
      </c>
      <c r="E12">
        <f>AWE!G696</f>
        <v>9999003.3832079805</v>
      </c>
      <c r="F12" s="1">
        <f>AWE!H696</f>
        <v>0.16959461854680483</v>
      </c>
    </row>
    <row r="13" spans="2:7" x14ac:dyDescent="0.3">
      <c r="B13" t="str">
        <f>AWE!F690</f>
        <v>End Of Life</v>
      </c>
      <c r="C13">
        <f>AWE!G690</f>
        <v>125448.92531492772</v>
      </c>
      <c r="D13" s="1">
        <f>AWE!H690</f>
        <v>3.4779985504737633E-2</v>
      </c>
      <c r="E13">
        <f>AWE!G697</f>
        <v>504442.7570923508</v>
      </c>
      <c r="F13" s="1">
        <f>AWE!H697</f>
        <v>8.555930395167893E-3</v>
      </c>
    </row>
    <row r="14" spans="2:7" x14ac:dyDescent="0.3">
      <c r="B14" t="str">
        <f>AWE!F691</f>
        <v>total</v>
      </c>
      <c r="C14">
        <f>AWE!G691</f>
        <v>3606928.6255981736</v>
      </c>
      <c r="D14" s="1">
        <f>AWE!H691</f>
        <v>1</v>
      </c>
      <c r="E14">
        <f>AWE!G698</f>
        <v>58958258.633946277</v>
      </c>
      <c r="F14" s="1">
        <f>AWE!H698</f>
        <v>1</v>
      </c>
    </row>
    <row r="17" spans="2:7" x14ac:dyDescent="0.3">
      <c r="B17" s="417" t="s">
        <v>1142</v>
      </c>
      <c r="C17" s="417"/>
      <c r="D17" s="417"/>
      <c r="E17" s="417"/>
      <c r="F17" s="417"/>
      <c r="G17" s="417"/>
    </row>
    <row r="18" spans="2:7" x14ac:dyDescent="0.3">
      <c r="C18" s="386" t="s">
        <v>32</v>
      </c>
      <c r="D18" s="386"/>
      <c r="E18" s="386" t="s">
        <v>162</v>
      </c>
      <c r="F18" s="386"/>
      <c r="G18" s="87"/>
    </row>
    <row r="19" spans="2:7" x14ac:dyDescent="0.3">
      <c r="B19" t="str">
        <f>HAWT!F496</f>
        <v>Materials and manufacturing</v>
      </c>
      <c r="C19">
        <f>HAWT!G496</f>
        <v>4579436.7456972189</v>
      </c>
      <c r="D19" s="1">
        <f>HAWT!H496</f>
        <v>0.85877505514268238</v>
      </c>
      <c r="E19">
        <f>HAWT!G503</f>
        <v>70374651.985281482</v>
      </c>
      <c r="F19" s="1">
        <f>HAWT!H503</f>
        <v>0.87827098394383207</v>
      </c>
    </row>
    <row r="20" spans="2:7" x14ac:dyDescent="0.3">
      <c r="B20" t="str">
        <f>HAWT!F497</f>
        <v>installation</v>
      </c>
      <c r="C20">
        <f>HAWT!G497</f>
        <v>289473.08595141373</v>
      </c>
      <c r="D20" s="1">
        <f>HAWT!H497</f>
        <v>5.4284463167620325E-2</v>
      </c>
      <c r="E20">
        <f>HAWT!G504</f>
        <v>4160734.1282874565</v>
      </c>
      <c r="F20" s="1">
        <f>HAWT!H504</f>
        <v>5.1925685650907036E-2</v>
      </c>
    </row>
    <row r="21" spans="2:7" x14ac:dyDescent="0.3">
      <c r="B21" t="str">
        <f>HAWT!F498</f>
        <v>O&amp;M</v>
      </c>
      <c r="C21">
        <f>HAWT!G498</f>
        <v>302089.49575280002</v>
      </c>
      <c r="D21" s="1">
        <f>HAWT!H498</f>
        <v>5.6650399990105821E-2</v>
      </c>
      <c r="E21">
        <f>HAWT!G505</f>
        <v>4128140.8</v>
      </c>
      <c r="F21" s="1">
        <f>HAWT!H505</f>
        <v>5.1518923078056007E-2</v>
      </c>
    </row>
    <row r="22" spans="2:7" x14ac:dyDescent="0.3">
      <c r="B22" t="str">
        <f>HAWT!F499</f>
        <v>EOL</v>
      </c>
      <c r="C22">
        <f>HAWT!G499</f>
        <v>161522.52249832026</v>
      </c>
      <c r="D22" s="1">
        <f>HAWT!H499</f>
        <v>3.0290081699591489E-2</v>
      </c>
      <c r="E22">
        <f>HAWT!G506</f>
        <v>1465104.5359953204</v>
      </c>
      <c r="F22" s="1">
        <f>HAWT!H506</f>
        <v>1.8284407327204984E-2</v>
      </c>
    </row>
    <row r="23" spans="2:7" x14ac:dyDescent="0.3">
      <c r="B23" t="str">
        <f>HAWT!F500</f>
        <v>total</v>
      </c>
      <c r="C23">
        <f>HAWT!G500</f>
        <v>5332521.849899753</v>
      </c>
      <c r="D23" s="1">
        <f>HAWT!H500</f>
        <v>1</v>
      </c>
      <c r="E23">
        <f>HAWT!G507</f>
        <v>80128631.449564248</v>
      </c>
      <c r="F23" s="1">
        <f>HAWT!H507</f>
        <v>1</v>
      </c>
    </row>
    <row r="27" spans="2:7" x14ac:dyDescent="0.3">
      <c r="C27" t="s">
        <v>1149</v>
      </c>
      <c r="E27">
        <f>AWE!F62</f>
        <v>462528</v>
      </c>
      <c r="F27">
        <f>HAWT!F62</f>
        <v>410885.60999999993</v>
      </c>
    </row>
    <row r="28" spans="2:7" x14ac:dyDescent="0.3">
      <c r="B28" t="str">
        <f>B10</f>
        <v>Materials and Manufacturing</v>
      </c>
      <c r="C28">
        <f>C10</f>
        <v>2923915.7427901062</v>
      </c>
      <c r="D28">
        <f>C19</f>
        <v>4579436.7456972189</v>
      </c>
      <c r="E28">
        <f>C28/$E$27</f>
        <v>6.3215972714951443</v>
      </c>
      <c r="F28">
        <f>D28/$F$27</f>
        <v>11.145283831422619</v>
      </c>
    </row>
    <row r="29" spans="2:7" x14ac:dyDescent="0.3">
      <c r="B29" t="str">
        <f t="shared" ref="B29:C31" si="0">B11</f>
        <v>Installation</v>
      </c>
      <c r="C29">
        <f>C11</f>
        <v>150354.60171699038</v>
      </c>
      <c r="D29">
        <f>C20</f>
        <v>289473.08595141373</v>
      </c>
      <c r="E29">
        <f>C29/$E$27</f>
        <v>0.32507135074415039</v>
      </c>
      <c r="F29">
        <f>D29/$F$27</f>
        <v>0.70451015783057913</v>
      </c>
    </row>
    <row r="30" spans="2:7" x14ac:dyDescent="0.3">
      <c r="B30" t="str">
        <f t="shared" si="0"/>
        <v>Operation and Maintenance</v>
      </c>
      <c r="C30">
        <f t="shared" si="0"/>
        <v>407209.35577614867</v>
      </c>
      <c r="D30">
        <f>C21</f>
        <v>302089.49575280002</v>
      </c>
      <c r="E30">
        <f t="shared" ref="E30:E35" si="1">C30/$E$27</f>
        <v>0.880399361284395</v>
      </c>
      <c r="F30">
        <f t="shared" ref="F30:F35" si="2">D30/$F$27</f>
        <v>0.73521556462588233</v>
      </c>
    </row>
    <row r="31" spans="2:7" x14ac:dyDescent="0.3">
      <c r="B31" t="str">
        <f t="shared" si="0"/>
        <v>End Of Life</v>
      </c>
      <c r="C31">
        <f>C13</f>
        <v>125448.92531492772</v>
      </c>
      <c r="D31">
        <f>C22</f>
        <v>161522.52249832026</v>
      </c>
      <c r="E31">
        <f t="shared" si="1"/>
        <v>0.27122449952203481</v>
      </c>
      <c r="F31">
        <f t="shared" si="2"/>
        <v>0.39310824854226534</v>
      </c>
    </row>
    <row r="32" spans="2:7" x14ac:dyDescent="0.3">
      <c r="E32">
        <f t="shared" si="1"/>
        <v>0</v>
      </c>
      <c r="F32">
        <f t="shared" si="2"/>
        <v>0</v>
      </c>
    </row>
    <row r="33" spans="2:40" x14ac:dyDescent="0.3">
      <c r="B33" t="str">
        <f>B10</f>
        <v>Materials and Manufacturing</v>
      </c>
      <c r="C33">
        <f>E10</f>
        <v>46299294.710681409</v>
      </c>
      <c r="D33">
        <f>E19</f>
        <v>70374651.985281482</v>
      </c>
      <c r="E33">
        <f>C33/$E$27</f>
        <v>100.10052301845815</v>
      </c>
      <c r="F33">
        <f t="shared" si="2"/>
        <v>171.27553331760996</v>
      </c>
    </row>
    <row r="34" spans="2:40" x14ac:dyDescent="0.3">
      <c r="B34" t="str">
        <f t="shared" ref="B34:B36" si="3">B11</f>
        <v>Installation</v>
      </c>
      <c r="C34">
        <f t="shared" ref="C34:C35" si="4">E11</f>
        <v>2155517.7829645397</v>
      </c>
      <c r="D34">
        <f t="shared" ref="D34:D35" si="5">E20</f>
        <v>4160734.1282874565</v>
      </c>
      <c r="E34">
        <f t="shared" si="1"/>
        <v>4.6602968533030209</v>
      </c>
      <c r="F34">
        <f>D34/$F$27</f>
        <v>10.126259053675444</v>
      </c>
    </row>
    <row r="35" spans="2:40" x14ac:dyDescent="0.3">
      <c r="B35" t="str">
        <f t="shared" si="3"/>
        <v>Operation and Maintenance</v>
      </c>
      <c r="C35">
        <f t="shared" si="4"/>
        <v>9999003.3832079805</v>
      </c>
      <c r="D35">
        <f t="shared" si="5"/>
        <v>4128140.8</v>
      </c>
      <c r="E35">
        <f t="shared" si="1"/>
        <v>21.618157999532958</v>
      </c>
      <c r="F35">
        <f t="shared" si="2"/>
        <v>10.046934474049847</v>
      </c>
    </row>
    <row r="36" spans="2:40" x14ac:dyDescent="0.3">
      <c r="B36" t="str">
        <f t="shared" si="3"/>
        <v>End Of Life</v>
      </c>
      <c r="C36">
        <f>E13</f>
        <v>504442.7570923508</v>
      </c>
      <c r="D36">
        <f>E22</f>
        <v>1465104.5359953204</v>
      </c>
      <c r="E36">
        <f>C36/$E$27</f>
        <v>1.0906210155760316</v>
      </c>
      <c r="F36">
        <f>D36/$F$27</f>
        <v>3.5657236475020886</v>
      </c>
    </row>
    <row r="37" spans="2:40" x14ac:dyDescent="0.3">
      <c r="AN37">
        <v>1</v>
      </c>
    </row>
    <row r="48" spans="2:40" x14ac:dyDescent="0.3">
      <c r="E48" s="386" t="s">
        <v>32</v>
      </c>
      <c r="F48" s="386"/>
      <c r="G48" s="386" t="s">
        <v>162</v>
      </c>
      <c r="H48" s="386"/>
      <c r="I48" s="386" t="s">
        <v>1156</v>
      </c>
      <c r="J48" s="386"/>
      <c r="K48" s="386" t="s">
        <v>1184</v>
      </c>
      <c r="L48" s="386"/>
    </row>
    <row r="49" spans="4:39" x14ac:dyDescent="0.3">
      <c r="E49" t="s">
        <v>1172</v>
      </c>
      <c r="F49" t="s">
        <v>1142</v>
      </c>
      <c r="G49" t="s">
        <v>1172</v>
      </c>
      <c r="H49" t="s">
        <v>1142</v>
      </c>
      <c r="I49" t="s">
        <v>1172</v>
      </c>
      <c r="J49" t="s">
        <v>1142</v>
      </c>
    </row>
    <row r="50" spans="4:39" x14ac:dyDescent="0.3">
      <c r="D50" s="12" t="s">
        <v>191</v>
      </c>
      <c r="E50" s="12">
        <f t="shared" ref="E50:I50" si="6">SUM(E51:E57)</f>
        <v>7.7982924830457252</v>
      </c>
      <c r="F50" s="12">
        <f t="shared" si="6"/>
        <v>12.978117802421345</v>
      </c>
      <c r="G50" s="12">
        <f t="shared" si="6"/>
        <v>127.46959835462862</v>
      </c>
      <c r="H50" s="12">
        <f t="shared" si="6"/>
        <v>195.34738987224273</v>
      </c>
      <c r="I50" s="12">
        <f t="shared" si="6"/>
        <v>912967.5001539404</v>
      </c>
      <c r="J50" s="12">
        <f>SUM(J51:J57)</f>
        <v>2708098.3903000001</v>
      </c>
      <c r="K50" s="12">
        <f>I50/$E$27</f>
        <v>1.9738642853058419</v>
      </c>
      <c r="L50" s="12">
        <f>J50/$F$27</f>
        <v>6.5908815601987145</v>
      </c>
      <c r="W50" t="str">
        <f>B28</f>
        <v>Materials and Manufacturing</v>
      </c>
      <c r="X50">
        <f t="shared" ref="X50:Y53" si="7">E28</f>
        <v>6.3215972714951443</v>
      </c>
      <c r="Y50">
        <f t="shared" si="7"/>
        <v>11.145283831422619</v>
      </c>
      <c r="AB50">
        <f t="shared" ref="AB50:AC53" si="8">E33</f>
        <v>100.10052301845815</v>
      </c>
      <c r="AC50">
        <f t="shared" si="8"/>
        <v>171.27553331760996</v>
      </c>
      <c r="AJ50" t="str">
        <f>AF51</f>
        <v>Materials and Manufacturing</v>
      </c>
      <c r="AK50" t="s">
        <v>32</v>
      </c>
      <c r="AL50" cm="1">
        <f t="array" ref="AL50:AM50">AG51:AH51</f>
        <v>6.3215972714951443</v>
      </c>
      <c r="AM50">
        <v>11.145283831422619</v>
      </c>
    </row>
    <row r="51" spans="4:39" x14ac:dyDescent="0.3">
      <c r="D51" t="s">
        <v>1182</v>
      </c>
      <c r="E51">
        <f>K143</f>
        <v>0.73112652718235238</v>
      </c>
      <c r="F51">
        <f t="shared" ref="F51:F57" si="9">L186</f>
        <v>4.847465330730123</v>
      </c>
      <c r="G51">
        <f>L143</f>
        <v>20.23795407631367</v>
      </c>
      <c r="H51">
        <f t="shared" ref="H51:H57" si="10">M186</f>
        <v>69.135538453738917</v>
      </c>
      <c r="I51">
        <f>Q232</f>
        <v>30644.766448687267</v>
      </c>
      <c r="J51">
        <f>R232</f>
        <v>600000</v>
      </c>
      <c r="K51">
        <f t="shared" ref="K51:K55" si="11">I51/$E$27</f>
        <v>6.625494337356283E-2</v>
      </c>
      <c r="L51">
        <f t="shared" ref="L51:L56" si="12">J51/$F$27</f>
        <v>1.4602604359884983</v>
      </c>
      <c r="W51" t="str">
        <f>B29</f>
        <v>Installation</v>
      </c>
      <c r="X51">
        <f t="shared" si="7"/>
        <v>0.32507135074415039</v>
      </c>
      <c r="Y51">
        <f t="shared" si="7"/>
        <v>0.70451015783057913</v>
      </c>
      <c r="AB51">
        <f t="shared" si="8"/>
        <v>4.6602968533030209</v>
      </c>
      <c r="AC51">
        <f t="shared" si="8"/>
        <v>10.126259053675444</v>
      </c>
      <c r="AE51" t="s">
        <v>32</v>
      </c>
      <c r="AF51" t="str">
        <f t="shared" ref="AF51:AH54" si="13">W50</f>
        <v>Materials and Manufacturing</v>
      </c>
      <c r="AG51">
        <f t="shared" si="13"/>
        <v>6.3215972714951443</v>
      </c>
      <c r="AH51">
        <f t="shared" si="13"/>
        <v>11.145283831422619</v>
      </c>
      <c r="AK51" t="s">
        <v>162</v>
      </c>
      <c r="AL51" cm="1">
        <f t="array" ref="AL51:AM51">AG55:AH55</f>
        <v>100.10052301845815</v>
      </c>
      <c r="AM51">
        <v>171.27553331760996</v>
      </c>
    </row>
    <row r="52" spans="4:39" x14ac:dyDescent="0.3">
      <c r="D52" t="s">
        <v>1183</v>
      </c>
      <c r="E52">
        <f t="shared" ref="E52:E57" si="14">K144</f>
        <v>1.1366605712587809</v>
      </c>
      <c r="F52">
        <f t="shared" si="9"/>
        <v>2.8532606882744838</v>
      </c>
      <c r="G52">
        <f t="shared" ref="G52:G57" si="15">L144</f>
        <v>19.468262696376627</v>
      </c>
      <c r="H52">
        <f t="shared" si="10"/>
        <v>52.673805429617836</v>
      </c>
      <c r="I52">
        <f t="shared" ref="I52:J52" si="16">Q233</f>
        <v>31775.800000000003</v>
      </c>
      <c r="J52">
        <f t="shared" si="16"/>
        <v>98900</v>
      </c>
      <c r="K52">
        <f t="shared" si="11"/>
        <v>6.8700273280752733E-2</v>
      </c>
      <c r="L52">
        <f t="shared" si="12"/>
        <v>0.24069959519877082</v>
      </c>
      <c r="W52" t="str">
        <f>B30</f>
        <v>Operation and Maintenance</v>
      </c>
      <c r="X52">
        <f t="shared" si="7"/>
        <v>0.880399361284395</v>
      </c>
      <c r="Y52">
        <f t="shared" si="7"/>
        <v>0.73521556462588233</v>
      </c>
      <c r="AB52">
        <f t="shared" si="8"/>
        <v>21.618157999532958</v>
      </c>
      <c r="AC52">
        <f t="shared" si="8"/>
        <v>10.046934474049847</v>
      </c>
      <c r="AF52" t="str">
        <f t="shared" si="13"/>
        <v>Installation</v>
      </c>
      <c r="AG52">
        <f t="shared" si="13"/>
        <v>0.32507135074415039</v>
      </c>
      <c r="AH52">
        <f t="shared" si="13"/>
        <v>0.70451015783057913</v>
      </c>
      <c r="AJ52" t="str">
        <f>AF52</f>
        <v>Installation</v>
      </c>
      <c r="AK52" t="s">
        <v>32</v>
      </c>
      <c r="AL52" cm="1">
        <f t="array" ref="AL52:AM52">AG52:AH52</f>
        <v>0.32507135074415039</v>
      </c>
      <c r="AM52">
        <v>0.70451015783057913</v>
      </c>
    </row>
    <row r="53" spans="4:39" x14ac:dyDescent="0.3">
      <c r="D53" t="s">
        <v>1763</v>
      </c>
      <c r="E53">
        <f t="shared" si="14"/>
        <v>2.8184420719354972</v>
      </c>
      <c r="F53">
        <f t="shared" si="9"/>
        <v>3.0555202807037829</v>
      </c>
      <c r="G53">
        <f t="shared" si="15"/>
        <v>44.348777706983178</v>
      </c>
      <c r="H53">
        <f t="shared" si="10"/>
        <v>46.550043597825656</v>
      </c>
      <c r="I53">
        <f t="shared" ref="I53:J53" si="17">Q234</f>
        <v>238735.52666666667</v>
      </c>
      <c r="J53">
        <f t="shared" si="17"/>
        <v>249688.125</v>
      </c>
      <c r="K53">
        <f t="shared" si="11"/>
        <v>0.51615367430007841</v>
      </c>
      <c r="L53">
        <f t="shared" si="12"/>
        <v>0.60768281712275118</v>
      </c>
      <c r="W53" t="str">
        <f>B31</f>
        <v>End Of Life</v>
      </c>
      <c r="X53">
        <f t="shared" si="7"/>
        <v>0.27122449952203481</v>
      </c>
      <c r="Y53">
        <f t="shared" si="7"/>
        <v>0.39310824854226534</v>
      </c>
      <c r="AB53">
        <f t="shared" si="8"/>
        <v>1.0906210155760316</v>
      </c>
      <c r="AC53">
        <f t="shared" si="8"/>
        <v>3.5657236475020886</v>
      </c>
      <c r="AF53" t="str">
        <f t="shared" si="13"/>
        <v>Operation and Maintenance</v>
      </c>
      <c r="AG53">
        <f t="shared" si="13"/>
        <v>0.880399361284395</v>
      </c>
      <c r="AH53">
        <f t="shared" si="13"/>
        <v>0.73521556462588233</v>
      </c>
      <c r="AK53" t="s">
        <v>162</v>
      </c>
      <c r="AL53" cm="1">
        <f t="array" ref="AL53:AM53">AG56:AH56</f>
        <v>4.6602968533030209</v>
      </c>
      <c r="AM53">
        <v>10.126259053675444</v>
      </c>
    </row>
    <row r="54" spans="4:39" x14ac:dyDescent="0.3">
      <c r="D54" t="s">
        <v>16</v>
      </c>
      <c r="E54">
        <f t="shared" si="14"/>
        <v>2.0325423061192858</v>
      </c>
      <c r="F54">
        <f t="shared" si="9"/>
        <v>0</v>
      </c>
      <c r="G54">
        <f t="shared" si="15"/>
        <v>29.448763973951117</v>
      </c>
      <c r="H54">
        <f t="shared" si="10"/>
        <v>0</v>
      </c>
      <c r="I54">
        <f t="shared" ref="I54:J54" si="18">Q235</f>
        <v>228066.69859521228</v>
      </c>
      <c r="J54">
        <f t="shared" si="18"/>
        <v>0</v>
      </c>
      <c r="K54">
        <f t="shared" si="11"/>
        <v>0.49308733437805341</v>
      </c>
      <c r="L54">
        <f t="shared" si="12"/>
        <v>0</v>
      </c>
      <c r="AF54" t="str">
        <f t="shared" si="13"/>
        <v>End Of Life</v>
      </c>
      <c r="AG54">
        <f t="shared" si="13"/>
        <v>0.27122449952203481</v>
      </c>
      <c r="AH54">
        <f t="shared" si="13"/>
        <v>0.39310824854226534</v>
      </c>
      <c r="AJ54" t="str">
        <f>AF53</f>
        <v>Operation and Maintenance</v>
      </c>
      <c r="AK54" t="s">
        <v>32</v>
      </c>
      <c r="AL54" cm="1">
        <f t="array" ref="AL54:AM54">AG53:AH53</f>
        <v>0.880399361284395</v>
      </c>
      <c r="AM54">
        <v>0.73521556462588233</v>
      </c>
    </row>
    <row r="55" spans="4:39" x14ac:dyDescent="0.3">
      <c r="D55" t="s">
        <v>50</v>
      </c>
      <c r="E55">
        <f t="shared" si="14"/>
        <v>0.19190197205404994</v>
      </c>
      <c r="F55">
        <f t="shared" si="9"/>
        <v>1.2294623422186801</v>
      </c>
      <c r="G55">
        <f t="shared" si="15"/>
        <v>2.072300898910731</v>
      </c>
      <c r="H55">
        <f t="shared" si="10"/>
        <v>13.353062051360093</v>
      </c>
      <c r="I55">
        <f t="shared" ref="I55:J55" si="19">Q236</f>
        <v>338165.22844337416</v>
      </c>
      <c r="J55">
        <f t="shared" si="19"/>
        <v>1715825</v>
      </c>
      <c r="K55">
        <f t="shared" si="11"/>
        <v>0.73112379886920176</v>
      </c>
      <c r="L55">
        <f t="shared" si="12"/>
        <v>4.1759189376332753</v>
      </c>
      <c r="AE55" t="s">
        <v>162</v>
      </c>
      <c r="AF55" t="str">
        <f>W50</f>
        <v>Materials and Manufacturing</v>
      </c>
      <c r="AG55">
        <f t="shared" ref="AG55:AH58" si="20">AB50</f>
        <v>100.10052301845815</v>
      </c>
      <c r="AH55">
        <f t="shared" si="20"/>
        <v>171.27553331760996</v>
      </c>
      <c r="AK55" t="s">
        <v>162</v>
      </c>
      <c r="AL55" cm="1">
        <f t="array" ref="AL55:AM55">AG57:AH57</f>
        <v>21.618157999532958</v>
      </c>
      <c r="AM55">
        <v>10.046934474049847</v>
      </c>
    </row>
    <row r="56" spans="4:39" x14ac:dyDescent="0.3">
      <c r="D56" t="s">
        <v>139</v>
      </c>
      <c r="E56">
        <f t="shared" si="14"/>
        <v>0.76238029077931335</v>
      </c>
      <c r="F56">
        <f t="shared" si="9"/>
        <v>0.82546642980335472</v>
      </c>
      <c r="G56">
        <f t="shared" si="15"/>
        <v>11.062788305619662</v>
      </c>
      <c r="H56">
        <f t="shared" si="10"/>
        <v>11.959254675590689</v>
      </c>
      <c r="I56">
        <f t="shared" ref="I56:J56" si="21">Q237</f>
        <v>45579.48</v>
      </c>
      <c r="J56">
        <f t="shared" si="21"/>
        <v>43685.265299999999</v>
      </c>
      <c r="K56">
        <f>I56/$E$27</f>
        <v>9.8544261104192621E-2</v>
      </c>
      <c r="L56">
        <f t="shared" si="12"/>
        <v>0.10631977425541869</v>
      </c>
      <c r="AF56" t="str">
        <f>W51</f>
        <v>Installation</v>
      </c>
      <c r="AG56">
        <f t="shared" si="20"/>
        <v>4.6602968533030209</v>
      </c>
      <c r="AH56">
        <f t="shared" si="20"/>
        <v>10.126259053675444</v>
      </c>
      <c r="AJ56" t="str">
        <f>AF54</f>
        <v>End Of Life</v>
      </c>
      <c r="AK56" t="s">
        <v>32</v>
      </c>
      <c r="AL56" cm="1">
        <f t="array" ref="AL56:AM56">AG54:AH54</f>
        <v>0.27122449952203481</v>
      </c>
      <c r="AM56">
        <v>0.39310824854226534</v>
      </c>
    </row>
    <row r="57" spans="4:39" x14ac:dyDescent="0.3">
      <c r="D57" t="s">
        <v>1173</v>
      </c>
      <c r="E57">
        <f t="shared" si="14"/>
        <v>0.12523874371644528</v>
      </c>
      <c r="F57">
        <f t="shared" si="9"/>
        <v>0.16694273069091942</v>
      </c>
      <c r="G57">
        <f t="shared" si="15"/>
        <v>0.83075069647364808</v>
      </c>
      <c r="H57">
        <f t="shared" si="10"/>
        <v>1.6756856641095366</v>
      </c>
      <c r="AF57" t="str">
        <f>W52</f>
        <v>Operation and Maintenance</v>
      </c>
      <c r="AG57">
        <f t="shared" si="20"/>
        <v>21.618157999532958</v>
      </c>
      <c r="AH57">
        <f t="shared" si="20"/>
        <v>10.046934474049847</v>
      </c>
      <c r="AK57" t="s">
        <v>162</v>
      </c>
      <c r="AL57" cm="1">
        <f t="array" ref="AL57:AM57">AG58:AH58</f>
        <v>1.0906210155760316</v>
      </c>
      <c r="AM57">
        <v>3.5657236475020886</v>
      </c>
    </row>
    <row r="58" spans="4:39" x14ac:dyDescent="0.3">
      <c r="AF58" t="str">
        <f>W53</f>
        <v>End Of Life</v>
      </c>
      <c r="AG58">
        <f t="shared" si="20"/>
        <v>1.0906210155760316</v>
      </c>
      <c r="AH58">
        <f t="shared" si="20"/>
        <v>3.5657236475020886</v>
      </c>
    </row>
    <row r="138" spans="2:12" s="70" customFormat="1" x14ac:dyDescent="0.3">
      <c r="B138" s="47" t="s">
        <v>1186</v>
      </c>
      <c r="C138" s="47"/>
      <c r="D138" s="47"/>
    </row>
    <row r="140" spans="2:12" x14ac:dyDescent="0.3">
      <c r="B140" s="337"/>
    </row>
    <row r="141" spans="2:12" x14ac:dyDescent="0.3">
      <c r="B141" t="str">
        <f>AWE!U628</f>
        <v>Tether</v>
      </c>
      <c r="C141" s="1">
        <f t="shared" ref="C141:C147" si="22">E141/$E$169</f>
        <v>9.3754694219522441E-2</v>
      </c>
      <c r="D141" s="1">
        <f t="shared" ref="D141:D147" si="23">F141/$F$169</f>
        <v>0.15876690863973994</v>
      </c>
      <c r="E141">
        <f>AWE!X628</f>
        <v>338166.4903645991</v>
      </c>
      <c r="F141">
        <f>AWE!Y628</f>
        <v>9360620.4230092093</v>
      </c>
    </row>
    <row r="142" spans="2:12" x14ac:dyDescent="0.3">
      <c r="B142" t="str">
        <f>AWE!U630</f>
        <v>Aircraft</v>
      </c>
      <c r="C142" s="1">
        <f t="shared" si="22"/>
        <v>0.14575762241926624</v>
      </c>
      <c r="D142" s="1">
        <f t="shared" si="23"/>
        <v>0.15272867372041657</v>
      </c>
      <c r="E142">
        <f>AWE!X630</f>
        <v>525737.34070318146</v>
      </c>
      <c r="F142">
        <f>AWE!Y630</f>
        <v>9004616.608429689</v>
      </c>
      <c r="I142" t="s">
        <v>1174</v>
      </c>
      <c r="J142" t="s">
        <v>1175</v>
      </c>
      <c r="K142" t="s">
        <v>1176</v>
      </c>
      <c r="L142" t="s">
        <v>1177</v>
      </c>
    </row>
    <row r="143" spans="2:12" x14ac:dyDescent="0.3">
      <c r="B143" t="str">
        <f>AWE!U632</f>
        <v>Full deck</v>
      </c>
      <c r="C143" s="1">
        <f t="shared" si="22"/>
        <v>0.14043677572640414</v>
      </c>
      <c r="D143" s="1">
        <f t="shared" si="23"/>
        <v>0.12441716730972761</v>
      </c>
      <c r="E143">
        <f>AWE!X632</f>
        <v>506545.42645427783</v>
      </c>
      <c r="F143">
        <f>AWE!Y632</f>
        <v>7335419.4981212914</v>
      </c>
      <c r="H143" t="s">
        <v>1182</v>
      </c>
      <c r="I143">
        <f>E141</f>
        <v>338166.4903645991</v>
      </c>
      <c r="J143">
        <f>F141</f>
        <v>9360620.4230092093</v>
      </c>
      <c r="K143">
        <f>I143/$E$27</f>
        <v>0.73112652718235238</v>
      </c>
      <c r="L143">
        <f>J143/$E$27</f>
        <v>20.23795407631367</v>
      </c>
    </row>
    <row r="144" spans="2:12" x14ac:dyDescent="0.3">
      <c r="B144" t="str">
        <f>AWE!U633</f>
        <v>Catapult</v>
      </c>
      <c r="C144" s="1">
        <f t="shared" si="22"/>
        <v>3.9292089872040789E-2</v>
      </c>
      <c r="D144" s="1">
        <f t="shared" si="23"/>
        <v>3.5398351312781198E-2</v>
      </c>
      <c r="E144">
        <f>AWE!X633</f>
        <v>141723.76371904</v>
      </c>
      <c r="F144">
        <f>AWE!Y633</f>
        <v>2087025.1431999998</v>
      </c>
      <c r="H144" t="s">
        <v>1183</v>
      </c>
      <c r="I144">
        <f>E142</f>
        <v>525737.34070318146</v>
      </c>
      <c r="J144">
        <f>F142</f>
        <v>9004616.608429689</v>
      </c>
      <c r="K144">
        <f t="shared" ref="K144:K149" si="24">I144/$E$27</f>
        <v>1.1366605712587809</v>
      </c>
      <c r="L144">
        <f t="shared" ref="L144:L149" si="25">J144/$E$27</f>
        <v>19.468262696376627</v>
      </c>
    </row>
    <row r="145" spans="2:12" x14ac:dyDescent="0.3">
      <c r="B145" t="str">
        <f>AWE!U634</f>
        <v>shifter</v>
      </c>
      <c r="C145" s="1">
        <f t="shared" si="22"/>
        <v>5.8519476785892442E-2</v>
      </c>
      <c r="D145" s="1">
        <f t="shared" si="23"/>
        <v>5.1282730053464023E-2</v>
      </c>
      <c r="E145">
        <f>AWE!X634</f>
        <v>211075.57597406325</v>
      </c>
      <c r="F145">
        <f>AWE!Y634</f>
        <v>3023540.4493223731</v>
      </c>
      <c r="H145" t="s">
        <v>1170</v>
      </c>
      <c r="I145">
        <f>SUM(E147:E156)</f>
        <v>1303608.3746481817</v>
      </c>
      <c r="J145">
        <f>SUM(F147:F156)</f>
        <v>20512551.455255516</v>
      </c>
      <c r="K145">
        <f>I145/$E$27</f>
        <v>2.8184420719354972</v>
      </c>
      <c r="L145">
        <f t="shared" si="25"/>
        <v>44.348777706983178</v>
      </c>
    </row>
    <row r="146" spans="2:12" x14ac:dyDescent="0.3">
      <c r="B146" t="str">
        <f>AWE!U635</f>
        <v>Yaw</v>
      </c>
      <c r="C146" s="1">
        <f t="shared" si="22"/>
        <v>2.2391061759356623E-2</v>
      </c>
      <c r="D146" s="1">
        <f t="shared" si="23"/>
        <v>1.9927535935215488E-2</v>
      </c>
      <c r="E146">
        <f>AWE!X635</f>
        <v>80762.961617360008</v>
      </c>
      <c r="F146">
        <f>AWE!Y635</f>
        <v>1174892.8127000001</v>
      </c>
      <c r="H146" t="s">
        <v>1171</v>
      </c>
      <c r="I146">
        <f>SUM(E143:E146)</f>
        <v>940107.72776474105</v>
      </c>
      <c r="J146">
        <f>SUM(F143:F146)</f>
        <v>13620877.903343663</v>
      </c>
      <c r="K146">
        <f t="shared" si="24"/>
        <v>2.0325423061192858</v>
      </c>
      <c r="L146">
        <f t="shared" si="25"/>
        <v>29.448763973951117</v>
      </c>
    </row>
    <row r="147" spans="2:12" x14ac:dyDescent="0.3">
      <c r="B147" t="str">
        <f>AWE!U637</f>
        <v xml:space="preserve">Generator </v>
      </c>
      <c r="C147" s="1">
        <f t="shared" si="22"/>
        <v>2.0839975545254859E-2</v>
      </c>
      <c r="D147" s="1">
        <f t="shared" si="23"/>
        <v>1.9078902709563653E-2</v>
      </c>
      <c r="E147">
        <f>AWE!X637</f>
        <v>75168.304350945662</v>
      </c>
      <c r="F147">
        <f>AWE!Y637</f>
        <v>1124858.8757055728</v>
      </c>
      <c r="H147" t="s">
        <v>50</v>
      </c>
      <c r="I147">
        <f>E157</f>
        <v>88760.035330215615</v>
      </c>
      <c r="J147">
        <f>F157</f>
        <v>958497.19017138262</v>
      </c>
      <c r="K147">
        <f t="shared" si="24"/>
        <v>0.19190197205404994</v>
      </c>
      <c r="L147">
        <f t="shared" si="25"/>
        <v>2.072300898910731</v>
      </c>
    </row>
    <row r="148" spans="2:12" x14ac:dyDescent="0.3">
      <c r="C148" s="1"/>
      <c r="D148" s="1"/>
      <c r="H148" t="s">
        <v>139</v>
      </c>
      <c r="I148">
        <f>E158</f>
        <v>352622.23113357427</v>
      </c>
      <c r="J148">
        <f>F158</f>
        <v>5116849.3494216511</v>
      </c>
      <c r="K148">
        <f t="shared" si="24"/>
        <v>0.76238029077931335</v>
      </c>
      <c r="L148">
        <f t="shared" si="25"/>
        <v>11.062788305619662</v>
      </c>
    </row>
    <row r="149" spans="2:12" x14ac:dyDescent="0.3">
      <c r="B149" t="str">
        <f>AWE!U639</f>
        <v>Transformer</v>
      </c>
      <c r="C149" s="1">
        <f t="shared" ref="C149:C161" si="26">E149/$E$169</f>
        <v>2.6060686802835856E-2</v>
      </c>
      <c r="D149" s="1">
        <f t="shared" ref="D149:D161" si="27">F149/$F$169</f>
        <v>2.7386709994980933E-2</v>
      </c>
      <c r="E149">
        <f>AWE!X639</f>
        <v>93999.037231897193</v>
      </c>
      <c r="F149">
        <f>AWE!Y639</f>
        <v>1614672.7242750002</v>
      </c>
      <c r="H149" t="s">
        <v>1173</v>
      </c>
      <c r="I149">
        <f>E159+E160+E161</f>
        <v>57926.425653680002</v>
      </c>
      <c r="J149">
        <f>F159+F160+F161</f>
        <v>384245.4581385635</v>
      </c>
      <c r="K149">
        <f t="shared" si="24"/>
        <v>0.12523874371644528</v>
      </c>
      <c r="L149">
        <f t="shared" si="25"/>
        <v>0.83075069647364808</v>
      </c>
    </row>
    <row r="150" spans="2:12" x14ac:dyDescent="0.3">
      <c r="B150" t="str">
        <f>AWE!U640</f>
        <v>Drum</v>
      </c>
      <c r="C150" s="1">
        <f t="shared" si="26"/>
        <v>5.3087004066545464E-2</v>
      </c>
      <c r="D150" s="1">
        <f t="shared" si="27"/>
        <v>5.1419938941399033E-2</v>
      </c>
      <c r="E150">
        <f>AWE!X640</f>
        <v>191481.03461486948</v>
      </c>
      <c r="F150">
        <f>AWE!Y640</f>
        <v>3031630.0463903444</v>
      </c>
    </row>
    <row r="151" spans="2:12" x14ac:dyDescent="0.3">
      <c r="B151" t="str">
        <f>AWE!U641</f>
        <v>Converter</v>
      </c>
      <c r="C151" s="1">
        <f t="shared" si="26"/>
        <v>8.9776232207424249E-3</v>
      </c>
      <c r="D151" s="1">
        <f t="shared" si="27"/>
        <v>7.6004731895352624E-3</v>
      </c>
      <c r="E151">
        <f>AWE!X641</f>
        <v>32381.646184730722</v>
      </c>
      <c r="F151">
        <f>AWE!Y641</f>
        <v>448110.66217793594</v>
      </c>
    </row>
    <row r="152" spans="2:12" x14ac:dyDescent="0.3">
      <c r="B152" t="str">
        <f>AWE!U642</f>
        <v>electronics</v>
      </c>
      <c r="C152" s="1">
        <f t="shared" si="26"/>
        <v>5.155492059484853E-3</v>
      </c>
      <c r="D152" s="1">
        <f t="shared" si="27"/>
        <v>4.8697461195624219E-3</v>
      </c>
      <c r="E152">
        <f>AWE!X642</f>
        <v>18595.4918884</v>
      </c>
      <c r="F152">
        <f>AWE!Y642</f>
        <v>287111.75</v>
      </c>
    </row>
    <row r="153" spans="2:12" x14ac:dyDescent="0.3">
      <c r="B153" t="str">
        <f>AWE!U643</f>
        <v>hydro extras</v>
      </c>
      <c r="C153" s="1">
        <f t="shared" si="26"/>
        <v>7.5857984537806853E-3</v>
      </c>
      <c r="D153" s="1">
        <f t="shared" si="27"/>
        <v>1.4045563175112068E-2</v>
      </c>
      <c r="E153">
        <f>AWE!X643</f>
        <v>27361.433590959918</v>
      </c>
      <c r="F153">
        <f>AWE!Y643</f>
        <v>828101.94287999999</v>
      </c>
    </row>
    <row r="154" spans="2:12" x14ac:dyDescent="0.3">
      <c r="B154" t="str">
        <f>AWE!U644</f>
        <v>hydro accumul</v>
      </c>
      <c r="C154" s="1">
        <f t="shared" si="26"/>
        <v>0.17642437423129079</v>
      </c>
      <c r="D154" s="1">
        <f t="shared" si="27"/>
        <v>0.1648162954682261</v>
      </c>
      <c r="E154">
        <f>AWE!X644</f>
        <v>636350.12566808751</v>
      </c>
      <c r="F154">
        <f>AWE!Y644</f>
        <v>9717281.7347306665</v>
      </c>
    </row>
    <row r="155" spans="2:12" x14ac:dyDescent="0.3">
      <c r="B155" t="str">
        <f>AWE!U645</f>
        <v>hydro motor (drum</v>
      </c>
      <c r="C155" s="1">
        <f t="shared" si="26"/>
        <v>5.8350444080965513E-2</v>
      </c>
      <c r="D155" s="1">
        <f t="shared" si="27"/>
        <v>5.4120302180803707E-2</v>
      </c>
      <c r="E155">
        <f>AWE!X645</f>
        <v>210465.88707200001</v>
      </c>
      <c r="F155">
        <f>AWE!Y645</f>
        <v>3190838.76</v>
      </c>
    </row>
    <row r="156" spans="2:12" x14ac:dyDescent="0.3">
      <c r="B156" t="str">
        <f>AWE!U646</f>
        <v>hydro motor grid</v>
      </c>
      <c r="C156" s="1">
        <f t="shared" si="26"/>
        <v>4.9364475692496822E-3</v>
      </c>
      <c r="D156" s="1">
        <f t="shared" si="27"/>
        <v>4.5785775644959946E-3</v>
      </c>
      <c r="E156">
        <f>AWE!X646</f>
        <v>17805.4140462912</v>
      </c>
      <c r="F156">
        <f>AWE!Y646</f>
        <v>269944.95909600001</v>
      </c>
    </row>
    <row r="157" spans="2:12" x14ac:dyDescent="0.3">
      <c r="B157" t="str">
        <f>AWE!U648</f>
        <v>Foundations</v>
      </c>
      <c r="C157" s="1">
        <f t="shared" si="26"/>
        <v>2.4608203971736655E-2</v>
      </c>
      <c r="D157" s="1">
        <f t="shared" si="27"/>
        <v>1.6257216823932059E-2</v>
      </c>
      <c r="E157">
        <f>AWE!X648</f>
        <v>88760.035330215615</v>
      </c>
      <c r="F157">
        <f>AWE!Y648</f>
        <v>958497.19017138262</v>
      </c>
    </row>
    <row r="158" spans="2:12" x14ac:dyDescent="0.3">
      <c r="B158" t="str">
        <f>AWE!U650</f>
        <v>Cables</v>
      </c>
      <c r="C158" s="1">
        <f t="shared" si="26"/>
        <v>9.7762464339059482E-2</v>
      </c>
      <c r="D158" s="1">
        <f t="shared" si="27"/>
        <v>8.6787661124045221E-2</v>
      </c>
      <c r="E158">
        <f>AWE!X650</f>
        <v>352622.23113357427</v>
      </c>
      <c r="F158">
        <f>AWE!Y650</f>
        <v>5116849.3494216511</v>
      </c>
    </row>
    <row r="159" spans="2:12" x14ac:dyDescent="0.3">
      <c r="B159" t="s">
        <v>1590</v>
      </c>
      <c r="C159" s="1">
        <f t="shared" si="26"/>
        <v>1.0019693692720766E-3</v>
      </c>
      <c r="D159" s="1">
        <f t="shared" si="27"/>
        <v>9.122614914357617E-4</v>
      </c>
      <c r="E159">
        <f>E163+E164</f>
        <v>3614.0320000000002</v>
      </c>
      <c r="F159">
        <f>F163+F164</f>
        <v>53785.348729281774</v>
      </c>
    </row>
    <row r="160" spans="2:12" x14ac:dyDescent="0.3">
      <c r="B160" t="s">
        <v>1591</v>
      </c>
      <c r="C160" s="1">
        <f t="shared" si="26"/>
        <v>1.3636336234716346E-2</v>
      </c>
      <c r="D160" s="1">
        <f t="shared" si="27"/>
        <v>4.3098084466604656E-3</v>
      </c>
      <c r="E160">
        <f>E165+E166</f>
        <v>49185.291513280004</v>
      </c>
      <c r="F160">
        <f>F165+F166</f>
        <v>254098.8</v>
      </c>
    </row>
    <row r="161" spans="1:6" x14ac:dyDescent="0.3">
      <c r="B161" t="s">
        <v>1592</v>
      </c>
      <c r="C161" s="1">
        <f t="shared" si="26"/>
        <v>1.4214592725825621E-3</v>
      </c>
      <c r="D161" s="1">
        <f t="shared" si="27"/>
        <v>1.2951757989025368E-3</v>
      </c>
      <c r="E161">
        <f>E167</f>
        <v>5127.1021404000003</v>
      </c>
      <c r="F161">
        <f>F167</f>
        <v>76361.309409281777</v>
      </c>
    </row>
    <row r="162" spans="1:6" x14ac:dyDescent="0.3">
      <c r="D162" s="1"/>
    </row>
    <row r="163" spans="1:6" x14ac:dyDescent="0.3">
      <c r="B163" t="str">
        <f>AWE!U655</f>
        <v>digging</v>
      </c>
      <c r="C163" s="1">
        <f>E163/$E$169</f>
        <v>5.028233680945723E-4</v>
      </c>
      <c r="D163" s="1"/>
      <c r="E163">
        <f>AWE!X655</f>
        <v>1813.6480000000001</v>
      </c>
      <c r="F163">
        <f>AWE!Y655</f>
        <v>26928.880000000001</v>
      </c>
    </row>
    <row r="164" spans="1:6" x14ac:dyDescent="0.3">
      <c r="B164" t="str">
        <f>AWE!U656</f>
        <v>crane operation</v>
      </c>
      <c r="C164" s="1">
        <f>E164/$E$169</f>
        <v>4.9914600117750428E-4</v>
      </c>
      <c r="D164" s="1"/>
      <c r="E164">
        <f>AWE!X656</f>
        <v>1800.384</v>
      </c>
      <c r="F164">
        <f>AWE!Y656</f>
        <v>26856.468729281776</v>
      </c>
    </row>
    <row r="165" spans="1:6" x14ac:dyDescent="0.3">
      <c r="B165" t="str">
        <f>AWE!U661</f>
        <v>servicing transport</v>
      </c>
      <c r="C165" s="1">
        <f>E165/$E$169</f>
        <v>1.2665099019646965E-2</v>
      </c>
      <c r="D165" s="1"/>
      <c r="E165">
        <f>AWE!X661</f>
        <v>45682.108200000002</v>
      </c>
      <c r="F165">
        <f>AWE!Y661</f>
        <v>136800</v>
      </c>
    </row>
    <row r="166" spans="1:6" x14ac:dyDescent="0.3">
      <c r="B166" t="str">
        <f>AWE!U662</f>
        <v>consumables</v>
      </c>
      <c r="C166" s="1">
        <f>E166/$E$169</f>
        <v>9.7123721506938104E-4</v>
      </c>
      <c r="D166" s="1"/>
      <c r="E166">
        <f>AWE!X662</f>
        <v>3503.1833132800002</v>
      </c>
      <c r="F166">
        <f>AWE!Y662</f>
        <v>117298.8</v>
      </c>
    </row>
    <row r="167" spans="1:6" x14ac:dyDescent="0.3">
      <c r="B167" t="str">
        <f>AWE!U667</f>
        <v>disassembly</v>
      </c>
      <c r="C167" s="1"/>
      <c r="D167" s="1"/>
      <c r="E167">
        <f>AWE!X667</f>
        <v>5127.1021404000003</v>
      </c>
      <c r="F167">
        <f>AWE!Y667</f>
        <v>76361.309409281777</v>
      </c>
    </row>
    <row r="168" spans="1:6" x14ac:dyDescent="0.3">
      <c r="D168" s="1"/>
    </row>
    <row r="169" spans="1:6" x14ac:dyDescent="0.3">
      <c r="B169" t="s">
        <v>55</v>
      </c>
      <c r="C169" s="1">
        <f>SUM(C141:C161)</f>
        <v>1</v>
      </c>
      <c r="D169" s="1">
        <f>SUM(D141:D161)</f>
        <v>1</v>
      </c>
      <c r="E169">
        <f>AWE!X669</f>
        <v>3606928.6255981736</v>
      </c>
      <c r="F169">
        <f>AWE!Y669</f>
        <v>58958258.387769677</v>
      </c>
    </row>
    <row r="170" spans="1:6" x14ac:dyDescent="0.3">
      <c r="D170" s="1"/>
    </row>
    <row r="172" spans="1:6" x14ac:dyDescent="0.3">
      <c r="A172" t="s">
        <v>1148</v>
      </c>
    </row>
    <row r="173" spans="1:6" x14ac:dyDescent="0.3">
      <c r="B173">
        <f>2*E141</f>
        <v>676332.9807291982</v>
      </c>
      <c r="C173">
        <f>2*F141</f>
        <v>18721240.846018419</v>
      </c>
    </row>
    <row r="174" spans="1:6" x14ac:dyDescent="0.3">
      <c r="B174">
        <f>E169+B173</f>
        <v>4283261.6063273717</v>
      </c>
      <c r="C174">
        <f>F169+C173</f>
        <v>77679499.233788103</v>
      </c>
    </row>
    <row r="175" spans="1:6" x14ac:dyDescent="0.3">
      <c r="B175">
        <f>B173/B174</f>
        <v>0.15790139451909671</v>
      </c>
      <c r="C175">
        <f>C173/C174</f>
        <v>0.24100619894155131</v>
      </c>
    </row>
    <row r="177" spans="2:13" s="70" customFormat="1" x14ac:dyDescent="0.3">
      <c r="B177" s="47" t="s">
        <v>1185</v>
      </c>
      <c r="C177" s="47"/>
      <c r="D177" s="47"/>
    </row>
    <row r="179" spans="2:13" x14ac:dyDescent="0.3">
      <c r="D179" s="1">
        <f>SUM(D182:D203)</f>
        <v>0.99999999999999989</v>
      </c>
      <c r="E179" s="1">
        <f>SUM(E182:E203)</f>
        <v>1.0000000000000002</v>
      </c>
    </row>
    <row r="182" spans="2:13" x14ac:dyDescent="0.3">
      <c r="B182" t="str">
        <f>HAWT!U437</f>
        <v>tower</v>
      </c>
      <c r="D182" s="1">
        <f>F182/$F$218</f>
        <v>0.37351065882802548</v>
      </c>
      <c r="E182" s="1">
        <f>G182/$G$218</f>
        <v>0.35391073563334324</v>
      </c>
      <c r="F182">
        <f>HAWT!X437</f>
        <v>1991753.7493708979</v>
      </c>
      <c r="G182">
        <f>HAWT!Y437</f>
        <v>28406797.890242968</v>
      </c>
    </row>
    <row r="183" spans="2:13" x14ac:dyDescent="0.3">
      <c r="B183" t="str">
        <f>HAWT!U439</f>
        <v>blades</v>
      </c>
      <c r="D183" s="1">
        <f t="shared" ref="D183:D203" si="28">F183/$F$218</f>
        <v>0.17526289701715281</v>
      </c>
      <c r="E183" s="1">
        <f t="shared" ref="E183:E203" si="29">G183/$G$218</f>
        <v>0.22461780746541379</v>
      </c>
      <c r="F183">
        <f>HAWT!X439</f>
        <v>934593.22782069759</v>
      </c>
      <c r="G183">
        <f>HAWT!Y439</f>
        <v>18029045.227466591</v>
      </c>
    </row>
    <row r="184" spans="2:13" x14ac:dyDescent="0.3">
      <c r="B184" t="str">
        <f>HAWT!U440</f>
        <v>hub</v>
      </c>
      <c r="D184" s="1">
        <f t="shared" si="28"/>
        <v>2.3216577498169539E-2</v>
      </c>
      <c r="E184" s="1">
        <f t="shared" si="29"/>
        <v>2.2894446573238674E-2</v>
      </c>
      <c r="F184">
        <f>HAWT!X440</f>
        <v>123802.90678888001</v>
      </c>
      <c r="G184">
        <f>HAWT!Y440</f>
        <v>1837632.632</v>
      </c>
    </row>
    <row r="185" spans="2:13" x14ac:dyDescent="0.3">
      <c r="B185" t="str">
        <f>HAWT!U441</f>
        <v>spinner</v>
      </c>
      <c r="D185" s="1">
        <f t="shared" si="28"/>
        <v>2.4135423438321531E-3</v>
      </c>
      <c r="E185" s="1">
        <f t="shared" si="29"/>
        <v>2.8804325227918272E-3</v>
      </c>
      <c r="F185">
        <f>HAWT!X441</f>
        <v>12870.26728414322</v>
      </c>
      <c r="G185">
        <f>HAWT!Y441</f>
        <v>231199.1592032428</v>
      </c>
      <c r="J185" t="s">
        <v>1174</v>
      </c>
      <c r="K185" t="s">
        <v>1175</v>
      </c>
      <c r="L185" t="s">
        <v>1176</v>
      </c>
      <c r="M185" t="s">
        <v>1177</v>
      </c>
    </row>
    <row r="186" spans="2:13" x14ac:dyDescent="0.3">
      <c r="B186" t="str">
        <f>HAWT!U442</f>
        <v>pitch</v>
      </c>
      <c r="D186" s="1">
        <f t="shared" si="28"/>
        <v>1.8958638959699819E-2</v>
      </c>
      <c r="E186" s="1">
        <f t="shared" si="29"/>
        <v>1.9249029481275999E-2</v>
      </c>
      <c r="F186">
        <f>HAWT!X442</f>
        <v>101097.35649696001</v>
      </c>
      <c r="G186">
        <f>HAWT!Y442</f>
        <v>1545031.6562999999</v>
      </c>
      <c r="I186" t="s">
        <v>1182</v>
      </c>
      <c r="J186">
        <f>F182</f>
        <v>1991753.7493708979</v>
      </c>
      <c r="K186">
        <f>G182</f>
        <v>28406797.890242968</v>
      </c>
      <c r="L186">
        <f>J186/$F$27</f>
        <v>4.847465330730123</v>
      </c>
      <c r="M186">
        <f>K186/$F$27</f>
        <v>69.135538453738917</v>
      </c>
    </row>
    <row r="187" spans="2:13" x14ac:dyDescent="0.3">
      <c r="B187" t="str">
        <f>HAWT!U444</f>
        <v>generator</v>
      </c>
      <c r="D187" s="1">
        <f t="shared" si="28"/>
        <v>1.2962916896956146E-2</v>
      </c>
      <c r="E187" s="1">
        <f t="shared" si="29"/>
        <v>1.2887542839773964E-2</v>
      </c>
      <c r="F187">
        <f>HAWT!X444</f>
        <v>69125.037591453351</v>
      </c>
      <c r="G187">
        <f>HAWT!Y444</f>
        <v>1034424.1863591997</v>
      </c>
      <c r="I187" t="s">
        <v>1183</v>
      </c>
      <c r="J187">
        <f>SUM(F183:F186)</f>
        <v>1172363.7583906809</v>
      </c>
      <c r="K187">
        <f>SUM(G183:G186)</f>
        <v>21642908.674969833</v>
      </c>
      <c r="L187">
        <f t="shared" ref="L187:L192" si="30">J187/$F$27</f>
        <v>2.8532606882744838</v>
      </c>
      <c r="M187">
        <f t="shared" ref="M187:M192" si="31">K187/$F$27</f>
        <v>52.673805429617836</v>
      </c>
    </row>
    <row r="188" spans="2:13" x14ac:dyDescent="0.3">
      <c r="B188" t="str">
        <f>HAWT!U445</f>
        <v>gearbox</v>
      </c>
      <c r="D188" s="1">
        <f t="shared" si="28"/>
        <v>9.590811251801519E-2</v>
      </c>
      <c r="E188" s="1">
        <f t="shared" si="29"/>
        <v>9.6417228361013893E-2</v>
      </c>
      <c r="F188">
        <f>HAWT!X445</f>
        <v>511432.10558496002</v>
      </c>
      <c r="G188">
        <f>HAWT!Y445</f>
        <v>7738970.4335679421</v>
      </c>
      <c r="I188" t="s">
        <v>1170</v>
      </c>
      <c r="J188">
        <f>SUM(F187:F198)</f>
        <v>1255469.3144043449</v>
      </c>
      <c r="K188">
        <f>SUM(G187:G198)</f>
        <v>19126743.059219185</v>
      </c>
      <c r="L188">
        <f t="shared" si="30"/>
        <v>3.0555202807037829</v>
      </c>
      <c r="M188">
        <f t="shared" si="31"/>
        <v>46.550043597825656</v>
      </c>
    </row>
    <row r="189" spans="2:13" x14ac:dyDescent="0.3">
      <c r="B189" t="str">
        <f>HAWT!U446</f>
        <v>transformer</v>
      </c>
      <c r="D189" s="1">
        <f t="shared" si="28"/>
        <v>1.700834961430692E-2</v>
      </c>
      <c r="E189" s="1">
        <f t="shared" si="29"/>
        <v>1.9410082314329953E-2</v>
      </c>
      <c r="F189">
        <f>HAWT!X446</f>
        <v>90697.395949025697</v>
      </c>
      <c r="G189">
        <f>HAWT!Y446</f>
        <v>1557958.6314312501</v>
      </c>
      <c r="I189" t="s">
        <v>1171</v>
      </c>
      <c r="L189">
        <f t="shared" si="30"/>
        <v>0</v>
      </c>
      <c r="M189">
        <f t="shared" si="31"/>
        <v>0</v>
      </c>
    </row>
    <row r="190" spans="2:13" x14ac:dyDescent="0.3">
      <c r="B190" t="str">
        <f>HAWT!U447</f>
        <v>cover</v>
      </c>
      <c r="D190" s="1">
        <f t="shared" si="28"/>
        <v>4.2639248074368046E-3</v>
      </c>
      <c r="E190" s="1">
        <f t="shared" si="29"/>
        <v>5.0887641235988941E-3</v>
      </c>
      <c r="F190">
        <f>HAWT!X447</f>
        <v>22737.472201986358</v>
      </c>
      <c r="G190">
        <f>HAWT!Y447</f>
        <v>408451.84792572894</v>
      </c>
      <c r="I190" t="s">
        <v>50</v>
      </c>
      <c r="J190">
        <f>F199</f>
        <v>505168.38445455104</v>
      </c>
      <c r="K190">
        <f>G199</f>
        <v>5486581.0463409424</v>
      </c>
      <c r="L190">
        <f t="shared" si="30"/>
        <v>1.2294623422186801</v>
      </c>
      <c r="M190">
        <f t="shared" si="31"/>
        <v>13.353062051360093</v>
      </c>
    </row>
    <row r="191" spans="2:13" x14ac:dyDescent="0.3">
      <c r="B191" t="str">
        <f>HAWT!U448</f>
        <v>yaw</v>
      </c>
      <c r="D191" s="1">
        <f t="shared" si="28"/>
        <v>7.9381685590203394E-3</v>
      </c>
      <c r="E191" s="1">
        <f t="shared" si="29"/>
        <v>7.9316421949346683E-3</v>
      </c>
      <c r="F191">
        <f>HAWT!X448</f>
        <v>42330.457289163198</v>
      </c>
      <c r="G191">
        <f>HAWT!Y448</f>
        <v>636636.68287999998</v>
      </c>
      <c r="I191" t="s">
        <v>139</v>
      </c>
      <c r="J191">
        <f>F200</f>
        <v>339172.27754427353</v>
      </c>
      <c r="K191">
        <f>G200</f>
        <v>4913885.6525254315</v>
      </c>
      <c r="L191">
        <f t="shared" si="30"/>
        <v>0.82546642980335472</v>
      </c>
      <c r="M191">
        <f t="shared" si="31"/>
        <v>11.959254675590689</v>
      </c>
    </row>
    <row r="192" spans="2:13" x14ac:dyDescent="0.3">
      <c r="B192" t="str">
        <f>HAWT!U449</f>
        <v>shaft</v>
      </c>
      <c r="D192" s="1">
        <f t="shared" si="28"/>
        <v>2.180850280999903E-2</v>
      </c>
      <c r="E192" s="1">
        <f t="shared" si="29"/>
        <v>2.2208103984591204E-2</v>
      </c>
      <c r="F192">
        <f>HAWT!X449</f>
        <v>116294.31774791999</v>
      </c>
      <c r="G192">
        <f>HAWT!Y449</f>
        <v>1782543.048</v>
      </c>
      <c r="I192" t="s">
        <v>1173</v>
      </c>
      <c r="J192">
        <f>F201+F202+F203</f>
        <v>68594.365735004132</v>
      </c>
      <c r="K192">
        <f>G201+G202+G203</f>
        <v>688515.12626590196</v>
      </c>
      <c r="L192">
        <f t="shared" si="30"/>
        <v>0.16694273069091942</v>
      </c>
      <c r="M192">
        <f t="shared" si="31"/>
        <v>1.6756856641095366</v>
      </c>
    </row>
    <row r="193" spans="2:7" x14ac:dyDescent="0.3">
      <c r="B193" t="str">
        <f>HAWT!U450</f>
        <v>bed plate</v>
      </c>
      <c r="D193" s="1">
        <f>F193/$F$218</f>
        <v>5.1640650688824993E-2</v>
      </c>
      <c r="E193" s="1">
        <f t="shared" si="29"/>
        <v>5.0279528317690357E-2</v>
      </c>
      <c r="F193">
        <f>HAWT!X450</f>
        <v>275374.89814120001</v>
      </c>
      <c r="G193">
        <f>HAWT!Y450</f>
        <v>4035708.0334999999</v>
      </c>
    </row>
    <row r="194" spans="2:7" x14ac:dyDescent="0.3">
      <c r="B194" t="str">
        <f>HAWT!U451</f>
        <v>Brake</v>
      </c>
      <c r="D194" s="1">
        <f t="shared" si="28"/>
        <v>3.402441243176282E-3</v>
      </c>
      <c r="E194" s="1">
        <f t="shared" si="29"/>
        <v>3.4565691161123906E-3</v>
      </c>
      <c r="F194">
        <f>HAWT!X451</f>
        <v>18143.592272237602</v>
      </c>
      <c r="G194">
        <f>HAWT!Y451</f>
        <v>277443.01143999997</v>
      </c>
    </row>
    <row r="195" spans="2:7" x14ac:dyDescent="0.3">
      <c r="B195" t="str">
        <f>HAWT!U452</f>
        <v>HVAC</v>
      </c>
      <c r="D195" s="1">
        <f t="shared" si="28"/>
        <v>0</v>
      </c>
      <c r="E195" s="1">
        <f t="shared" si="29"/>
        <v>0</v>
      </c>
      <c r="F195">
        <f>HAWT!X452</f>
        <v>0</v>
      </c>
      <c r="G195">
        <f>HAWT!Y452</f>
        <v>0</v>
      </c>
    </row>
    <row r="196" spans="2:7" x14ac:dyDescent="0.3">
      <c r="B196" t="str">
        <f>HAWT!U453</f>
        <v>electronics</v>
      </c>
      <c r="D196" s="1">
        <f t="shared" si="28"/>
        <v>3.4871853152837209E-3</v>
      </c>
      <c r="E196" s="1">
        <f t="shared" si="29"/>
        <v>3.5770286761669019E-3</v>
      </c>
      <c r="F196">
        <f>HAWT!X453</f>
        <v>18595.4918884</v>
      </c>
      <c r="G196">
        <f>HAWT!Y453</f>
        <v>287111.75</v>
      </c>
    </row>
    <row r="197" spans="2:7" x14ac:dyDescent="0.3">
      <c r="B197" t="str">
        <f>HAWT!U454</f>
        <v>bearings</v>
      </c>
      <c r="D197" s="1">
        <f t="shared" si="28"/>
        <v>1.3420617113845557E-2</v>
      </c>
      <c r="E197" s="1">
        <f t="shared" si="29"/>
        <v>1.3666525528979203E-2</v>
      </c>
      <c r="F197">
        <f>HAWT!X454</f>
        <v>71565.733998719996</v>
      </c>
      <c r="G197">
        <f>HAWT!Y454</f>
        <v>1096949.568</v>
      </c>
    </row>
    <row r="198" spans="2:7" x14ac:dyDescent="0.3">
      <c r="B198" t="str">
        <f>HAWT!U455</f>
        <v>converter</v>
      </c>
      <c r="D198" s="1">
        <f t="shared" si="28"/>
        <v>3.595449260023041E-3</v>
      </c>
      <c r="E198" s="1">
        <f t="shared" si="29"/>
        <v>3.3706399034940213E-3</v>
      </c>
      <c r="F198">
        <f>HAWT!X455</f>
        <v>19172.811739278764</v>
      </c>
      <c r="G198">
        <f>HAWT!Y455</f>
        <v>270545.86611506523</v>
      </c>
    </row>
    <row r="199" spans="2:7" x14ac:dyDescent="0.3">
      <c r="B199" t="str">
        <f>HAWT!U457</f>
        <v>foundations</v>
      </c>
      <c r="D199" s="1">
        <f t="shared" si="28"/>
        <v>9.4733486082958632E-2</v>
      </c>
      <c r="E199" s="1">
        <f t="shared" si="29"/>
        <v>6.8355466945798471E-2</v>
      </c>
      <c r="F199">
        <f>HAWT!X457</f>
        <v>505168.38445455104</v>
      </c>
      <c r="G199">
        <f>HAWT!Y457</f>
        <v>5486581.0463409424</v>
      </c>
    </row>
    <row r="200" spans="2:7" x14ac:dyDescent="0.3">
      <c r="B200" t="str">
        <f>HAWT!U459</f>
        <v>cables</v>
      </c>
      <c r="D200" s="1">
        <f t="shared" si="28"/>
        <v>6.3604479661091257E-2</v>
      </c>
      <c r="E200" s="1">
        <f t="shared" si="29"/>
        <v>6.1220447754188313E-2</v>
      </c>
      <c r="F200">
        <f>HAWT!X459</f>
        <v>339172.27754427353</v>
      </c>
      <c r="G200">
        <f>HAWT!Y459</f>
        <v>4913885.6525254315</v>
      </c>
    </row>
    <row r="201" spans="2:7" x14ac:dyDescent="0.3">
      <c r="B201" t="s">
        <v>1588</v>
      </c>
      <c r="D201" s="1">
        <f t="shared" si="28"/>
        <v>1.0404177043893165E-3</v>
      </c>
      <c r="E201" s="1">
        <f t="shared" si="29"/>
        <v>1.0294095914923907E-3</v>
      </c>
      <c r="F201">
        <f>F207+F208</f>
        <v>5548.0501416785719</v>
      </c>
      <c r="G201">
        <f>G207+G208</f>
        <v>82626.004999456418</v>
      </c>
    </row>
    <row r="202" spans="2:7" x14ac:dyDescent="0.3">
      <c r="B202" t="s">
        <v>1589</v>
      </c>
      <c r="D202" s="1">
        <f t="shared" si="28"/>
        <v>9.2898052841792443E-3</v>
      </c>
      <c r="E202" s="1">
        <f t="shared" si="29"/>
        <v>5.0394331186485002E-3</v>
      </c>
      <c r="F202">
        <f>F213+F214</f>
        <v>49538.089659200006</v>
      </c>
      <c r="G202">
        <f>G213+G214</f>
        <v>404492.27352954494</v>
      </c>
    </row>
    <row r="203" spans="2:7" x14ac:dyDescent="0.3">
      <c r="B203" t="s">
        <v>275</v>
      </c>
      <c r="D203" s="1">
        <f t="shared" si="28"/>
        <v>2.5331777936136355E-3</v>
      </c>
      <c r="E203" s="1">
        <f t="shared" si="29"/>
        <v>2.5091355531235236E-3</v>
      </c>
      <c r="F203">
        <f>F216</f>
        <v>13508.225934125558</v>
      </c>
      <c r="G203">
        <f>G216</f>
        <v>201396.84773690064</v>
      </c>
    </row>
    <row r="207" spans="2:7" x14ac:dyDescent="0.3">
      <c r="B207" t="str">
        <f>HAWT!U464</f>
        <v>digging</v>
      </c>
      <c r="F207">
        <f>HAWT!X464</f>
        <v>1947.2821416785719</v>
      </c>
      <c r="G207">
        <f>HAWT!Y464</f>
        <v>28913.067540892862</v>
      </c>
    </row>
    <row r="208" spans="2:7" x14ac:dyDescent="0.3">
      <c r="B208" t="str">
        <f>HAWT!U465</f>
        <v>crane operation</v>
      </c>
      <c r="F208">
        <f>HAWT!X465</f>
        <v>3600.768</v>
      </c>
      <c r="G208">
        <f>HAWT!Y465</f>
        <v>53712.937458563552</v>
      </c>
    </row>
    <row r="213" spans="2:19" x14ac:dyDescent="0.3">
      <c r="B213" t="str">
        <f>HAWT!U470</f>
        <v>servicing</v>
      </c>
      <c r="F213">
        <f>HAWT!X470</f>
        <v>45682.108200000002</v>
      </c>
      <c r="G213">
        <f>HAWT!Y470</f>
        <v>136800</v>
      </c>
    </row>
    <row r="214" spans="2:19" x14ac:dyDescent="0.3">
      <c r="B214" t="str">
        <f>HAWT!U471</f>
        <v>consumables</v>
      </c>
      <c r="F214">
        <f>HAWT!X471</f>
        <v>3855.9814592000002</v>
      </c>
      <c r="G214">
        <f>HAWT!Y471</f>
        <v>267692.27352954494</v>
      </c>
    </row>
    <row r="216" spans="2:19" x14ac:dyDescent="0.3">
      <c r="B216" t="str">
        <f>HAWT!U476</f>
        <v>disassembly</v>
      </c>
      <c r="F216">
        <f>HAWT!X476</f>
        <v>13508.225934125558</v>
      </c>
      <c r="G216">
        <f>HAWT!Y476</f>
        <v>201396.84773690064</v>
      </c>
    </row>
    <row r="218" spans="2:19" x14ac:dyDescent="0.3">
      <c r="B218" t="s">
        <v>55</v>
      </c>
      <c r="F218" s="14">
        <f>HAWT!X478</f>
        <v>5332521.849899753</v>
      </c>
      <c r="G218" s="14">
        <f>HAWT!Y478</f>
        <v>80265431.449564248</v>
      </c>
    </row>
    <row r="223" spans="2:19" s="70" customFormat="1" x14ac:dyDescent="0.3">
      <c r="B223" s="71" t="s">
        <v>1181</v>
      </c>
      <c r="C223" s="71"/>
      <c r="D223" s="71"/>
      <c r="E223" s="143"/>
      <c r="F223" s="143"/>
      <c r="G223" s="143"/>
      <c r="H223" s="143"/>
      <c r="I223" s="143"/>
      <c r="J223" s="143"/>
      <c r="K223" s="143"/>
      <c r="L223" s="143"/>
      <c r="M223" s="143"/>
      <c r="N223" s="143"/>
      <c r="O223" s="143"/>
      <c r="P223" s="143"/>
      <c r="Q223" s="143"/>
      <c r="R223" s="143"/>
      <c r="S223" s="143"/>
    </row>
    <row r="226" spans="2:47" x14ac:dyDescent="0.3">
      <c r="B226" t="str">
        <f>AWE!C154</f>
        <v>initial system</v>
      </c>
      <c r="C226">
        <f>AWE!D154</f>
        <v>0</v>
      </c>
      <c r="D226">
        <f>AWE!E154</f>
        <v>873734.86721845192</v>
      </c>
      <c r="E226">
        <f>AWE!F154</f>
        <v>0</v>
      </c>
      <c r="H226" t="str">
        <f>HAWT!C156</f>
        <v>Initial</v>
      </c>
      <c r="I226">
        <f>HAWT!D156</f>
        <v>0</v>
      </c>
      <c r="J226">
        <f>HAWT!E156</f>
        <v>2659498.3903000001</v>
      </c>
      <c r="K226">
        <f>HAWT!F156</f>
        <v>0</v>
      </c>
    </row>
    <row r="227" spans="2:47" x14ac:dyDescent="0.3">
      <c r="B227">
        <f>AWE!C155</f>
        <v>0</v>
      </c>
      <c r="C227" t="str">
        <f>AWE!D155</f>
        <v>Tether 1</v>
      </c>
      <c r="D227">
        <f>AWE!E155</f>
        <v>0</v>
      </c>
      <c r="E227">
        <f>AWE!F155</f>
        <v>1240.0568181818182</v>
      </c>
      <c r="H227">
        <f>HAWT!C157</f>
        <v>0</v>
      </c>
      <c r="I227" t="str">
        <f>HAWT!D157</f>
        <v>tower</v>
      </c>
      <c r="J227">
        <f>HAWT!E157</f>
        <v>0</v>
      </c>
      <c r="K227">
        <f>HAWT!F157</f>
        <v>600000</v>
      </c>
      <c r="Q227">
        <f>SUM(Q232:Q237)</f>
        <v>912967.5001539404</v>
      </c>
      <c r="R227" s="14">
        <f>SUM(R232:R237)</f>
        <v>2708098.3903000001</v>
      </c>
    </row>
    <row r="228" spans="2:47" x14ac:dyDescent="0.3">
      <c r="B228">
        <f>AWE!C156</f>
        <v>0</v>
      </c>
      <c r="C228" t="str">
        <f>AWE!D156</f>
        <v>Tether 2</v>
      </c>
      <c r="D228">
        <f>AWE!E156</f>
        <v>0</v>
      </c>
      <c r="E228">
        <f>AWE!F156</f>
        <v>1947.8766950169672</v>
      </c>
      <c r="H228">
        <f>HAWT!C158</f>
        <v>0</v>
      </c>
      <c r="I228" t="str">
        <f>HAWT!D158</f>
        <v>blades</v>
      </c>
      <c r="J228">
        <f>HAWT!E158</f>
        <v>0</v>
      </c>
      <c r="K228">
        <f>HAWT!F158</f>
        <v>48300</v>
      </c>
    </row>
    <row r="229" spans="2:47" x14ac:dyDescent="0.3">
      <c r="B229">
        <f>AWE!C157</f>
        <v>0</v>
      </c>
      <c r="C229" t="str">
        <f>AWE!D157</f>
        <v>aircraft</v>
      </c>
      <c r="D229">
        <f>AWE!E157</f>
        <v>0</v>
      </c>
      <c r="E229">
        <f>AWE!F157</f>
        <v>20000</v>
      </c>
      <c r="H229">
        <f>HAWT!C159</f>
        <v>0</v>
      </c>
      <c r="I229" t="str">
        <f>HAWT!D159</f>
        <v>Hub</v>
      </c>
      <c r="J229">
        <f>HAWT!E159</f>
        <v>0</v>
      </c>
      <c r="K229">
        <f>HAWT!F159</f>
        <v>34100</v>
      </c>
    </row>
    <row r="230" spans="2:47" x14ac:dyDescent="0.3">
      <c r="B230">
        <f>AWE!C158</f>
        <v>0</v>
      </c>
      <c r="C230" t="str">
        <f>AWE!D158</f>
        <v>Deck</v>
      </c>
      <c r="D230">
        <f>AWE!E158</f>
        <v>0</v>
      </c>
      <c r="E230">
        <f>AWE!F158</f>
        <v>128106.69859521228</v>
      </c>
      <c r="H230">
        <f>HAWT!C160</f>
        <v>0</v>
      </c>
      <c r="I230" t="str">
        <f>HAWT!D160</f>
        <v>Spinner</v>
      </c>
      <c r="J230">
        <f>HAWT!E160</f>
        <v>0</v>
      </c>
      <c r="K230">
        <f>HAWT!F160</f>
        <v>1800</v>
      </c>
    </row>
    <row r="231" spans="2:47" x14ac:dyDescent="0.3">
      <c r="B231">
        <f>AWE!C159</f>
        <v>0</v>
      </c>
      <c r="C231" t="str">
        <f>AWE!D159</f>
        <v>Catapult</v>
      </c>
      <c r="D231">
        <f>AWE!E159</f>
        <v>0</v>
      </c>
      <c r="E231">
        <f>AWE!F159</f>
        <v>32800</v>
      </c>
      <c r="H231">
        <f>HAWT!C161</f>
        <v>0</v>
      </c>
      <c r="I231" t="str">
        <f>HAWT!D161</f>
        <v>Pitch</v>
      </c>
      <c r="J231">
        <f>HAWT!E161</f>
        <v>0</v>
      </c>
      <c r="K231">
        <f>HAWT!F161</f>
        <v>14700</v>
      </c>
      <c r="N231" s="28"/>
      <c r="O231" s="28"/>
      <c r="P231" s="28"/>
      <c r="Q231" s="28" t="s">
        <v>1172</v>
      </c>
      <c r="R231" s="28" t="s">
        <v>1142</v>
      </c>
    </row>
    <row r="232" spans="2:47" x14ac:dyDescent="0.3">
      <c r="B232">
        <f>AWE!C160</f>
        <v>0</v>
      </c>
      <c r="C232" t="str">
        <f>AWE!D160</f>
        <v>shifter</v>
      </c>
      <c r="D232">
        <f>AWE!E160</f>
        <v>0</v>
      </c>
      <c r="E232">
        <f>AWE!F160</f>
        <v>44460</v>
      </c>
      <c r="H232">
        <f>HAWT!C162</f>
        <v>0</v>
      </c>
      <c r="I232" t="str">
        <f>HAWT!D162</f>
        <v>Generator</v>
      </c>
      <c r="J232">
        <f>HAWT!E162</f>
        <v>0</v>
      </c>
      <c r="K232">
        <f>HAWT!F162</f>
        <v>16700</v>
      </c>
      <c r="N232" s="343" t="s">
        <v>1169</v>
      </c>
      <c r="O232" s="8"/>
      <c r="P232" s="8"/>
      <c r="Q232">
        <f>E227+E228+E249+E250</f>
        <v>30644.766448687267</v>
      </c>
      <c r="R232">
        <f>K227</f>
        <v>600000</v>
      </c>
    </row>
    <row r="233" spans="2:47" x14ac:dyDescent="0.3">
      <c r="B233">
        <f>AWE!C161</f>
        <v>0</v>
      </c>
      <c r="C233" t="str">
        <f>AWE!D161</f>
        <v>Yaw</v>
      </c>
      <c r="D233">
        <f>AWE!E161</f>
        <v>0</v>
      </c>
      <c r="E233">
        <f>AWE!F161</f>
        <v>22700</v>
      </c>
      <c r="H233">
        <f>HAWT!C163</f>
        <v>0</v>
      </c>
      <c r="I233" t="str">
        <f>HAWT!D163</f>
        <v>Gearbox</v>
      </c>
      <c r="J233">
        <f>HAWT!E163</f>
        <v>0</v>
      </c>
      <c r="K233">
        <f>HAWT!F163</f>
        <v>48600</v>
      </c>
      <c r="N233" s="343" t="s">
        <v>1168</v>
      </c>
      <c r="O233" s="8"/>
      <c r="P233" s="8"/>
      <c r="Q233">
        <f>E229+E251+E252</f>
        <v>31775.800000000003</v>
      </c>
      <c r="R233">
        <f>SUM(K228:K231)</f>
        <v>98900</v>
      </c>
      <c r="T233">
        <f>R233+S234</f>
        <v>299988.125</v>
      </c>
      <c r="V233">
        <f>0.12*Q232</f>
        <v>3677.371973842472</v>
      </c>
    </row>
    <row r="234" spans="2:47" x14ac:dyDescent="0.3">
      <c r="B234">
        <f>AWE!C162</f>
        <v>0</v>
      </c>
      <c r="C234" t="str">
        <f>AWE!D162</f>
        <v>Generator</v>
      </c>
      <c r="D234">
        <f>AWE!E162</f>
        <v>0</v>
      </c>
      <c r="E234">
        <f>AWE!F162</f>
        <v>18160</v>
      </c>
      <c r="H234">
        <f>HAWT!C164</f>
        <v>0</v>
      </c>
      <c r="I234" t="str">
        <f>HAWT!D164</f>
        <v>Transformer</v>
      </c>
      <c r="J234">
        <f>HAWT!E164</f>
        <v>0</v>
      </c>
      <c r="K234">
        <f>HAWT!F164</f>
        <v>16877.125</v>
      </c>
      <c r="N234" s="343" t="s">
        <v>1763</v>
      </c>
      <c r="O234" s="8"/>
      <c r="P234" s="8"/>
      <c r="Q234">
        <f>SUM(E234:E244)</f>
        <v>238735.52666666667</v>
      </c>
      <c r="R234">
        <f>SUM(K232:K243)+K249</f>
        <v>249688.125</v>
      </c>
      <c r="S234">
        <f>R234-K233</f>
        <v>201088.125</v>
      </c>
    </row>
    <row r="235" spans="2:47" x14ac:dyDescent="0.3">
      <c r="B235">
        <f>AWE!C163</f>
        <v>0</v>
      </c>
      <c r="C235" t="str">
        <f>AWE!D163</f>
        <v>Gearbox</v>
      </c>
      <c r="D235">
        <f>AWE!E163</f>
        <v>0</v>
      </c>
      <c r="E235">
        <f>AWE!F163</f>
        <v>0</v>
      </c>
      <c r="H235">
        <f>HAWT!C165</f>
        <v>0</v>
      </c>
      <c r="I235" t="str">
        <f>HAWT!D165</f>
        <v>Cover</v>
      </c>
      <c r="J235">
        <f>HAWT!E165</f>
        <v>0</v>
      </c>
      <c r="K235">
        <f>HAWT!F165</f>
        <v>3180</v>
      </c>
      <c r="N235" s="343" t="s">
        <v>16</v>
      </c>
      <c r="O235" s="8"/>
      <c r="P235" s="8"/>
      <c r="Q235">
        <f>SUM(E230:E233)</f>
        <v>228066.69859521228</v>
      </c>
      <c r="AU235" t="s">
        <v>1172</v>
      </c>
    </row>
    <row r="236" spans="2:47" x14ac:dyDescent="0.3">
      <c r="B236">
        <f>AWE!C164</f>
        <v>0</v>
      </c>
      <c r="C236" t="str">
        <f>AWE!D164</f>
        <v>Transformer</v>
      </c>
      <c r="D236">
        <f>AWE!E164</f>
        <v>0</v>
      </c>
      <c r="E236">
        <f>AWE!F164</f>
        <v>17491.5</v>
      </c>
      <c r="H236">
        <f>HAWT!C166</f>
        <v>0</v>
      </c>
      <c r="I236" t="str">
        <f>HAWT!D166</f>
        <v>Yaw</v>
      </c>
      <c r="J236">
        <f>HAWT!E166</f>
        <v>0</v>
      </c>
      <c r="K236">
        <f>HAWT!F166</f>
        <v>6174</v>
      </c>
      <c r="N236" s="343" t="s">
        <v>1146</v>
      </c>
      <c r="O236" s="8"/>
      <c r="P236" s="8"/>
      <c r="Q236">
        <f>E245</f>
        <v>338165.22844337416</v>
      </c>
      <c r="R236">
        <f>K244</f>
        <v>1715825</v>
      </c>
      <c r="AU236" t="s">
        <v>1142</v>
      </c>
    </row>
    <row r="237" spans="2:47" x14ac:dyDescent="0.3">
      <c r="B237">
        <f>AWE!C165</f>
        <v>0</v>
      </c>
      <c r="C237" t="str">
        <f>AWE!D165</f>
        <v>Drum</v>
      </c>
      <c r="D237">
        <f>AWE!E165</f>
        <v>0</v>
      </c>
      <c r="E237">
        <f>AWE!F165</f>
        <v>34850</v>
      </c>
      <c r="H237">
        <f>HAWT!C167</f>
        <v>0</v>
      </c>
      <c r="I237" t="str">
        <f>HAWT!D167</f>
        <v>Shaft</v>
      </c>
      <c r="J237">
        <f>HAWT!E167</f>
        <v>0</v>
      </c>
      <c r="K237">
        <f>HAWT!F167</f>
        <v>16900</v>
      </c>
      <c r="N237" s="343" t="s">
        <v>139</v>
      </c>
      <c r="O237" s="8"/>
      <c r="P237" s="8"/>
      <c r="Q237">
        <f>E246+E247</f>
        <v>45579.48</v>
      </c>
      <c r="R237">
        <f>K245+K246</f>
        <v>43685.265299999999</v>
      </c>
      <c r="W237" t="s">
        <v>14</v>
      </c>
      <c r="Y237">
        <f>Q232</f>
        <v>30644.766448687267</v>
      </c>
    </row>
    <row r="238" spans="2:47" x14ac:dyDescent="0.3">
      <c r="B238">
        <f>AWE!C166</f>
        <v>0</v>
      </c>
      <c r="C238" t="str">
        <f>AWE!D166</f>
        <v>Converter</v>
      </c>
      <c r="D238">
        <f>AWE!E166</f>
        <v>0</v>
      </c>
      <c r="E238">
        <f>AWE!F166</f>
        <v>8000</v>
      </c>
      <c r="H238">
        <f>HAWT!C168</f>
        <v>0</v>
      </c>
      <c r="I238" t="str">
        <f>HAWT!D168</f>
        <v>Bedplate</v>
      </c>
      <c r="J238">
        <f>HAWT!E168</f>
        <v>0</v>
      </c>
      <c r="K238">
        <f>HAWT!F168</f>
        <v>71500</v>
      </c>
      <c r="N238" s="343" t="s">
        <v>191</v>
      </c>
      <c r="O238" s="8"/>
      <c r="P238" s="8"/>
      <c r="Q238">
        <f>SUM(Q232:Q237)</f>
        <v>912967.5001539404</v>
      </c>
      <c r="R238">
        <f>SUM(R232:R237)</f>
        <v>2708098.3903000001</v>
      </c>
      <c r="W238" t="s">
        <v>15</v>
      </c>
      <c r="Y238">
        <f t="shared" ref="Y238:Y239" si="32">Q233</f>
        <v>31775.800000000003</v>
      </c>
    </row>
    <row r="239" spans="2:47" x14ac:dyDescent="0.3">
      <c r="B239">
        <f>AWE!C167</f>
        <v>0</v>
      </c>
      <c r="C239" t="str">
        <f>AWE!D167</f>
        <v>HVAC</v>
      </c>
      <c r="D239">
        <f>AWE!E167</f>
        <v>0</v>
      </c>
      <c r="E239">
        <f>AWE!F167</f>
        <v>0</v>
      </c>
      <c r="H239">
        <f>HAWT!C169</f>
        <v>0</v>
      </c>
      <c r="I239" t="str">
        <f>HAWT!D169</f>
        <v>Brake</v>
      </c>
      <c r="J239">
        <f>HAWT!E169</f>
        <v>0</v>
      </c>
      <c r="K239">
        <f>HAWT!F169</f>
        <v>5257</v>
      </c>
      <c r="W239" t="s">
        <v>20</v>
      </c>
      <c r="Y239">
        <f t="shared" si="32"/>
        <v>238735.52666666667</v>
      </c>
    </row>
    <row r="240" spans="2:47" x14ac:dyDescent="0.3">
      <c r="B240">
        <f>AWE!C168</f>
        <v>0</v>
      </c>
      <c r="C240" t="str">
        <f>AWE!D168</f>
        <v>Computer</v>
      </c>
      <c r="D240">
        <f>AWE!E168</f>
        <v>0</v>
      </c>
      <c r="E240">
        <f>AWE!F168</f>
        <v>500</v>
      </c>
      <c r="H240">
        <f>HAWT!C170</f>
        <v>0</v>
      </c>
      <c r="I240" t="str">
        <f>HAWT!D170</f>
        <v>HVAC</v>
      </c>
      <c r="J240">
        <f>HAWT!E170</f>
        <v>0</v>
      </c>
      <c r="K240">
        <f>HAWT!F170</f>
        <v>0</v>
      </c>
      <c r="W240" t="s">
        <v>1146</v>
      </c>
      <c r="Y240">
        <f>Q236</f>
        <v>338165.22844337416</v>
      </c>
    </row>
    <row r="241" spans="2:26" x14ac:dyDescent="0.3">
      <c r="B241">
        <f>AWE!C169</f>
        <v>0</v>
      </c>
      <c r="C241" t="str">
        <f>AWE!D169</f>
        <v>hydro accumulator</v>
      </c>
      <c r="D241">
        <f>AWE!E169</f>
        <v>0</v>
      </c>
      <c r="E241">
        <f>AWE!F169</f>
        <v>96789.333333333343</v>
      </c>
      <c r="H241">
        <f>HAWT!C171</f>
        <v>0</v>
      </c>
      <c r="I241" t="str">
        <f>HAWT!D171</f>
        <v>Electronics</v>
      </c>
      <c r="J241">
        <f>HAWT!E171</f>
        <v>0</v>
      </c>
      <c r="K241">
        <f>HAWT!F171</f>
        <v>500</v>
      </c>
      <c r="W241" t="s">
        <v>139</v>
      </c>
      <c r="Y241">
        <f>Q237</f>
        <v>45579.48</v>
      </c>
    </row>
    <row r="242" spans="2:26" x14ac:dyDescent="0.3">
      <c r="B242">
        <f>AWE!C170</f>
        <v>0</v>
      </c>
      <c r="C242" t="str">
        <f>AWE!D170</f>
        <v>hidro motor drum</v>
      </c>
      <c r="D242">
        <f>AWE!E170</f>
        <v>0</v>
      </c>
      <c r="E242">
        <f>AWE!F170</f>
        <v>40000</v>
      </c>
      <c r="H242">
        <f>HAWT!C172</f>
        <v>0</v>
      </c>
      <c r="I242" t="str">
        <f>HAWT!D172</f>
        <v>bearings</v>
      </c>
      <c r="J242">
        <f>HAWT!E172</f>
        <v>0</v>
      </c>
      <c r="K242">
        <f>HAWT!F172</f>
        <v>10400</v>
      </c>
      <c r="N242" s="42" t="s">
        <v>1658</v>
      </c>
      <c r="Q242">
        <f>E27</f>
        <v>462528</v>
      </c>
      <c r="R242">
        <f>F27</f>
        <v>410885.60999999993</v>
      </c>
      <c r="S242" t="s">
        <v>103</v>
      </c>
      <c r="W242" t="s">
        <v>16</v>
      </c>
      <c r="Y242">
        <f>Q235</f>
        <v>228066.69859521228</v>
      </c>
    </row>
    <row r="243" spans="2:26" x14ac:dyDescent="0.3">
      <c r="B243">
        <f>AWE!C171</f>
        <v>0</v>
      </c>
      <c r="C243" t="str">
        <f>AWE!D171</f>
        <v>hydro motor grid</v>
      </c>
      <c r="D243">
        <f>AWE!E171</f>
        <v>0</v>
      </c>
      <c r="E243">
        <f>AWE!F171</f>
        <v>3384</v>
      </c>
      <c r="H243">
        <f>HAWT!C173</f>
        <v>0</v>
      </c>
      <c r="I243" t="str">
        <f>HAWT!D173</f>
        <v>converter</v>
      </c>
      <c r="J243">
        <f>HAWT!E173</f>
        <v>0</v>
      </c>
      <c r="K243">
        <f>HAWT!F173</f>
        <v>5000</v>
      </c>
      <c r="N243" s="28"/>
      <c r="O243" s="28"/>
      <c r="P243" s="28"/>
      <c r="Q243" s="28" t="s">
        <v>1172</v>
      </c>
      <c r="R243" s="28" t="s">
        <v>1142</v>
      </c>
      <c r="S243" s="28" t="s">
        <v>1172</v>
      </c>
      <c r="T243" s="28" t="s">
        <v>1142</v>
      </c>
    </row>
    <row r="244" spans="2:26" x14ac:dyDescent="0.3">
      <c r="B244">
        <f>AWE!C172</f>
        <v>0</v>
      </c>
      <c r="C244" t="str">
        <f>AWE!D172</f>
        <v>hidro additional</v>
      </c>
      <c r="D244">
        <f>AWE!E172</f>
        <v>0</v>
      </c>
      <c r="E244">
        <f>AWE!F172</f>
        <v>19560.693333333333</v>
      </c>
      <c r="H244">
        <f>HAWT!C174</f>
        <v>0</v>
      </c>
      <c r="I244" t="str">
        <f>HAWT!D174</f>
        <v>Foundations</v>
      </c>
      <c r="J244">
        <f>HAWT!E174</f>
        <v>0</v>
      </c>
      <c r="K244">
        <f>HAWT!F174</f>
        <v>1715825</v>
      </c>
      <c r="N244" s="343" t="s">
        <v>1169</v>
      </c>
      <c r="O244" s="8"/>
      <c r="P244" s="8"/>
      <c r="Q244" s="14">
        <f>Q232/Q$242</f>
        <v>6.625494337356283E-2</v>
      </c>
      <c r="R244" s="14">
        <f>R232/R$242</f>
        <v>1.4602604359884983</v>
      </c>
      <c r="S244" s="14">
        <f>Q232/1000</f>
        <v>30.644766448687268</v>
      </c>
      <c r="T244" s="14">
        <f>R232/1000</f>
        <v>600</v>
      </c>
    </row>
    <row r="245" spans="2:26" x14ac:dyDescent="0.3">
      <c r="B245">
        <f>AWE!C173</f>
        <v>0</v>
      </c>
      <c r="C245" t="str">
        <f>AWE!D173</f>
        <v>Foundation</v>
      </c>
      <c r="D245">
        <f>AWE!E173</f>
        <v>0</v>
      </c>
      <c r="E245">
        <f>AWE!F173</f>
        <v>338165.22844337416</v>
      </c>
      <c r="H245">
        <f>HAWT!C175</f>
        <v>0</v>
      </c>
      <c r="I245" t="str">
        <f>HAWT!D175</f>
        <v>Cable inter</v>
      </c>
      <c r="J245">
        <f>HAWT!E175</f>
        <v>0</v>
      </c>
      <c r="K245">
        <f>HAWT!F175</f>
        <v>5253.7653</v>
      </c>
      <c r="N245" s="343" t="s">
        <v>1168</v>
      </c>
      <c r="O245" s="8"/>
      <c r="P245" s="8"/>
      <c r="Q245" s="14">
        <f t="shared" ref="Q245:R245" si="33">Q233/Q$242</f>
        <v>6.8700273280752733E-2</v>
      </c>
      <c r="R245" s="14">
        <f t="shared" si="33"/>
        <v>0.24069959519877082</v>
      </c>
      <c r="S245" s="14">
        <f t="shared" ref="S245:T249" si="34">Q233/1000</f>
        <v>31.775800000000004</v>
      </c>
      <c r="T245" s="14">
        <f t="shared" si="34"/>
        <v>98.9</v>
      </c>
    </row>
    <row r="246" spans="2:26" x14ac:dyDescent="0.3">
      <c r="B246">
        <f>AWE!C174</f>
        <v>0</v>
      </c>
      <c r="C246" t="str">
        <f>AWE!D174</f>
        <v>Cable inter</v>
      </c>
      <c r="D246">
        <f>AWE!E174</f>
        <v>0</v>
      </c>
      <c r="E246">
        <f>AWE!F174</f>
        <v>7147.9800000000005</v>
      </c>
      <c r="H246">
        <f>HAWT!C176</f>
        <v>0</v>
      </c>
      <c r="I246" t="str">
        <f>HAWT!D176</f>
        <v>Cable export</v>
      </c>
      <c r="J246">
        <f>HAWT!E176</f>
        <v>0</v>
      </c>
      <c r="K246">
        <f>HAWT!F176</f>
        <v>38431.5</v>
      </c>
      <c r="N246" s="343" t="s">
        <v>1170</v>
      </c>
      <c r="O246" s="8"/>
      <c r="P246" s="8"/>
      <c r="Q246" s="14">
        <f t="shared" ref="Q246:R246" si="35">Q234/Q$242</f>
        <v>0.51615367430007841</v>
      </c>
      <c r="R246" s="14">
        <f t="shared" si="35"/>
        <v>0.60768281712275118</v>
      </c>
      <c r="S246" s="14">
        <f t="shared" si="34"/>
        <v>238.73552666666666</v>
      </c>
      <c r="T246" s="14">
        <f t="shared" si="34"/>
        <v>249.68812500000001</v>
      </c>
    </row>
    <row r="247" spans="2:26" x14ac:dyDescent="0.3">
      <c r="B247">
        <f>AWE!C175</f>
        <v>0</v>
      </c>
      <c r="C247" t="str">
        <f>AWE!D175</f>
        <v>Cable export</v>
      </c>
      <c r="D247">
        <f>AWE!E175</f>
        <v>0</v>
      </c>
      <c r="E247">
        <f>AWE!F175</f>
        <v>38431.5</v>
      </c>
      <c r="H247" s="12">
        <f>HAWT!C177</f>
        <v>0</v>
      </c>
      <c r="I247" s="12" t="str">
        <f>HAWT!D177</f>
        <v>more?</v>
      </c>
      <c r="J247" s="12">
        <f>HAWT!E177</f>
        <v>0</v>
      </c>
      <c r="K247" s="12">
        <f>HAWT!F177</f>
        <v>0</v>
      </c>
      <c r="N247" s="343" t="s">
        <v>1171</v>
      </c>
      <c r="O247" s="8"/>
      <c r="P247" s="8"/>
      <c r="Q247" s="14">
        <f t="shared" ref="Q247:R247" si="36">Q235/Q$242</f>
        <v>0.49308733437805341</v>
      </c>
      <c r="R247" s="14">
        <f t="shared" si="36"/>
        <v>0</v>
      </c>
      <c r="S247" s="14">
        <f t="shared" si="34"/>
        <v>228.06669859521227</v>
      </c>
      <c r="T247" s="14">
        <f t="shared" si="34"/>
        <v>0</v>
      </c>
      <c r="W247" t="s">
        <v>1040</v>
      </c>
      <c r="Z247">
        <f>R232</f>
        <v>600000</v>
      </c>
    </row>
    <row r="248" spans="2:26" x14ac:dyDescent="0.3">
      <c r="B248" t="str">
        <f>AWE!C176</f>
        <v>Replacements</v>
      </c>
      <c r="C248">
        <f>AWE!D176</f>
        <v>0</v>
      </c>
      <c r="D248">
        <f>AWE!E176</f>
        <v>39232.63293548848</v>
      </c>
      <c r="E248">
        <f>AWE!F176</f>
        <v>0</v>
      </c>
      <c r="H248" t="str">
        <f>HAWT!C178</f>
        <v>Replacements</v>
      </c>
      <c r="I248">
        <f>HAWT!D178</f>
        <v>0</v>
      </c>
      <c r="J248">
        <f>HAWT!E178</f>
        <v>48600</v>
      </c>
      <c r="K248">
        <f>HAWT!F178</f>
        <v>0</v>
      </c>
      <c r="N248" s="343" t="s">
        <v>1146</v>
      </c>
      <c r="O248" s="8"/>
      <c r="P248" s="8"/>
      <c r="Q248" s="14">
        <f t="shared" ref="Q248:R248" si="37">Q236/Q$242</f>
        <v>0.73112379886920176</v>
      </c>
      <c r="R248" s="14">
        <f t="shared" si="37"/>
        <v>4.1759189376332753</v>
      </c>
      <c r="S248" s="14">
        <f t="shared" si="34"/>
        <v>338.16522844337413</v>
      </c>
      <c r="T248" s="14">
        <f t="shared" si="34"/>
        <v>1715.825</v>
      </c>
      <c r="W248" t="s">
        <v>1618</v>
      </c>
      <c r="Z248">
        <f t="shared" ref="Z248:Z249" si="38">R233</f>
        <v>98900</v>
      </c>
    </row>
    <row r="249" spans="2:26" x14ac:dyDescent="0.3">
      <c r="B249">
        <f>AWE!C177</f>
        <v>0</v>
      </c>
      <c r="C249" t="str">
        <f>AWE!D177</f>
        <v>Tether 1</v>
      </c>
      <c r="D249">
        <f>AWE!E177</f>
        <v>0</v>
      </c>
      <c r="E249">
        <f>AWE!F177</f>
        <v>23561.079545454548</v>
      </c>
      <c r="H249">
        <f>HAWT!C179</f>
        <v>0</v>
      </c>
      <c r="I249" t="str">
        <f>HAWT!D179</f>
        <v>Gearbox</v>
      </c>
      <c r="J249">
        <f>HAWT!E179</f>
        <v>0</v>
      </c>
      <c r="K249">
        <f>HAWT!F179</f>
        <v>48600</v>
      </c>
      <c r="N249" s="343" t="s">
        <v>139</v>
      </c>
      <c r="O249" s="8"/>
      <c r="P249" s="8"/>
      <c r="Q249" s="14">
        <f t="shared" ref="Q249:R249" si="39">Q237/Q$242</f>
        <v>9.8544261104192621E-2</v>
      </c>
      <c r="R249" s="14">
        <f t="shared" si="39"/>
        <v>0.10631977425541869</v>
      </c>
      <c r="S249" s="14">
        <f t="shared" si="34"/>
        <v>45.579480000000004</v>
      </c>
      <c r="T249" s="14">
        <f t="shared" si="34"/>
        <v>43.685265299999998</v>
      </c>
      <c r="W249" t="s">
        <v>1053</v>
      </c>
      <c r="Z249">
        <f t="shared" si="38"/>
        <v>249688.125</v>
      </c>
    </row>
    <row r="250" spans="2:26" x14ac:dyDescent="0.3">
      <c r="B250">
        <f>AWE!C178</f>
        <v>0</v>
      </c>
      <c r="C250" t="str">
        <f>AWE!D178</f>
        <v>Tether 2</v>
      </c>
      <c r="D250">
        <f>AWE!E178</f>
        <v>0</v>
      </c>
      <c r="E250">
        <f>AWE!F178</f>
        <v>3895.7533900339345</v>
      </c>
      <c r="H250" t="str">
        <f>HAWT!C180</f>
        <v>Total</v>
      </c>
      <c r="I250">
        <f>HAWT!D180</f>
        <v>0</v>
      </c>
      <c r="J250">
        <f>HAWT!E180</f>
        <v>2708098.3903000001</v>
      </c>
      <c r="K250">
        <f>HAWT!F180</f>
        <v>0</v>
      </c>
      <c r="N250" s="41" t="s">
        <v>191</v>
      </c>
      <c r="O250" s="12"/>
      <c r="P250" s="12"/>
      <c r="Q250" s="340">
        <f t="shared" ref="Q250" si="40">Q238/Q$242</f>
        <v>1.9738642853058419</v>
      </c>
      <c r="R250" s="340">
        <f>R238/R$242</f>
        <v>6.5908815601987145</v>
      </c>
      <c r="S250" s="340">
        <f>Q238/1000</f>
        <v>912.96750015394036</v>
      </c>
      <c r="T250" s="340">
        <f>R238/1000</f>
        <v>2708.0983903000001</v>
      </c>
      <c r="W250" t="s">
        <v>1146</v>
      </c>
      <c r="Z250">
        <f>R236</f>
        <v>1715825</v>
      </c>
    </row>
    <row r="251" spans="2:26" x14ac:dyDescent="0.3">
      <c r="B251">
        <f>AWE!C179</f>
        <v>0</v>
      </c>
      <c r="C251" t="str">
        <f>AWE!D179</f>
        <v>Bateries</v>
      </c>
      <c r="D251">
        <f>AWE!E179</f>
        <v>0</v>
      </c>
      <c r="E251">
        <f>AWE!F179</f>
        <v>3296.88</v>
      </c>
      <c r="K251">
        <f>SUM(K226:K249)</f>
        <v>2708098.3903000001</v>
      </c>
      <c r="O251" s="42" t="s">
        <v>245</v>
      </c>
      <c r="P251" s="42"/>
      <c r="Q251" s="416" t="s">
        <v>1656</v>
      </c>
      <c r="R251" s="416"/>
      <c r="S251" s="416" t="s">
        <v>1657</v>
      </c>
      <c r="T251" s="416"/>
      <c r="W251" t="s">
        <v>139</v>
      </c>
      <c r="Z251">
        <f>R237</f>
        <v>43685.265299999999</v>
      </c>
    </row>
    <row r="252" spans="2:26" x14ac:dyDescent="0.3">
      <c r="B252">
        <f>AWE!C180</f>
        <v>0</v>
      </c>
      <c r="C252" t="str">
        <f>AWE!D180</f>
        <v>actuator</v>
      </c>
      <c r="D252">
        <f>AWE!E180</f>
        <v>0</v>
      </c>
      <c r="E252">
        <f>AWE!F180</f>
        <v>8478.92</v>
      </c>
    </row>
    <row r="253" spans="2:26" x14ac:dyDescent="0.3">
      <c r="B253" t="s">
        <v>55</v>
      </c>
      <c r="C253">
        <f>AWE!D181</f>
        <v>0</v>
      </c>
      <c r="D253">
        <f>AWE!E181</f>
        <v>912967.5001539404</v>
      </c>
      <c r="E253">
        <f>AWE!F181</f>
        <v>0</v>
      </c>
    </row>
    <row r="254" spans="2:26" x14ac:dyDescent="0.3">
      <c r="E254">
        <f>SUM(E226:E252)</f>
        <v>912967.50015394052</v>
      </c>
    </row>
    <row r="271" spans="3:24" x14ac:dyDescent="0.3">
      <c r="D271" t="s">
        <v>2088</v>
      </c>
      <c r="E271" t="s">
        <v>1144</v>
      </c>
      <c r="F271" t="s">
        <v>1429</v>
      </c>
      <c r="G271" t="s">
        <v>253</v>
      </c>
      <c r="H271" t="s">
        <v>73</v>
      </c>
      <c r="I271" t="s">
        <v>363</v>
      </c>
      <c r="J271" t="s">
        <v>1624</v>
      </c>
      <c r="K271" t="s">
        <v>218</v>
      </c>
      <c r="L271" t="s">
        <v>1620</v>
      </c>
      <c r="M271" t="s">
        <v>1621</v>
      </c>
      <c r="N271" t="s">
        <v>51</v>
      </c>
      <c r="O271" t="s">
        <v>15</v>
      </c>
      <c r="P271" t="s">
        <v>211</v>
      </c>
      <c r="Q271" t="s">
        <v>1623</v>
      </c>
      <c r="R271" t="s">
        <v>1625</v>
      </c>
      <c r="S271" t="s">
        <v>1626</v>
      </c>
      <c r="T271" t="s">
        <v>1622</v>
      </c>
      <c r="U271" t="s">
        <v>1152</v>
      </c>
      <c r="V271" t="s">
        <v>358</v>
      </c>
      <c r="W271" t="s">
        <v>330</v>
      </c>
      <c r="X271" t="s">
        <v>51</v>
      </c>
    </row>
    <row r="272" spans="3:24" x14ac:dyDescent="0.3">
      <c r="C272" t="s">
        <v>14</v>
      </c>
      <c r="L272">
        <f>E227</f>
        <v>1240.0568181818182</v>
      </c>
      <c r="M272">
        <f>E228</f>
        <v>1947.8766950169672</v>
      </c>
      <c r="N272">
        <f>E249+E250</f>
        <v>27456.832935488481</v>
      </c>
    </row>
    <row r="273" spans="3:24" x14ac:dyDescent="0.3">
      <c r="C273" t="s">
        <v>15</v>
      </c>
      <c r="O273">
        <f>E229</f>
        <v>20000</v>
      </c>
      <c r="X273">
        <f>E252+E251</f>
        <v>11775.8</v>
      </c>
    </row>
    <row r="274" spans="3:24" x14ac:dyDescent="0.3">
      <c r="C274" t="s">
        <v>1617</v>
      </c>
      <c r="P274">
        <f>E237</f>
        <v>34850</v>
      </c>
      <c r="Q274">
        <f>E242</f>
        <v>40000</v>
      </c>
      <c r="R274">
        <f>E241</f>
        <v>96789.333333333343</v>
      </c>
      <c r="S274">
        <f>E243</f>
        <v>3384</v>
      </c>
      <c r="T274">
        <f>E244</f>
        <v>19560.693333333333</v>
      </c>
      <c r="U274">
        <f>E234</f>
        <v>18160</v>
      </c>
      <c r="V274">
        <f>E238</f>
        <v>8000</v>
      </c>
      <c r="W274">
        <f>E236</f>
        <v>17491.5</v>
      </c>
    </row>
    <row r="275" spans="3:24" x14ac:dyDescent="0.3">
      <c r="C275" t="s">
        <v>16</v>
      </c>
      <c r="D275">
        <f>E230</f>
        <v>128106.69859521228</v>
      </c>
      <c r="E275">
        <f>E231</f>
        <v>32800</v>
      </c>
      <c r="F275">
        <f>E232</f>
        <v>44460</v>
      </c>
      <c r="G275">
        <f>E233</f>
        <v>22700</v>
      </c>
    </row>
    <row r="276" spans="3:24" x14ac:dyDescent="0.3">
      <c r="C276" t="s">
        <v>50</v>
      </c>
      <c r="H276">
        <f>Q236*0.95</f>
        <v>321256.96702120546</v>
      </c>
      <c r="I276">
        <f>Q236*0.05</f>
        <v>16908.261422168707</v>
      </c>
    </row>
    <row r="277" spans="3:24" x14ac:dyDescent="0.3">
      <c r="C277" t="s">
        <v>139</v>
      </c>
      <c r="J277">
        <f>E246</f>
        <v>7147.9800000000005</v>
      </c>
      <c r="K277">
        <f>E247</f>
        <v>38431.5</v>
      </c>
    </row>
    <row r="289" customFormat="1" x14ac:dyDescent="0.3"/>
    <row r="290" customFormat="1" x14ac:dyDescent="0.3"/>
    <row r="291" customFormat="1" x14ac:dyDescent="0.3"/>
  </sheetData>
  <mergeCells count="12">
    <mergeCell ref="B8:G8"/>
    <mergeCell ref="C9:D9"/>
    <mergeCell ref="E9:F9"/>
    <mergeCell ref="B17:G17"/>
    <mergeCell ref="C18:D18"/>
    <mergeCell ref="E18:F18"/>
    <mergeCell ref="Q251:R251"/>
    <mergeCell ref="S251:T251"/>
    <mergeCell ref="E48:F48"/>
    <mergeCell ref="G48:H48"/>
    <mergeCell ref="I48:J48"/>
    <mergeCell ref="K48:L48"/>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EC1A-A0D4-4639-851E-EC55B0BC817C}">
  <dimension ref="B9:AY179"/>
  <sheetViews>
    <sheetView zoomScale="85" zoomScaleNormal="85" workbookViewId="0">
      <selection activeCell="I22" sqref="I22"/>
    </sheetView>
  </sheetViews>
  <sheetFormatPr defaultRowHeight="14.4" x14ac:dyDescent="0.3"/>
  <cols>
    <col min="9" max="9" width="8.88671875" customWidth="1"/>
    <col min="16" max="16" width="11" bestFit="1" customWidth="1"/>
    <col min="20" max="20" width="11.33203125" bestFit="1" customWidth="1"/>
    <col min="27" max="27" width="16.5546875" bestFit="1" customWidth="1"/>
  </cols>
  <sheetData>
    <row r="9" spans="3:19" x14ac:dyDescent="0.3">
      <c r="C9" t="s">
        <v>2137</v>
      </c>
    </row>
    <row r="10" spans="3:19" x14ac:dyDescent="0.3">
      <c r="D10" s="359" t="s">
        <v>1929</v>
      </c>
      <c r="E10" s="359"/>
      <c r="F10" s="359" t="s">
        <v>1765</v>
      </c>
      <c r="G10" s="359"/>
      <c r="H10" s="359" t="s">
        <v>1765</v>
      </c>
      <c r="I10" s="359"/>
      <c r="J10" s="359" t="s">
        <v>1765</v>
      </c>
      <c r="K10" s="359"/>
      <c r="L10" s="359" t="s">
        <v>1765</v>
      </c>
      <c r="M10" s="359"/>
      <c r="N10" s="359" t="s">
        <v>1765</v>
      </c>
      <c r="O10" s="359"/>
      <c r="P10" s="359" t="s">
        <v>1765</v>
      </c>
      <c r="Q10" s="359"/>
      <c r="R10" s="359" t="s">
        <v>1764</v>
      </c>
      <c r="S10" s="359" t="s">
        <v>1775</v>
      </c>
    </row>
    <row r="11" spans="3:19" x14ac:dyDescent="0.3">
      <c r="D11" s="359" t="s">
        <v>1881</v>
      </c>
      <c r="E11" s="359" t="s">
        <v>33</v>
      </c>
      <c r="F11" s="359" t="s">
        <v>1765</v>
      </c>
      <c r="G11" s="359" t="s">
        <v>1982</v>
      </c>
      <c r="H11" s="359" t="s">
        <v>1765</v>
      </c>
      <c r="I11" s="359">
        <v>42.8</v>
      </c>
      <c r="J11" s="359" t="s">
        <v>1765</v>
      </c>
      <c r="K11" s="359">
        <v>47.8</v>
      </c>
      <c r="L11" s="359" t="s">
        <v>1765</v>
      </c>
      <c r="M11" s="359">
        <v>52.8</v>
      </c>
      <c r="N11" s="359" t="s">
        <v>1765</v>
      </c>
      <c r="O11" s="359">
        <v>57.8</v>
      </c>
      <c r="P11" s="359" t="s">
        <v>1765</v>
      </c>
      <c r="Q11" s="359">
        <v>62.8</v>
      </c>
      <c r="R11" s="359" t="s">
        <v>1764</v>
      </c>
      <c r="S11" s="359"/>
    </row>
    <row r="12" spans="3:19" x14ac:dyDescent="0.3">
      <c r="D12" s="359" t="s">
        <v>1881</v>
      </c>
      <c r="E12" s="359" t="s">
        <v>1980</v>
      </c>
      <c r="F12" s="359" t="s">
        <v>1765</v>
      </c>
      <c r="G12" s="359" t="s">
        <v>1933</v>
      </c>
      <c r="H12" s="359" t="s">
        <v>1765</v>
      </c>
      <c r="I12" s="359">
        <v>18746.399999999998</v>
      </c>
      <c r="J12" s="359" t="s">
        <v>1765</v>
      </c>
      <c r="K12" s="359">
        <v>20936.399999999998</v>
      </c>
      <c r="L12" s="359" t="s">
        <v>1765</v>
      </c>
      <c r="M12" s="359">
        <v>23126.400000000001</v>
      </c>
      <c r="N12" s="359" t="s">
        <v>1765</v>
      </c>
      <c r="O12" s="359">
        <v>25316.400000000001</v>
      </c>
      <c r="P12" s="359" t="s">
        <v>1765</v>
      </c>
      <c r="Q12" s="359">
        <v>27506.400000000001</v>
      </c>
      <c r="R12" s="359" t="s">
        <v>1764</v>
      </c>
      <c r="S12" s="359"/>
    </row>
    <row r="13" spans="3:19" x14ac:dyDescent="0.3">
      <c r="D13" s="359" t="s">
        <v>1881</v>
      </c>
      <c r="E13" s="359" t="s">
        <v>32</v>
      </c>
      <c r="F13" s="359" t="s">
        <v>1765</v>
      </c>
      <c r="G13" s="359" t="s">
        <v>1931</v>
      </c>
      <c r="H13" s="359" t="s">
        <v>1765</v>
      </c>
      <c r="I13" s="359">
        <v>9.6203234370283734</v>
      </c>
      <c r="J13" s="359" t="s">
        <v>1765</v>
      </c>
      <c r="K13" s="359">
        <v>8.6140134540756144</v>
      </c>
      <c r="L13" s="359" t="s">
        <v>1765</v>
      </c>
      <c r="M13" s="359">
        <v>7.7982924830457261</v>
      </c>
      <c r="N13" s="359" t="s">
        <v>1765</v>
      </c>
      <c r="O13" s="359">
        <v>7.1236997076957493</v>
      </c>
      <c r="P13" s="359" t="s">
        <v>1765</v>
      </c>
      <c r="Q13" s="359">
        <v>6.5565261640894006</v>
      </c>
      <c r="R13" s="359" t="s">
        <v>1764</v>
      </c>
      <c r="S13" s="359"/>
    </row>
    <row r="14" spans="3:19" x14ac:dyDescent="0.3">
      <c r="D14" s="359" t="s">
        <v>1881</v>
      </c>
      <c r="E14" s="359" t="s">
        <v>162</v>
      </c>
      <c r="F14" s="359" t="s">
        <v>1765</v>
      </c>
      <c r="G14" s="359" t="s">
        <v>1932</v>
      </c>
      <c r="H14" s="359" t="s">
        <v>1765</v>
      </c>
      <c r="I14" s="359">
        <v>157.252215449223</v>
      </c>
      <c r="J14" s="359" t="s">
        <v>1765</v>
      </c>
      <c r="K14" s="359">
        <v>140.803238937798</v>
      </c>
      <c r="L14" s="359" t="s">
        <v>1765</v>
      </c>
      <c r="M14" s="359">
        <v>127.46959888687014</v>
      </c>
      <c r="N14" s="359" t="s">
        <v>1765</v>
      </c>
      <c r="O14" s="359">
        <v>116.44281697624125</v>
      </c>
      <c r="P14" s="359" t="s">
        <v>1765</v>
      </c>
      <c r="Q14" s="359">
        <v>107.1718920577507</v>
      </c>
      <c r="R14" s="359" t="s">
        <v>1764</v>
      </c>
      <c r="S14" s="359" t="s">
        <v>1775</v>
      </c>
    </row>
    <row r="15" spans="3:19" x14ac:dyDescent="0.3">
      <c r="D15" s="359" t="s">
        <v>1927</v>
      </c>
      <c r="E15" s="359"/>
      <c r="F15" s="359" t="s">
        <v>1765</v>
      </c>
      <c r="G15" s="359"/>
      <c r="H15" s="359" t="s">
        <v>1765</v>
      </c>
      <c r="I15" s="359"/>
      <c r="J15" s="359" t="s">
        <v>1765</v>
      </c>
      <c r="K15" s="359"/>
      <c r="L15" s="359" t="s">
        <v>1765</v>
      </c>
      <c r="M15" s="359"/>
      <c r="N15" s="359" t="s">
        <v>1765</v>
      </c>
      <c r="O15" s="359"/>
      <c r="P15" s="359" t="s">
        <v>1765</v>
      </c>
      <c r="Q15" s="359"/>
      <c r="R15" s="359" t="s">
        <v>1764</v>
      </c>
      <c r="S15" s="359" t="s">
        <v>1775</v>
      </c>
    </row>
    <row r="16" spans="3:19" x14ac:dyDescent="0.3">
      <c r="D16" s="359" t="s">
        <v>1881</v>
      </c>
      <c r="E16" s="359" t="s">
        <v>33</v>
      </c>
      <c r="F16" s="359" t="s">
        <v>1765</v>
      </c>
      <c r="G16" s="359" t="s">
        <v>1982</v>
      </c>
      <c r="H16" s="359" t="s">
        <v>1765</v>
      </c>
      <c r="I16" s="359">
        <v>36.904749999999993</v>
      </c>
      <c r="J16" s="359" t="s">
        <v>1765</v>
      </c>
      <c r="K16" s="359">
        <v>41.904749999999993</v>
      </c>
      <c r="L16" s="359" t="s">
        <v>1765</v>
      </c>
      <c r="M16" s="359">
        <v>46.904749999999993</v>
      </c>
      <c r="N16" s="359" t="s">
        <v>1765</v>
      </c>
      <c r="O16" s="359">
        <v>51.904749999999993</v>
      </c>
      <c r="P16" s="359" t="s">
        <v>1765</v>
      </c>
      <c r="Q16" s="359">
        <v>56.904749999999993</v>
      </c>
      <c r="R16" s="359" t="s">
        <v>1764</v>
      </c>
      <c r="S16" s="359"/>
    </row>
    <row r="17" spans="4:19" x14ac:dyDescent="0.3">
      <c r="D17" s="359" t="s">
        <v>1881</v>
      </c>
      <c r="E17" s="359" t="s">
        <v>1980</v>
      </c>
      <c r="F17" s="359" t="s">
        <v>1765</v>
      </c>
      <c r="G17" s="359" t="s">
        <v>1933</v>
      </c>
      <c r="H17" s="359" t="s">
        <v>1765</v>
      </c>
      <c r="I17" s="359">
        <v>16164.280499999995</v>
      </c>
      <c r="J17" s="359" t="s">
        <v>1765</v>
      </c>
      <c r="K17" s="359">
        <v>18354.280499999997</v>
      </c>
      <c r="L17" s="359" t="s">
        <v>1765</v>
      </c>
      <c r="M17" s="359">
        <v>20544.280499999997</v>
      </c>
      <c r="N17" s="359" t="s">
        <v>1765</v>
      </c>
      <c r="O17" s="359">
        <v>22734.280499999997</v>
      </c>
      <c r="P17" s="359" t="s">
        <v>1765</v>
      </c>
      <c r="Q17" s="359">
        <v>24924.280499999997</v>
      </c>
      <c r="R17" s="359" t="s">
        <v>1764</v>
      </c>
      <c r="S17" s="359"/>
    </row>
    <row r="18" spans="4:19" x14ac:dyDescent="0.3">
      <c r="D18" s="359" t="s">
        <v>1881</v>
      </c>
      <c r="E18" s="359" t="s">
        <v>32</v>
      </c>
      <c r="F18" s="359" t="s">
        <v>1765</v>
      </c>
      <c r="G18" s="359" t="s">
        <v>1931</v>
      </c>
      <c r="H18" s="359" t="s">
        <v>1765</v>
      </c>
      <c r="I18" s="359">
        <v>16.494770212320166</v>
      </c>
      <c r="J18" s="359" t="s">
        <v>1765</v>
      </c>
      <c r="K18" s="359">
        <v>14.526643661950557</v>
      </c>
      <c r="L18" s="359" t="s">
        <v>1765</v>
      </c>
      <c r="M18" s="359">
        <v>12.978117802421345</v>
      </c>
      <c r="N18" s="359" t="s">
        <v>1765</v>
      </c>
      <c r="O18" s="359">
        <v>11.727931855815173</v>
      </c>
      <c r="P18" s="359" t="s">
        <v>1765</v>
      </c>
      <c r="Q18" s="359">
        <v>10.697443903946905</v>
      </c>
      <c r="R18" s="359" t="s">
        <v>1764</v>
      </c>
      <c r="S18" s="359"/>
    </row>
    <row r="19" spans="4:19" x14ac:dyDescent="0.3">
      <c r="D19" s="359" t="s">
        <v>1881</v>
      </c>
      <c r="E19" s="359" t="s">
        <v>162</v>
      </c>
      <c r="F19" s="359" t="s">
        <v>1765</v>
      </c>
      <c r="G19" s="359" t="s">
        <v>1932</v>
      </c>
      <c r="H19" s="359" t="s">
        <v>1765</v>
      </c>
      <c r="I19" s="359">
        <v>247.85709283368433</v>
      </c>
      <c r="J19" s="359" t="s">
        <v>1765</v>
      </c>
      <c r="K19" s="359">
        <v>218.2832267643623</v>
      </c>
      <c r="L19" s="359" t="s">
        <v>1765</v>
      </c>
      <c r="M19" s="359">
        <v>195.01445049283731</v>
      </c>
      <c r="N19" s="359" t="s">
        <v>1765</v>
      </c>
      <c r="O19" s="359">
        <v>176.22865049449061</v>
      </c>
      <c r="P19" s="359" t="s">
        <v>1765</v>
      </c>
      <c r="Q19" s="359">
        <v>160.74412147938284</v>
      </c>
      <c r="R19" s="359" t="s">
        <v>1764</v>
      </c>
      <c r="S19" s="359"/>
    </row>
    <row r="30" spans="4:19" x14ac:dyDescent="0.3">
      <c r="N30">
        <f>F73</f>
        <v>29691.724148294641</v>
      </c>
    </row>
    <row r="31" spans="4:19" x14ac:dyDescent="0.3">
      <c r="O31">
        <f>F77</f>
        <v>470496.6822765742</v>
      </c>
      <c r="P31">
        <f>F78</f>
        <v>132296.28</v>
      </c>
      <c r="Q31">
        <f>F79</f>
        <v>198322.30600553524</v>
      </c>
      <c r="R31">
        <f>F80</f>
        <v>74095.72</v>
      </c>
    </row>
    <row r="32" spans="4:19" x14ac:dyDescent="0.3">
      <c r="S32">
        <f>F75</f>
        <v>412683.55602658965</v>
      </c>
    </row>
    <row r="33" spans="9:51" x14ac:dyDescent="0.3">
      <c r="I33">
        <f>AWE!I628</f>
        <v>0</v>
      </c>
      <c r="J33">
        <f>AWE!J628</f>
        <v>8.2318579684594016E-3</v>
      </c>
      <c r="K33">
        <f>AWE!K628</f>
        <v>1.0154781040291442E-2</v>
      </c>
      <c r="T33">
        <f>F85</f>
        <v>180964.12309176949</v>
      </c>
      <c r="U33">
        <f>F90</f>
        <v>198224</v>
      </c>
      <c r="V33">
        <f>F89</f>
        <v>609112.09960000007</v>
      </c>
      <c r="W33">
        <f>F88</f>
        <v>16717.742666666669</v>
      </c>
      <c r="X33">
        <f>F91</f>
        <v>16769.750400000001</v>
      </c>
      <c r="Y33">
        <f>F87</f>
        <v>18300</v>
      </c>
      <c r="Z33">
        <f>F82</f>
        <v>69937.890992530345</v>
      </c>
      <c r="AA33">
        <f>F86</f>
        <v>29959.234733096084</v>
      </c>
      <c r="AB33">
        <f>F84</f>
        <v>87457.5</v>
      </c>
    </row>
    <row r="34" spans="9:51" x14ac:dyDescent="0.3">
      <c r="AC34">
        <f>F93</f>
        <v>75122.49969897652</v>
      </c>
    </row>
    <row r="35" spans="9:51" x14ac:dyDescent="0.3">
      <c r="AD35">
        <f>F95</f>
        <v>303764.63315007358</v>
      </c>
    </row>
    <row r="38" spans="9:51" x14ac:dyDescent="0.3">
      <c r="AF38" t="str">
        <f>L50</f>
        <v>Tether</v>
      </c>
      <c r="AG38" t="str">
        <f>M51</f>
        <v>Full deck</v>
      </c>
      <c r="AH38" t="str">
        <f>N51</f>
        <v>Catapult</v>
      </c>
      <c r="AI38" t="str">
        <f>O51</f>
        <v>Shifter</v>
      </c>
      <c r="AJ38" t="str">
        <f>P51</f>
        <v>Yaw</v>
      </c>
      <c r="AK38" t="str">
        <f>Q52</f>
        <v>Aircraft</v>
      </c>
      <c r="AL38" t="str">
        <f t="shared" ref="AL38:AT38" si="0">R53</f>
        <v>Drum</v>
      </c>
      <c r="AM38" t="str">
        <f t="shared" si="0"/>
        <v>Hydro pistons</v>
      </c>
      <c r="AN38" t="str">
        <f t="shared" si="0"/>
        <v>Hydro accumul</v>
      </c>
      <c r="AO38" t="str">
        <f t="shared" si="0"/>
        <v>Hydro extras</v>
      </c>
      <c r="AP38" t="str">
        <f t="shared" si="0"/>
        <v>Hydro motor grid</v>
      </c>
      <c r="AQ38" t="str">
        <f t="shared" si="0"/>
        <v>Electronics</v>
      </c>
      <c r="AR38" t="str">
        <f t="shared" si="0"/>
        <v xml:space="preserve">Generator </v>
      </c>
      <c r="AS38" t="str">
        <f t="shared" si="0"/>
        <v>Converter</v>
      </c>
      <c r="AT38" t="str">
        <f t="shared" si="0"/>
        <v>Transformer</v>
      </c>
      <c r="AU38" t="str">
        <f>AA54</f>
        <v>Foundations</v>
      </c>
      <c r="AV38" t="str">
        <f>AB55</f>
        <v>Cables</v>
      </c>
      <c r="AW38" t="s">
        <v>49</v>
      </c>
      <c r="AX38" t="s">
        <v>2087</v>
      </c>
      <c r="AY38" t="s">
        <v>47</v>
      </c>
    </row>
    <row r="39" spans="9:51" x14ac:dyDescent="0.3">
      <c r="AE39" t="s">
        <v>14</v>
      </c>
      <c r="AF39">
        <f>H73</f>
        <v>960995.54410004476</v>
      </c>
    </row>
    <row r="40" spans="9:51" x14ac:dyDescent="0.3">
      <c r="AF40">
        <v>4</v>
      </c>
    </row>
    <row r="42" spans="9:51" x14ac:dyDescent="0.3">
      <c r="AE42" t="s">
        <v>16</v>
      </c>
      <c r="AG42">
        <f>H77</f>
        <v>6813242.5653764559</v>
      </c>
      <c r="AH42">
        <f>H78</f>
        <v>1953272.4</v>
      </c>
      <c r="AI42">
        <f>H79</f>
        <v>2842213.918302373</v>
      </c>
      <c r="AJ42">
        <f>H80</f>
        <v>1082285.6000000001</v>
      </c>
    </row>
    <row r="45" spans="9:51" x14ac:dyDescent="0.3">
      <c r="AE45" t="s">
        <v>15</v>
      </c>
      <c r="AK45">
        <f>H75</f>
        <v>7551759.3113427823</v>
      </c>
    </row>
    <row r="48" spans="9:51" x14ac:dyDescent="0.3">
      <c r="AE48" t="s">
        <v>20</v>
      </c>
      <c r="AL48">
        <f>H85</f>
        <v>2899466.9055184745</v>
      </c>
      <c r="AM48">
        <f>H90</f>
        <v>3027520</v>
      </c>
      <c r="AN48">
        <f>H89</f>
        <v>9322752.0546666663</v>
      </c>
      <c r="AO48">
        <f>H88</f>
        <v>745011.01333333331</v>
      </c>
      <c r="AP48">
        <f>H91</f>
        <v>256128.19199999998</v>
      </c>
      <c r="AQ48">
        <f>H87</f>
        <v>285000</v>
      </c>
      <c r="AR48">
        <f>H82</f>
        <v>1050779.3883367174</v>
      </c>
      <c r="AS48">
        <f>H86</f>
        <v>417127.85765124555</v>
      </c>
      <c r="AT48">
        <f>H84</f>
        <v>1542750.3</v>
      </c>
    </row>
    <row r="50" spans="12:48" x14ac:dyDescent="0.3">
      <c r="L50" t="str">
        <f>D73</f>
        <v>Tether</v>
      </c>
    </row>
    <row r="51" spans="12:48" x14ac:dyDescent="0.3">
      <c r="M51" t="str">
        <f>D77</f>
        <v>Full deck</v>
      </c>
      <c r="N51" t="str">
        <f>D78</f>
        <v>Catapult</v>
      </c>
      <c r="O51" t="str">
        <f>D79</f>
        <v>Shifter</v>
      </c>
      <c r="P51" t="str">
        <f>D80</f>
        <v>Yaw</v>
      </c>
      <c r="AE51" t="s">
        <v>50</v>
      </c>
      <c r="AU51">
        <f>H93</f>
        <v>700681.37266706803</v>
      </c>
    </row>
    <row r="52" spans="12:48" x14ac:dyDescent="0.3">
      <c r="Q52" t="str">
        <f>D75</f>
        <v>Aircraft</v>
      </c>
    </row>
    <row r="53" spans="12:48" x14ac:dyDescent="0.3">
      <c r="R53" t="str">
        <f>D85</f>
        <v>Drum</v>
      </c>
      <c r="S53" t="str">
        <f>D90</f>
        <v>Hydro pistons</v>
      </c>
      <c r="T53" t="str">
        <f>D89</f>
        <v>Hydro accumul</v>
      </c>
      <c r="U53" t="str">
        <f>D88</f>
        <v>Hydro extras</v>
      </c>
      <c r="V53" t="str">
        <f>D91</f>
        <v>Hydro motor grid</v>
      </c>
      <c r="W53" t="str">
        <f>D87</f>
        <v>Electronics</v>
      </c>
      <c r="X53" t="str">
        <f>D82</f>
        <v xml:space="preserve">Generator </v>
      </c>
      <c r="Y53" t="str">
        <f>D86</f>
        <v>Converter</v>
      </c>
      <c r="Z53" t="str">
        <f>D84</f>
        <v>Transformer</v>
      </c>
    </row>
    <row r="54" spans="12:48" x14ac:dyDescent="0.3">
      <c r="AA54" t="str">
        <f>D93</f>
        <v>Foundations</v>
      </c>
      <c r="AE54" t="s">
        <v>139</v>
      </c>
      <c r="AV54">
        <f>H95</f>
        <v>4848308.287386233</v>
      </c>
    </row>
    <row r="55" spans="12:48" x14ac:dyDescent="0.3">
      <c r="AB55" t="str">
        <f>D95</f>
        <v>Cables</v>
      </c>
      <c r="AE55" t="s">
        <v>49</v>
      </c>
    </row>
    <row r="56" spans="12:48" x14ac:dyDescent="0.3">
      <c r="AE56" t="s">
        <v>2086</v>
      </c>
    </row>
    <row r="57" spans="12:48" x14ac:dyDescent="0.3">
      <c r="AE57" t="s">
        <v>47</v>
      </c>
    </row>
    <row r="58" spans="12:48" x14ac:dyDescent="0.3">
      <c r="AD58">
        <v>4</v>
      </c>
    </row>
    <row r="63" spans="12:48" x14ac:dyDescent="0.3">
      <c r="R63">
        <f>AWE!I565</f>
        <v>219442.80569318184</v>
      </c>
      <c r="S63">
        <f>AWE!L565</f>
        <v>7102435.5946022728</v>
      </c>
      <c r="U63">
        <f>R64+R63</f>
        <v>255727.01128522566</v>
      </c>
      <c r="V63">
        <f>S64+S63</f>
        <v>8276801.8833705448</v>
      </c>
    </row>
    <row r="64" spans="12:48" x14ac:dyDescent="0.3">
      <c r="R64">
        <f>AWE!I566</f>
        <v>36284.205592043822</v>
      </c>
      <c r="S64">
        <f>AWE!L566</f>
        <v>1174366.2887682714</v>
      </c>
    </row>
    <row r="65" spans="4:29" x14ac:dyDescent="0.3">
      <c r="K65" t="str">
        <f>D99</f>
        <v>transport</v>
      </c>
      <c r="M65">
        <f>F99</f>
        <v>146740.56971699037</v>
      </c>
      <c r="O65">
        <f>H99</f>
        <v>2101732.434235258</v>
      </c>
      <c r="R65">
        <f>AWE!I567</f>
        <v>25451.9136</v>
      </c>
      <c r="S65">
        <f>AWE!L567</f>
        <v>405516.24</v>
      </c>
      <c r="U65">
        <f>R66+R65</f>
        <v>92944.116800000003</v>
      </c>
      <c r="V65">
        <f>S66+S65</f>
        <v>1321239.6000000001</v>
      </c>
    </row>
    <row r="66" spans="4:29" x14ac:dyDescent="0.3">
      <c r="K66" t="str">
        <f>D100</f>
        <v>digging</v>
      </c>
      <c r="M66">
        <f>F100</f>
        <v>1813.6480000000001</v>
      </c>
      <c r="O66">
        <f>H100</f>
        <v>26928.880000000001</v>
      </c>
      <c r="R66">
        <f>AWE!I568</f>
        <v>67492.203200000004</v>
      </c>
      <c r="S66">
        <f>AWE!L568</f>
        <v>915723.36</v>
      </c>
    </row>
    <row r="67" spans="4:29" x14ac:dyDescent="0.3">
      <c r="K67" t="str">
        <f>D101</f>
        <v>crane operation</v>
      </c>
      <c r="M67">
        <f>F101</f>
        <v>1800.384</v>
      </c>
      <c r="O67">
        <f>H101</f>
        <v>26856.468729281776</v>
      </c>
    </row>
    <row r="68" spans="4:29" x14ac:dyDescent="0.3">
      <c r="M68">
        <f>SUM(M65:M67)</f>
        <v>150354.60171699035</v>
      </c>
      <c r="O68">
        <f>SUM(O65:O67)</f>
        <v>2155517.7829645397</v>
      </c>
      <c r="R68">
        <f>AWE!BB565</f>
        <v>259892.08482071254</v>
      </c>
      <c r="S68">
        <f>AWE!BC565</f>
        <v>7196106.8311040932</v>
      </c>
    </row>
    <row r="69" spans="4:29" x14ac:dyDescent="0.3">
      <c r="R69">
        <f>AWE!BB566</f>
        <v>42972.371810467681</v>
      </c>
      <c r="S69">
        <f>AWE!BC566</f>
        <v>1189854.5450023129</v>
      </c>
    </row>
    <row r="70" spans="4:29" x14ac:dyDescent="0.3">
      <c r="K70" t="str">
        <f>D110</f>
        <v>treatment</v>
      </c>
      <c r="M70">
        <f>F110</f>
        <v>104631.34968375351</v>
      </c>
      <c r="O70">
        <f>H110</f>
        <v>175486.83622995194</v>
      </c>
      <c r="U70">
        <f>R69+R68</f>
        <v>302864.45663118025</v>
      </c>
      <c r="V70">
        <f>S69+S68</f>
        <v>8385961.3761064056</v>
      </c>
    </row>
    <row r="71" spans="4:29" x14ac:dyDescent="0.3">
      <c r="K71" t="str">
        <f>D111</f>
        <v>transport</v>
      </c>
      <c r="M71">
        <f>F111</f>
        <v>15690.473490774213</v>
      </c>
      <c r="O71">
        <f>H111</f>
        <v>252594.61145311708</v>
      </c>
    </row>
    <row r="72" spans="4:29" x14ac:dyDescent="0.3">
      <c r="K72" t="str">
        <f>D112</f>
        <v>disassembly</v>
      </c>
      <c r="M72">
        <f>F112</f>
        <v>5127.1021404000003</v>
      </c>
      <c r="O72">
        <f>H112</f>
        <v>76361.309409281777</v>
      </c>
      <c r="R72">
        <f>AWE!BB567</f>
        <v>27400.316194056384</v>
      </c>
      <c r="S72">
        <f>AWE!BC567</f>
        <v>418438.81205704313</v>
      </c>
      <c r="U72">
        <f>R73+R72</f>
        <v>97800.651398841452</v>
      </c>
      <c r="V72">
        <f>S73+S72</f>
        <v>1366314.5484226078</v>
      </c>
    </row>
    <row r="73" spans="4:29" x14ac:dyDescent="0.3">
      <c r="D73" t="str">
        <f>AWE!D628</f>
        <v>Tether</v>
      </c>
      <c r="E73">
        <f>AWE!E628</f>
        <v>0</v>
      </c>
      <c r="F73">
        <f>AWE!F628</f>
        <v>29691.724148294641</v>
      </c>
      <c r="G73">
        <f>AWE!G628</f>
        <v>0</v>
      </c>
      <c r="H73">
        <f>AWE!H628</f>
        <v>960995.54410004476</v>
      </c>
      <c r="M73">
        <f>SUM(M70:M72)</f>
        <v>125448.92531492772</v>
      </c>
      <c r="O73">
        <f>SUM(O70:O72)</f>
        <v>504442.7570923508</v>
      </c>
      <c r="R73">
        <f>AWE!BB568</f>
        <v>70400.335204785064</v>
      </c>
      <c r="S73">
        <f>AWE!BC568</f>
        <v>947875.73636556463</v>
      </c>
    </row>
    <row r="74" spans="4:29" x14ac:dyDescent="0.3">
      <c r="D74">
        <f>AWE!D629</f>
        <v>0</v>
      </c>
      <c r="E74">
        <f>AWE!E629</f>
        <v>0</v>
      </c>
      <c r="F74">
        <f>AWE!F629</f>
        <v>0</v>
      </c>
      <c r="G74">
        <f>AWE!G629</f>
        <v>0</v>
      </c>
      <c r="H74">
        <f>AWE!H629</f>
        <v>0</v>
      </c>
    </row>
    <row r="75" spans="4:29" x14ac:dyDescent="0.3">
      <c r="D75" t="str">
        <f>AWE!D630</f>
        <v>Aircraft</v>
      </c>
      <c r="E75">
        <f>AWE!E630</f>
        <v>0</v>
      </c>
      <c r="F75">
        <f>AWE!F630</f>
        <v>412683.55602658965</v>
      </c>
      <c r="G75">
        <f>AWE!G630</f>
        <v>0</v>
      </c>
      <c r="H75">
        <f>AWE!H630</f>
        <v>7551759.3113427823</v>
      </c>
    </row>
    <row r="76" spans="4:29" x14ac:dyDescent="0.3">
      <c r="D76">
        <f>AWE!D631</f>
        <v>0</v>
      </c>
      <c r="E76">
        <f>AWE!E631</f>
        <v>0</v>
      </c>
      <c r="F76">
        <f>AWE!F631</f>
        <v>0</v>
      </c>
      <c r="G76">
        <f>AWE!G631</f>
        <v>0</v>
      </c>
      <c r="H76">
        <f>AWE!H631</f>
        <v>0</v>
      </c>
      <c r="T76" s="196">
        <f>AWE!$F$62</f>
        <v>462528</v>
      </c>
    </row>
    <row r="77" spans="4:29" x14ac:dyDescent="0.3">
      <c r="D77" t="str">
        <f>AWE!D632</f>
        <v>Full deck</v>
      </c>
      <c r="E77">
        <f>AWE!E632</f>
        <v>0</v>
      </c>
      <c r="F77">
        <f>AWE!F632</f>
        <v>470496.6822765742</v>
      </c>
      <c r="G77">
        <f>AWE!G632</f>
        <v>0</v>
      </c>
      <c r="H77">
        <f>AWE!H632</f>
        <v>6813242.5653764559</v>
      </c>
      <c r="K77" t="str">
        <f>D73</f>
        <v>Tether</v>
      </c>
      <c r="L77">
        <f>F73+U63</f>
        <v>285418.73543352028</v>
      </c>
      <c r="P77">
        <f>H73+V63</f>
        <v>9237797.4274705891</v>
      </c>
      <c r="S77" t="str">
        <f t="shared" ref="S77:S96" si="1">K77</f>
        <v>Tether</v>
      </c>
      <c r="T77" s="196">
        <f>AB77/$AB$97</f>
        <v>7.9130685705261605E-2</v>
      </c>
      <c r="X77" s="196">
        <f>AC77/$AC$97</f>
        <v>0.15668368845194766</v>
      </c>
      <c r="Y77" s="357">
        <f t="shared" ref="Y77:Y96" si="2">X77/$X$98</f>
        <v>0.15668368845194763</v>
      </c>
      <c r="AB77">
        <f>L77/$T$76</f>
        <v>0.61708423151359548</v>
      </c>
      <c r="AC77">
        <f>P77/$T$76</f>
        <v>19.972406919085092</v>
      </c>
    </row>
    <row r="78" spans="4:29" x14ac:dyDescent="0.3">
      <c r="D78" t="str">
        <f>AWE!D633</f>
        <v>Catapult</v>
      </c>
      <c r="E78">
        <f>AWE!E633</f>
        <v>0</v>
      </c>
      <c r="F78">
        <f>AWE!F633</f>
        <v>132296.28</v>
      </c>
      <c r="G78">
        <f>AWE!G633</f>
        <v>0</v>
      </c>
      <c r="H78">
        <f>AWE!H633</f>
        <v>1953272.4</v>
      </c>
      <c r="K78" t="str">
        <f>D75</f>
        <v>Aircraft</v>
      </c>
      <c r="L78">
        <f>F75+U65</f>
        <v>505627.67282658967</v>
      </c>
      <c r="P78">
        <f>H75+V65</f>
        <v>8872998.9113427829</v>
      </c>
      <c r="S78" t="str">
        <f t="shared" si="1"/>
        <v>Aircraft</v>
      </c>
      <c r="T78" s="196">
        <f t="shared" ref="T78:T96" si="3">AB78/$AB$97</f>
        <v>0.14018233386659718</v>
      </c>
      <c r="X78" s="196">
        <f t="shared" ref="X78:X96" si="4">AC78/$AC$97</f>
        <v>0.1504962852860447</v>
      </c>
      <c r="Y78" s="357">
        <f t="shared" si="2"/>
        <v>0.15049628528604467</v>
      </c>
      <c r="AB78">
        <f t="shared" ref="AB78:AB96" si="5">L78/$T$76</f>
        <v>1.0931828404476911</v>
      </c>
      <c r="AC78">
        <f t="shared" ref="AC78:AC96" si="6">P78/$T$76</f>
        <v>19.183701119376089</v>
      </c>
    </row>
    <row r="79" spans="4:29" x14ac:dyDescent="0.3">
      <c r="D79" t="str">
        <f>AWE!D634</f>
        <v>Shifter</v>
      </c>
      <c r="E79">
        <f>AWE!E634</f>
        <v>0</v>
      </c>
      <c r="F79">
        <f>AWE!F634</f>
        <v>198322.30600553524</v>
      </c>
      <c r="G79">
        <f>AWE!G634</f>
        <v>0</v>
      </c>
      <c r="H79">
        <f>AWE!H634</f>
        <v>2842213.918302373</v>
      </c>
      <c r="K79" t="str">
        <f>D77</f>
        <v>Full deck</v>
      </c>
      <c r="L79">
        <f>F77</f>
        <v>470496.6822765742</v>
      </c>
      <c r="P79">
        <f>H77</f>
        <v>6813242.5653764559</v>
      </c>
      <c r="S79" t="str">
        <f t="shared" si="1"/>
        <v>Full deck</v>
      </c>
      <c r="T79" s="196">
        <f t="shared" si="3"/>
        <v>0.13044247089822769</v>
      </c>
      <c r="X79" s="196">
        <f t="shared" si="4"/>
        <v>0.11556044434211989</v>
      </c>
      <c r="Y79" s="357">
        <f t="shared" si="2"/>
        <v>0.11556044434211986</v>
      </c>
      <c r="AB79">
        <f t="shared" si="5"/>
        <v>1.0172285402755599</v>
      </c>
      <c r="AC79">
        <f t="shared" si="6"/>
        <v>14.730443487478501</v>
      </c>
    </row>
    <row r="80" spans="4:29" x14ac:dyDescent="0.3">
      <c r="D80" t="str">
        <f>AWE!D635</f>
        <v>Yaw</v>
      </c>
      <c r="E80">
        <f>AWE!E635</f>
        <v>0</v>
      </c>
      <c r="F80">
        <f>AWE!F635</f>
        <v>74095.72</v>
      </c>
      <c r="G80">
        <f>AWE!G635</f>
        <v>0</v>
      </c>
      <c r="H80">
        <f>AWE!H635</f>
        <v>1082285.6000000001</v>
      </c>
      <c r="K80" t="str">
        <f>D78</f>
        <v>Catapult</v>
      </c>
      <c r="L80">
        <f>F78</f>
        <v>132296.28</v>
      </c>
      <c r="P80">
        <f>H78</f>
        <v>1953272.4</v>
      </c>
      <c r="S80" t="str">
        <f t="shared" si="1"/>
        <v>Catapult</v>
      </c>
      <c r="T80" s="196">
        <f t="shared" si="3"/>
        <v>3.667837479818719E-2</v>
      </c>
      <c r="X80" s="196">
        <f t="shared" si="4"/>
        <v>3.3129750526169177E-2</v>
      </c>
      <c r="Y80" s="357">
        <f t="shared" si="2"/>
        <v>3.312975052616917E-2</v>
      </c>
      <c r="AB80">
        <f t="shared" si="5"/>
        <v>0.28602869447903695</v>
      </c>
      <c r="AC80">
        <f t="shared" si="6"/>
        <v>4.2230360107928595</v>
      </c>
    </row>
    <row r="81" spans="4:29" x14ac:dyDescent="0.3">
      <c r="D81">
        <f>AWE!D636</f>
        <v>0</v>
      </c>
      <c r="E81">
        <f>AWE!E636</f>
        <v>0</v>
      </c>
      <c r="F81">
        <f>AWE!F636</f>
        <v>0</v>
      </c>
      <c r="G81">
        <f>AWE!G636</f>
        <v>0</v>
      </c>
      <c r="H81">
        <f>AWE!H636</f>
        <v>0</v>
      </c>
      <c r="K81" t="str">
        <f>D79</f>
        <v>Shifter</v>
      </c>
      <c r="L81">
        <f>F79</f>
        <v>198322.30600553524</v>
      </c>
      <c r="P81">
        <f>H79</f>
        <v>2842213.918302373</v>
      </c>
      <c r="S81" t="str">
        <f t="shared" si="1"/>
        <v>Shifter</v>
      </c>
      <c r="T81" s="196">
        <f t="shared" si="3"/>
        <v>5.4983706801973502E-2</v>
      </c>
      <c r="X81" s="196">
        <f t="shared" si="4"/>
        <v>4.8207222943079227E-2</v>
      </c>
      <c r="Y81" s="357">
        <f t="shared" si="2"/>
        <v>4.8207222943079213E-2</v>
      </c>
      <c r="AB81">
        <f t="shared" si="5"/>
        <v>0.42877902744382013</v>
      </c>
      <c r="AC81">
        <f t="shared" si="6"/>
        <v>6.1449553720042314</v>
      </c>
    </row>
    <row r="82" spans="4:29" x14ac:dyDescent="0.3">
      <c r="D82" t="str">
        <f>AWE!D637</f>
        <v xml:space="preserve">Generator </v>
      </c>
      <c r="E82">
        <f>AWE!E637</f>
        <v>0</v>
      </c>
      <c r="F82">
        <f>AWE!F637</f>
        <v>69937.890992530345</v>
      </c>
      <c r="G82">
        <f>AWE!G637</f>
        <v>0</v>
      </c>
      <c r="H82">
        <f>AWE!H637</f>
        <v>1050779.3883367174</v>
      </c>
      <c r="K82" t="str">
        <f>D80</f>
        <v>Yaw</v>
      </c>
      <c r="L82">
        <f>F80</f>
        <v>74095.72</v>
      </c>
      <c r="P82">
        <f>H80</f>
        <v>1082285.6000000001</v>
      </c>
      <c r="S82" t="str">
        <f t="shared" si="1"/>
        <v>Yaw</v>
      </c>
      <c r="T82" s="196">
        <f t="shared" si="3"/>
        <v>2.054260776721412E-2</v>
      </c>
      <c r="X82" s="196">
        <f t="shared" si="4"/>
        <v>1.8356810819661062E-2</v>
      </c>
      <c r="Y82" s="357">
        <f t="shared" si="2"/>
        <v>1.8356810819661059E-2</v>
      </c>
      <c r="AB82">
        <f t="shared" si="5"/>
        <v>0.16019726373322263</v>
      </c>
      <c r="AC82">
        <f t="shared" si="6"/>
        <v>2.3399353120243531</v>
      </c>
    </row>
    <row r="83" spans="4:29" x14ac:dyDescent="0.3">
      <c r="D83">
        <f>AWE!D638</f>
        <v>0</v>
      </c>
      <c r="E83">
        <f>AWE!E638</f>
        <v>0</v>
      </c>
      <c r="F83">
        <f>AWE!F638</f>
        <v>0</v>
      </c>
      <c r="G83">
        <f>AWE!G638</f>
        <v>0</v>
      </c>
      <c r="H83">
        <f>AWE!H638</f>
        <v>0</v>
      </c>
      <c r="K83" t="str">
        <f>D82</f>
        <v xml:space="preserve">Generator </v>
      </c>
      <c r="L83">
        <f>F82</f>
        <v>69937.890992530345</v>
      </c>
      <c r="P83">
        <f>H82</f>
        <v>1050779.3883367174</v>
      </c>
      <c r="S83" t="str">
        <f t="shared" si="1"/>
        <v xml:space="preserve">Generator </v>
      </c>
      <c r="T83" s="196">
        <f t="shared" si="3"/>
        <v>1.9389873837864433E-2</v>
      </c>
      <c r="X83" s="196">
        <f t="shared" si="4"/>
        <v>1.7822429167399331E-2</v>
      </c>
      <c r="Y83" s="357">
        <f t="shared" si="2"/>
        <v>1.7822429167399328E-2</v>
      </c>
      <c r="AB83">
        <f t="shared" si="5"/>
        <v>0.15120790739702319</v>
      </c>
      <c r="AC83">
        <f t="shared" si="6"/>
        <v>2.2718178971580474</v>
      </c>
    </row>
    <row r="84" spans="4:29" x14ac:dyDescent="0.3">
      <c r="D84" t="str">
        <f>AWE!D639</f>
        <v>Transformer</v>
      </c>
      <c r="E84">
        <f>AWE!E639</f>
        <v>0</v>
      </c>
      <c r="F84">
        <f>AWE!F639</f>
        <v>87457.5</v>
      </c>
      <c r="G84">
        <f>AWE!G639</f>
        <v>0</v>
      </c>
      <c r="H84">
        <f>AWE!H639</f>
        <v>1542750.3</v>
      </c>
      <c r="K84" t="str">
        <f t="shared" ref="K84:K91" si="7">D84</f>
        <v>Transformer</v>
      </c>
      <c r="L84">
        <f t="shared" ref="L84:L91" si="8">F84</f>
        <v>87457.5</v>
      </c>
      <c r="P84">
        <f t="shared" ref="P84:P91" si="9">H84</f>
        <v>1542750.3</v>
      </c>
      <c r="S84" t="str">
        <f t="shared" si="1"/>
        <v>Transformer</v>
      </c>
      <c r="T84" s="196">
        <f t="shared" si="3"/>
        <v>2.4247083621039504E-2</v>
      </c>
      <c r="X84" s="196">
        <f t="shared" si="4"/>
        <v>2.6166822693635905E-2</v>
      </c>
      <c r="Y84" s="357">
        <f t="shared" si="2"/>
        <v>2.6166822693635898E-2</v>
      </c>
      <c r="AB84">
        <f t="shared" si="5"/>
        <v>0.1890858499377335</v>
      </c>
      <c r="AC84">
        <f t="shared" si="6"/>
        <v>3.3354743929016188</v>
      </c>
    </row>
    <row r="85" spans="4:29" x14ac:dyDescent="0.3">
      <c r="D85" t="str">
        <f>AWE!D640</f>
        <v>Drum</v>
      </c>
      <c r="E85">
        <f>AWE!E640</f>
        <v>0</v>
      </c>
      <c r="F85">
        <f>AWE!F640</f>
        <v>180964.12309176949</v>
      </c>
      <c r="G85">
        <f>AWE!G640</f>
        <v>0</v>
      </c>
      <c r="H85">
        <f>AWE!H640</f>
        <v>2899466.9055184745</v>
      </c>
      <c r="K85" t="str">
        <f t="shared" si="7"/>
        <v>Drum</v>
      </c>
      <c r="L85">
        <f t="shared" si="8"/>
        <v>180964.12309176949</v>
      </c>
      <c r="P85">
        <f t="shared" si="9"/>
        <v>2899466.9055184745</v>
      </c>
      <c r="S85" t="str">
        <f t="shared" si="1"/>
        <v>Drum</v>
      </c>
      <c r="T85" s="196">
        <f t="shared" si="3"/>
        <v>5.0171251465159883E-2</v>
      </c>
      <c r="X85" s="196">
        <f t="shared" si="4"/>
        <v>4.917829957496498E-2</v>
      </c>
      <c r="Y85" s="357">
        <f t="shared" si="2"/>
        <v>4.9178299574964966E-2</v>
      </c>
      <c r="AB85">
        <f t="shared" si="5"/>
        <v>0.39125009316575321</v>
      </c>
      <c r="AC85">
        <f t="shared" si="6"/>
        <v>6.2687381207591208</v>
      </c>
    </row>
    <row r="86" spans="4:29" x14ac:dyDescent="0.3">
      <c r="D86" t="str">
        <f>AWE!D641</f>
        <v>Converter</v>
      </c>
      <c r="E86">
        <f>AWE!E641</f>
        <v>0</v>
      </c>
      <c r="F86">
        <f>AWE!F641</f>
        <v>29959.234733096084</v>
      </c>
      <c r="G86">
        <f>AWE!G641</f>
        <v>0</v>
      </c>
      <c r="H86">
        <f>AWE!H641</f>
        <v>417127.85765124555</v>
      </c>
      <c r="K86" t="str">
        <f t="shared" si="7"/>
        <v>Converter</v>
      </c>
      <c r="L86">
        <f t="shared" si="8"/>
        <v>29959.234733096084</v>
      </c>
      <c r="P86">
        <f t="shared" si="9"/>
        <v>417127.85765124555</v>
      </c>
      <c r="S86" t="str">
        <f t="shared" si="1"/>
        <v>Converter</v>
      </c>
      <c r="T86" s="196">
        <f t="shared" si="3"/>
        <v>8.3060237234740507E-3</v>
      </c>
      <c r="X86" s="196">
        <f t="shared" si="4"/>
        <v>7.0749690936610663E-3</v>
      </c>
      <c r="Y86" s="357">
        <f t="shared" si="2"/>
        <v>7.0749690936610645E-3</v>
      </c>
      <c r="AB86">
        <f t="shared" si="5"/>
        <v>6.4772802366767163E-2</v>
      </c>
      <c r="AC86">
        <f t="shared" si="6"/>
        <v>0.90184347250597918</v>
      </c>
    </row>
    <row r="87" spans="4:29" x14ac:dyDescent="0.3">
      <c r="D87" t="str">
        <f>AWE!D642</f>
        <v>Electronics</v>
      </c>
      <c r="E87">
        <f>AWE!E642</f>
        <v>0</v>
      </c>
      <c r="F87">
        <f>AWE!F642</f>
        <v>18300</v>
      </c>
      <c r="G87">
        <f>AWE!G642</f>
        <v>0</v>
      </c>
      <c r="H87">
        <f>AWE!H642</f>
        <v>285000</v>
      </c>
      <c r="K87" t="str">
        <f t="shared" si="7"/>
        <v>Electronics</v>
      </c>
      <c r="L87">
        <f t="shared" si="8"/>
        <v>18300</v>
      </c>
      <c r="P87">
        <f t="shared" si="9"/>
        <v>285000</v>
      </c>
      <c r="S87" t="str">
        <f t="shared" si="1"/>
        <v>Electronics</v>
      </c>
      <c r="T87" s="196">
        <f t="shared" si="3"/>
        <v>5.0735686506591538E-3</v>
      </c>
      <c r="X87" s="196">
        <f t="shared" si="4"/>
        <v>4.8339283860040294E-3</v>
      </c>
      <c r="Y87" s="357">
        <f t="shared" si="2"/>
        <v>4.8339283860040286E-3</v>
      </c>
      <c r="AB87">
        <f t="shared" si="5"/>
        <v>3.9565172270651726E-2</v>
      </c>
      <c r="AC87">
        <f t="shared" si="6"/>
        <v>0.61617891241178913</v>
      </c>
    </row>
    <row r="88" spans="4:29" x14ac:dyDescent="0.3">
      <c r="D88" t="str">
        <f>AWE!D643</f>
        <v>Hydro extras</v>
      </c>
      <c r="E88">
        <f>AWE!E643</f>
        <v>0</v>
      </c>
      <c r="F88">
        <f>AWE!F643</f>
        <v>16717.742666666669</v>
      </c>
      <c r="G88">
        <f>AWE!G643</f>
        <v>0</v>
      </c>
      <c r="H88">
        <f>AWE!H643</f>
        <v>745011.01333333331</v>
      </c>
      <c r="K88" t="str">
        <f t="shared" si="7"/>
        <v>Hydro extras</v>
      </c>
      <c r="L88">
        <f t="shared" si="8"/>
        <v>16717.742666666669</v>
      </c>
      <c r="P88">
        <f t="shared" si="9"/>
        <v>745011.01333333331</v>
      </c>
      <c r="S88" t="str">
        <f t="shared" si="1"/>
        <v>Hydro extras</v>
      </c>
      <c r="T88" s="196">
        <f t="shared" si="3"/>
        <v>4.6348970001850801E-3</v>
      </c>
      <c r="X88" s="196">
        <f t="shared" si="4"/>
        <v>1.2636245211360092E-2</v>
      </c>
      <c r="Y88" s="357">
        <f t="shared" si="2"/>
        <v>1.2636245211360088E-2</v>
      </c>
      <c r="AB88">
        <f t="shared" si="5"/>
        <v>3.6144282436234493E-2</v>
      </c>
      <c r="AC88">
        <f t="shared" si="6"/>
        <v>1.6107371085282043</v>
      </c>
    </row>
    <row r="89" spans="4:29" x14ac:dyDescent="0.3">
      <c r="D89" t="str">
        <f>AWE!D644</f>
        <v>Hydro accumul</v>
      </c>
      <c r="E89">
        <f>AWE!E644</f>
        <v>0</v>
      </c>
      <c r="F89">
        <f>AWE!F644</f>
        <v>609112.09960000007</v>
      </c>
      <c r="G89">
        <f>AWE!G644</f>
        <v>0</v>
      </c>
      <c r="H89">
        <f>AWE!H644</f>
        <v>9322752.0546666663</v>
      </c>
      <c r="K89" t="str">
        <f t="shared" si="7"/>
        <v>Hydro accumul</v>
      </c>
      <c r="L89">
        <f t="shared" si="8"/>
        <v>609112.09960000007</v>
      </c>
      <c r="P89">
        <f t="shared" si="9"/>
        <v>9322752.0546666663</v>
      </c>
      <c r="S89" t="str">
        <f t="shared" si="1"/>
        <v>Hydro accumul</v>
      </c>
      <c r="T89" s="196">
        <f t="shared" si="3"/>
        <v>0.16887278979605116</v>
      </c>
      <c r="X89" s="196">
        <f t="shared" si="4"/>
        <v>0.15812461681659856</v>
      </c>
      <c r="Y89" s="357">
        <f t="shared" si="2"/>
        <v>0.15812461681659853</v>
      </c>
      <c r="AB89">
        <f t="shared" si="5"/>
        <v>1.3169194072575068</v>
      </c>
      <c r="AC89">
        <f t="shared" si="6"/>
        <v>20.156081479751855</v>
      </c>
    </row>
    <row r="90" spans="4:29" x14ac:dyDescent="0.3">
      <c r="D90" t="str">
        <f>AWE!D645</f>
        <v>Hydro pistons</v>
      </c>
      <c r="E90">
        <f>AWE!E645</f>
        <v>0</v>
      </c>
      <c r="F90">
        <f>AWE!F645</f>
        <v>198224</v>
      </c>
      <c r="G90">
        <f>AWE!G645</f>
        <v>0</v>
      </c>
      <c r="H90">
        <f>AWE!H645</f>
        <v>3027520</v>
      </c>
      <c r="K90" t="str">
        <f t="shared" si="7"/>
        <v>Hydro pistons</v>
      </c>
      <c r="L90">
        <f t="shared" si="8"/>
        <v>198224</v>
      </c>
      <c r="P90">
        <f t="shared" si="9"/>
        <v>3027520</v>
      </c>
      <c r="S90" t="str">
        <f t="shared" si="1"/>
        <v>Hydro pistons</v>
      </c>
      <c r="T90" s="196">
        <f t="shared" si="3"/>
        <v>5.4956452033238255E-2</v>
      </c>
      <c r="X90" s="196">
        <f t="shared" si="4"/>
        <v>5.1350227604192701E-2</v>
      </c>
      <c r="Y90" s="357">
        <f t="shared" si="2"/>
        <v>5.1350227604192687E-2</v>
      </c>
      <c r="AB90">
        <f t="shared" si="5"/>
        <v>0.42856648678566489</v>
      </c>
      <c r="AC90">
        <f t="shared" si="6"/>
        <v>6.5455929154559289</v>
      </c>
    </row>
    <row r="91" spans="4:29" x14ac:dyDescent="0.3">
      <c r="D91" t="str">
        <f>AWE!D646</f>
        <v>Hydro motor grid</v>
      </c>
      <c r="E91">
        <f>AWE!E646</f>
        <v>0</v>
      </c>
      <c r="F91">
        <f>AWE!F646</f>
        <v>16769.750400000001</v>
      </c>
      <c r="G91">
        <f>AWE!G646</f>
        <v>0</v>
      </c>
      <c r="H91">
        <f>AWE!H646</f>
        <v>256128.19199999998</v>
      </c>
      <c r="K91" t="str">
        <f t="shared" si="7"/>
        <v>Hydro motor grid</v>
      </c>
      <c r="L91">
        <f t="shared" si="8"/>
        <v>16769.750400000001</v>
      </c>
      <c r="P91">
        <f t="shared" si="9"/>
        <v>256128.19199999998</v>
      </c>
      <c r="S91" t="str">
        <f t="shared" si="1"/>
        <v>Hydro motor grid</v>
      </c>
      <c r="T91" s="196">
        <f t="shared" si="3"/>
        <v>4.649315842011956E-3</v>
      </c>
      <c r="X91" s="196">
        <f t="shared" si="4"/>
        <v>4.3442292553147023E-3</v>
      </c>
      <c r="Y91" s="357">
        <f t="shared" si="2"/>
        <v>4.3442292553147015E-3</v>
      </c>
      <c r="AB91">
        <f t="shared" si="5"/>
        <v>3.6256724782067248E-2</v>
      </c>
      <c r="AC91">
        <f t="shared" si="6"/>
        <v>0.55375716064757152</v>
      </c>
    </row>
    <row r="92" spans="4:29" x14ac:dyDescent="0.3">
      <c r="D92">
        <f>AWE!D647</f>
        <v>0</v>
      </c>
      <c r="E92">
        <f>AWE!E647</f>
        <v>0</v>
      </c>
      <c r="F92">
        <f>AWE!F647</f>
        <v>0</v>
      </c>
      <c r="G92">
        <f>AWE!G647</f>
        <v>0</v>
      </c>
      <c r="H92">
        <f>AWE!H647</f>
        <v>0</v>
      </c>
      <c r="K92" t="str">
        <f>D93</f>
        <v>Foundations</v>
      </c>
      <c r="L92">
        <f>F93</f>
        <v>75122.49969897652</v>
      </c>
      <c r="P92">
        <f>H93</f>
        <v>700681.37266706803</v>
      </c>
      <c r="S92" t="str">
        <f t="shared" si="1"/>
        <v>Foundations</v>
      </c>
      <c r="T92" s="196">
        <f t="shared" si="3"/>
        <v>2.0827276471687375E-2</v>
      </c>
      <c r="X92" s="196">
        <f t="shared" si="4"/>
        <v>1.1884363427647749E-2</v>
      </c>
      <c r="Y92" s="357">
        <f t="shared" si="2"/>
        <v>1.1884363427647746E-2</v>
      </c>
      <c r="AB92">
        <f t="shared" si="5"/>
        <v>0.16241719355147477</v>
      </c>
      <c r="AC92">
        <f t="shared" si="6"/>
        <v>1.5148950391480474</v>
      </c>
    </row>
    <row r="93" spans="4:29" x14ac:dyDescent="0.3">
      <c r="D93" t="str">
        <f>AWE!D648</f>
        <v>Foundations</v>
      </c>
      <c r="E93">
        <f>AWE!E648</f>
        <v>0</v>
      </c>
      <c r="F93">
        <f>AWE!F648</f>
        <v>75122.49969897652</v>
      </c>
      <c r="G93">
        <f>AWE!G648</f>
        <v>0</v>
      </c>
      <c r="H93">
        <f>AWE!H648</f>
        <v>700681.37266706803</v>
      </c>
      <c r="K93" t="str">
        <f>D95</f>
        <v>Cables</v>
      </c>
      <c r="L93">
        <f>F95</f>
        <v>303764.63315007358</v>
      </c>
      <c r="P93">
        <f>H95</f>
        <v>4848308.287386233</v>
      </c>
      <c r="S93" t="str">
        <f t="shared" si="1"/>
        <v>Cables</v>
      </c>
      <c r="T93" s="196">
        <f t="shared" si="3"/>
        <v>8.4216979231103356E-2</v>
      </c>
      <c r="X93" s="196">
        <f t="shared" si="4"/>
        <v>8.2232894928052261E-2</v>
      </c>
      <c r="Y93" s="357">
        <f t="shared" si="2"/>
        <v>8.2232894928052247E-2</v>
      </c>
      <c r="AB93">
        <f t="shared" si="5"/>
        <v>0.65674863608273137</v>
      </c>
      <c r="AC93">
        <f t="shared" si="6"/>
        <v>10.482194131784958</v>
      </c>
    </row>
    <row r="94" spans="4:29" x14ac:dyDescent="0.3">
      <c r="D94">
        <f>AWE!D649</f>
        <v>0</v>
      </c>
      <c r="E94">
        <f>AWE!E649</f>
        <v>0</v>
      </c>
      <c r="F94">
        <f>AWE!F649</f>
        <v>0</v>
      </c>
      <c r="G94">
        <f>AWE!G649</f>
        <v>0</v>
      </c>
      <c r="H94">
        <f>AWE!H649</f>
        <v>0</v>
      </c>
      <c r="K94" t="s">
        <v>49</v>
      </c>
      <c r="L94">
        <f>M68</f>
        <v>150354.60171699035</v>
      </c>
      <c r="P94">
        <f>O68</f>
        <v>2155517.7829645397</v>
      </c>
      <c r="S94" t="str">
        <f t="shared" si="1"/>
        <v>Installation</v>
      </c>
      <c r="T94" s="196">
        <f t="shared" si="3"/>
        <v>4.1684939549380608E-2</v>
      </c>
      <c r="X94" s="196">
        <f t="shared" si="4"/>
        <v>3.6560065254767585E-2</v>
      </c>
      <c r="Y94" s="357">
        <f t="shared" si="2"/>
        <v>3.6560065254767578E-2</v>
      </c>
      <c r="AB94">
        <f t="shared" si="5"/>
        <v>0.32507135074415028</v>
      </c>
      <c r="AC94">
        <f t="shared" si="6"/>
        <v>4.6602968533030209</v>
      </c>
    </row>
    <row r="95" spans="4:29" x14ac:dyDescent="0.3">
      <c r="D95" t="str">
        <f>AWE!D650</f>
        <v>Cables</v>
      </c>
      <c r="E95">
        <f>AWE!E650</f>
        <v>0</v>
      </c>
      <c r="F95">
        <f>AWE!F650</f>
        <v>303764.63315007358</v>
      </c>
      <c r="G95">
        <f>AWE!G650</f>
        <v>0</v>
      </c>
      <c r="H95">
        <f>AWE!H650</f>
        <v>4848308.287386233</v>
      </c>
      <c r="K95" t="s">
        <v>170</v>
      </c>
      <c r="L95">
        <f>F106+F107</f>
        <v>58538.227690923013</v>
      </c>
      <c r="P95">
        <f>H106+H107</f>
        <v>400961.89983743674</v>
      </c>
      <c r="S95" t="str">
        <f t="shared" si="1"/>
        <v>O&amp;M</v>
      </c>
      <c r="T95" s="196">
        <f t="shared" si="3"/>
        <v>1.6229383435946147E-2</v>
      </c>
      <c r="X95" s="196">
        <f t="shared" si="4"/>
        <v>6.8007758222115439E-3</v>
      </c>
      <c r="Y95" s="357">
        <f t="shared" si="2"/>
        <v>6.8007758222115421E-3</v>
      </c>
      <c r="AB95">
        <f t="shared" si="5"/>
        <v>0.12656147885300567</v>
      </c>
      <c r="AC95">
        <f t="shared" si="6"/>
        <v>0.86689216617682985</v>
      </c>
    </row>
    <row r="96" spans="4:29" x14ac:dyDescent="0.3">
      <c r="D96">
        <f>AWE!D651</f>
        <v>0</v>
      </c>
      <c r="E96">
        <f>AWE!E651</f>
        <v>0</v>
      </c>
      <c r="F96">
        <f>AWE!F651</f>
        <v>0</v>
      </c>
      <c r="G96">
        <f>AWE!G651</f>
        <v>0</v>
      </c>
      <c r="H96">
        <f>AWE!H651</f>
        <v>0</v>
      </c>
      <c r="K96" t="s">
        <v>47</v>
      </c>
      <c r="L96">
        <f>M73</f>
        <v>125448.92531492772</v>
      </c>
      <c r="P96">
        <f>O73</f>
        <v>504442.7570923508</v>
      </c>
      <c r="S96" t="str">
        <f t="shared" si="1"/>
        <v>EOL</v>
      </c>
      <c r="T96" s="196">
        <f t="shared" si="3"/>
        <v>3.4779985504737633E-2</v>
      </c>
      <c r="X96" s="196">
        <f t="shared" si="4"/>
        <v>8.5559303951678947E-3</v>
      </c>
      <c r="Y96" s="357">
        <f t="shared" si="2"/>
        <v>8.555930395167893E-3</v>
      </c>
      <c r="AB96">
        <f t="shared" si="5"/>
        <v>0.27122449952203481</v>
      </c>
      <c r="AC96">
        <f t="shared" si="6"/>
        <v>1.0906210155760316</v>
      </c>
    </row>
    <row r="97" spans="4:29" x14ac:dyDescent="0.3">
      <c r="D97">
        <f>AWE!D652</f>
        <v>0</v>
      </c>
      <c r="E97">
        <f>AWE!E652</f>
        <v>0</v>
      </c>
      <c r="F97">
        <f>AWE!F652</f>
        <v>0</v>
      </c>
      <c r="G97">
        <f>AWE!G652</f>
        <v>0</v>
      </c>
      <c r="H97">
        <f>AWE!H652</f>
        <v>0</v>
      </c>
      <c r="AB97">
        <f>SUM(AB77:AB96)</f>
        <v>7.7982924830457261</v>
      </c>
      <c r="AC97">
        <f>SUM(AC77:AC96)</f>
        <v>127.46959888687012</v>
      </c>
    </row>
    <row r="98" spans="4:29" x14ac:dyDescent="0.3">
      <c r="D98">
        <f>AWE!D653</f>
        <v>0</v>
      </c>
      <c r="E98">
        <f>AWE!E653</f>
        <v>0</v>
      </c>
      <c r="F98">
        <f>AWE!F653</f>
        <v>0</v>
      </c>
      <c r="G98">
        <f>AWE!G653</f>
        <v>150354.60171699038</v>
      </c>
      <c r="H98">
        <f>AWE!H653</f>
        <v>0</v>
      </c>
      <c r="T98">
        <f>SUM(T77:T96)</f>
        <v>0.99999999999999978</v>
      </c>
      <c r="X98">
        <f>SUM(X77:X96)</f>
        <v>1.0000000000000002</v>
      </c>
    </row>
    <row r="99" spans="4:29" x14ac:dyDescent="0.3">
      <c r="D99" t="str">
        <f>AWE!D654</f>
        <v>transport</v>
      </c>
      <c r="E99">
        <f>AWE!E654</f>
        <v>0</v>
      </c>
      <c r="F99">
        <f>AWE!F654</f>
        <v>146740.56971699037</v>
      </c>
      <c r="G99">
        <f>AWE!G654</f>
        <v>0</v>
      </c>
      <c r="H99">
        <f>AWE!H654</f>
        <v>2101732.434235258</v>
      </c>
    </row>
    <row r="100" spans="4:29" x14ac:dyDescent="0.3">
      <c r="D100" t="str">
        <f>AWE!D655</f>
        <v>digging</v>
      </c>
      <c r="E100">
        <f>AWE!E655</f>
        <v>0</v>
      </c>
      <c r="F100">
        <f>AWE!F655</f>
        <v>1813.6480000000001</v>
      </c>
      <c r="G100">
        <f>AWE!G655</f>
        <v>0</v>
      </c>
      <c r="H100">
        <f>AWE!H655</f>
        <v>26928.880000000001</v>
      </c>
      <c r="L100">
        <f>AWE!$I$565</f>
        <v>219442.80569318184</v>
      </c>
      <c r="M100" s="196">
        <f>L100/(T76*T98)</f>
        <v>0.47444220824075928</v>
      </c>
    </row>
    <row r="101" spans="4:29" x14ac:dyDescent="0.3">
      <c r="D101" t="str">
        <f>AWE!D656</f>
        <v>crane operation</v>
      </c>
      <c r="E101">
        <f>AWE!E656</f>
        <v>0</v>
      </c>
      <c r="F101">
        <f>AWE!F656</f>
        <v>1800.384</v>
      </c>
      <c r="G101">
        <f>AWE!G656</f>
        <v>0</v>
      </c>
      <c r="H101">
        <f>AWE!H656</f>
        <v>26856.468729281776</v>
      </c>
    </row>
    <row r="102" spans="4:29" x14ac:dyDescent="0.3">
      <c r="D102">
        <f>AWE!D657</f>
        <v>0</v>
      </c>
      <c r="E102">
        <f>AWE!E657</f>
        <v>0</v>
      </c>
      <c r="F102">
        <f>AWE!F657</f>
        <v>0</v>
      </c>
      <c r="G102">
        <f>AWE!G657</f>
        <v>0</v>
      </c>
      <c r="H102">
        <f>AWE!H657</f>
        <v>0</v>
      </c>
    </row>
    <row r="103" spans="4:29" x14ac:dyDescent="0.3">
      <c r="D103">
        <f>AWE!D658</f>
        <v>0</v>
      </c>
      <c r="E103">
        <f>AWE!E658</f>
        <v>0</v>
      </c>
      <c r="F103">
        <f>AWE!F658</f>
        <v>0</v>
      </c>
      <c r="G103">
        <f>AWE!G658</f>
        <v>0</v>
      </c>
      <c r="H103">
        <f>AWE!H658</f>
        <v>0</v>
      </c>
    </row>
    <row r="104" spans="4:29" x14ac:dyDescent="0.3">
      <c r="D104">
        <f>AWE!D659</f>
        <v>0</v>
      </c>
      <c r="E104">
        <f>AWE!E659</f>
        <v>0</v>
      </c>
      <c r="F104">
        <f>AWE!F659</f>
        <v>0</v>
      </c>
      <c r="G104">
        <f>AWE!G659</f>
        <v>407209.35577614867</v>
      </c>
      <c r="H104">
        <f>AWE!H659</f>
        <v>0</v>
      </c>
    </row>
    <row r="105" spans="4:29" x14ac:dyDescent="0.3">
      <c r="D105" t="str">
        <f>AWE!D660</f>
        <v>replacements</v>
      </c>
      <c r="E105">
        <f>AWE!E660</f>
        <v>0</v>
      </c>
      <c r="F105">
        <f>AWE!F660</f>
        <v>348671.12808522565</v>
      </c>
      <c r="G105">
        <f>AWE!G660</f>
        <v>0</v>
      </c>
      <c r="H105">
        <f>AWE!H660</f>
        <v>9598041.4833705444</v>
      </c>
    </row>
    <row r="106" spans="4:29" x14ac:dyDescent="0.3">
      <c r="D106" t="str">
        <f>AWE!D661</f>
        <v>transport</v>
      </c>
      <c r="E106">
        <f>AWE!E661</f>
        <v>0</v>
      </c>
      <c r="F106">
        <f>AWE!F661</f>
        <v>56032.227690923013</v>
      </c>
      <c r="G106">
        <f>AWE!G661</f>
        <v>0</v>
      </c>
      <c r="H106">
        <f>AWE!H661</f>
        <v>284861.89983743674</v>
      </c>
    </row>
    <row r="107" spans="4:29" x14ac:dyDescent="0.3">
      <c r="D107" t="str">
        <f>AWE!D662</f>
        <v>consumables</v>
      </c>
      <c r="E107">
        <f>AWE!E662</f>
        <v>0</v>
      </c>
      <c r="F107">
        <f>AWE!F662</f>
        <v>2506</v>
      </c>
      <c r="G107">
        <f>AWE!G662</f>
        <v>0</v>
      </c>
      <c r="H107">
        <f>AWE!H662</f>
        <v>116100</v>
      </c>
    </row>
    <row r="108" spans="4:29" x14ac:dyDescent="0.3">
      <c r="D108">
        <f>AWE!D663</f>
        <v>0</v>
      </c>
      <c r="E108">
        <f>AWE!E663</f>
        <v>0</v>
      </c>
      <c r="F108">
        <f>AWE!F663</f>
        <v>0</v>
      </c>
      <c r="G108">
        <f>AWE!G663</f>
        <v>0</v>
      </c>
      <c r="H108">
        <f>AWE!H663</f>
        <v>0</v>
      </c>
    </row>
    <row r="109" spans="4:29" x14ac:dyDescent="0.3">
      <c r="D109">
        <f>AWE!D664</f>
        <v>0</v>
      </c>
      <c r="E109">
        <f>AWE!E664</f>
        <v>0</v>
      </c>
      <c r="F109">
        <f>AWE!F664</f>
        <v>0</v>
      </c>
      <c r="G109">
        <f>AWE!G664</f>
        <v>125448.92531492772</v>
      </c>
      <c r="H109">
        <f>AWE!H664</f>
        <v>0</v>
      </c>
    </row>
    <row r="110" spans="4:29" x14ac:dyDescent="0.3">
      <c r="D110" t="str">
        <f>AWE!D665</f>
        <v>treatment</v>
      </c>
      <c r="E110">
        <f>AWE!E665</f>
        <v>0</v>
      </c>
      <c r="F110">
        <f>AWE!F665</f>
        <v>104631.34968375351</v>
      </c>
      <c r="G110">
        <f>AWE!G665</f>
        <v>0</v>
      </c>
      <c r="H110">
        <f>AWE!H665</f>
        <v>175486.83622995194</v>
      </c>
    </row>
    <row r="111" spans="4:29" x14ac:dyDescent="0.3">
      <c r="D111" t="str">
        <f>AWE!D666</f>
        <v>transport</v>
      </c>
      <c r="E111">
        <f>AWE!E666</f>
        <v>0</v>
      </c>
      <c r="F111">
        <f>AWE!F666</f>
        <v>15690.473490774213</v>
      </c>
      <c r="G111">
        <f>AWE!G666</f>
        <v>0</v>
      </c>
      <c r="H111">
        <f>AWE!H666</f>
        <v>252594.61145311708</v>
      </c>
    </row>
    <row r="112" spans="4:29" x14ac:dyDescent="0.3">
      <c r="D112" t="str">
        <f>AWE!D667</f>
        <v>disassembly</v>
      </c>
      <c r="E112">
        <f>AWE!E667</f>
        <v>0</v>
      </c>
      <c r="F112">
        <f>AWE!F667</f>
        <v>5127.1021404000003</v>
      </c>
      <c r="G112">
        <f>AWE!G667</f>
        <v>0</v>
      </c>
      <c r="H112">
        <f>AWE!H667</f>
        <v>76361.309409281777</v>
      </c>
    </row>
    <row r="113" spans="4:12" x14ac:dyDescent="0.3">
      <c r="D113">
        <f>AWE!D668</f>
        <v>0</v>
      </c>
      <c r="E113">
        <f>AWE!E668</f>
        <v>0</v>
      </c>
      <c r="F113">
        <f>AWE!F668</f>
        <v>0</v>
      </c>
      <c r="G113">
        <f>AWE!G668</f>
        <v>0</v>
      </c>
      <c r="H113">
        <f>AWE!H668</f>
        <v>0</v>
      </c>
    </row>
    <row r="114" spans="4:12" x14ac:dyDescent="0.3">
      <c r="D114">
        <f>AWE!D669</f>
        <v>0</v>
      </c>
      <c r="E114">
        <f>AWE!E669</f>
        <v>0</v>
      </c>
      <c r="F114">
        <f>AWE!F669</f>
        <v>3606928.6255981736</v>
      </c>
      <c r="G114">
        <f>AWE!G669</f>
        <v>3606928.6255981736</v>
      </c>
      <c r="H114">
        <f>AWE!H669</f>
        <v>58958258.633946262</v>
      </c>
    </row>
    <row r="115" spans="4:12" x14ac:dyDescent="0.3">
      <c r="D115">
        <f>AWE!D670</f>
        <v>0</v>
      </c>
      <c r="E115">
        <f>AWE!E670</f>
        <v>0</v>
      </c>
      <c r="F115">
        <f>AWE!F670</f>
        <v>0</v>
      </c>
      <c r="G115">
        <f>AWE!G670</f>
        <v>3606928.6255981731</v>
      </c>
      <c r="H115">
        <f>AWE!H670</f>
        <v>0</v>
      </c>
    </row>
    <row r="116" spans="4:12" x14ac:dyDescent="0.3">
      <c r="D116">
        <f>AWE!D671</f>
        <v>0</v>
      </c>
      <c r="E116">
        <f>AWE!E671</f>
        <v>0</v>
      </c>
      <c r="F116">
        <f>AWE!F671</f>
        <v>0</v>
      </c>
      <c r="G116">
        <f>AWE!G671</f>
        <v>0</v>
      </c>
      <c r="H116">
        <f>AWE!H671</f>
        <v>0</v>
      </c>
    </row>
    <row r="117" spans="4:12" x14ac:dyDescent="0.3">
      <c r="D117">
        <f>AWE!D672</f>
        <v>0</v>
      </c>
      <c r="E117">
        <f>AWE!E672</f>
        <v>0</v>
      </c>
      <c r="F117">
        <f>AWE!F672</f>
        <v>0</v>
      </c>
      <c r="G117">
        <f>AWE!G672</f>
        <v>0</v>
      </c>
      <c r="H117">
        <f>AWE!H672</f>
        <v>0</v>
      </c>
    </row>
    <row r="118" spans="4:12" x14ac:dyDescent="0.3">
      <c r="D118">
        <f>AWE!D673</f>
        <v>0</v>
      </c>
      <c r="E118">
        <f>AWE!E673</f>
        <v>0</v>
      </c>
      <c r="F118">
        <f>AWE!F673</f>
        <v>0</v>
      </c>
      <c r="G118">
        <f>AWE!G673</f>
        <v>0</v>
      </c>
      <c r="H118">
        <f>AWE!H673</f>
        <v>0</v>
      </c>
    </row>
    <row r="119" spans="4:12" x14ac:dyDescent="0.3">
      <c r="D119">
        <f>AWE!D674</f>
        <v>0</v>
      </c>
      <c r="E119">
        <f>AWE!E674</f>
        <v>0</v>
      </c>
      <c r="F119">
        <f>AWE!F674</f>
        <v>255727.01128522566</v>
      </c>
      <c r="G119">
        <f>AWE!G674</f>
        <v>0</v>
      </c>
      <c r="H119">
        <f>AWE!H674</f>
        <v>8276801.8833705448</v>
      </c>
    </row>
    <row r="120" spans="4:12" x14ac:dyDescent="0.3">
      <c r="D120">
        <f>AWE!D675</f>
        <v>0</v>
      </c>
      <c r="E120">
        <f>AWE!E675</f>
        <v>0</v>
      </c>
      <c r="F120">
        <f>AWE!F675</f>
        <v>25451.9136</v>
      </c>
      <c r="G120">
        <f>AWE!G675</f>
        <v>0</v>
      </c>
      <c r="H120">
        <f>AWE!H675</f>
        <v>405516.24</v>
      </c>
    </row>
    <row r="127" spans="4:12" x14ac:dyDescent="0.3">
      <c r="K127">
        <f>HAWT!$I$378</f>
        <v>240842.16</v>
      </c>
      <c r="L127">
        <f>HAWT!$L$378</f>
        <v>3678436.8</v>
      </c>
    </row>
    <row r="129" spans="2:31" x14ac:dyDescent="0.3">
      <c r="F129">
        <f>HAWT!$F$62</f>
        <v>410885.60999999993</v>
      </c>
    </row>
    <row r="131" spans="2:31" x14ac:dyDescent="0.3">
      <c r="B131" t="str">
        <f>HAWT!D437</f>
        <v>tower</v>
      </c>
      <c r="C131">
        <f>HAWT!E437</f>
        <v>0</v>
      </c>
      <c r="D131">
        <f>HAWT!F437</f>
        <v>1822961.4032908978</v>
      </c>
      <c r="E131">
        <f>HAWT!G437</f>
        <v>0</v>
      </c>
      <c r="F131">
        <f>HAWT!H437</f>
        <v>25961245.890242968</v>
      </c>
      <c r="H131">
        <f t="shared" ref="H131:H171" si="10">D131/$F$129</f>
        <v>4.4366640225996186</v>
      </c>
      <c r="I131">
        <f t="shared" ref="I131:I171" si="11">F131/$F$129</f>
        <v>63.183633737484676</v>
      </c>
    </row>
    <row r="132" spans="2:31" x14ac:dyDescent="0.3">
      <c r="B132">
        <f>HAWT!D438</f>
        <v>0</v>
      </c>
      <c r="C132">
        <f>HAWT!E438</f>
        <v>0</v>
      </c>
      <c r="D132">
        <f>HAWT!F438</f>
        <v>0</v>
      </c>
      <c r="E132">
        <f>HAWT!G438</f>
        <v>0</v>
      </c>
      <c r="F132">
        <f>HAWT!H438</f>
        <v>0</v>
      </c>
      <c r="H132">
        <f t="shared" si="10"/>
        <v>0</v>
      </c>
      <c r="I132">
        <f t="shared" si="11"/>
        <v>0</v>
      </c>
    </row>
    <row r="133" spans="2:31" x14ac:dyDescent="0.3">
      <c r="B133" t="str">
        <f>HAWT!D439</f>
        <v>blades</v>
      </c>
      <c r="C133">
        <f>HAWT!E439</f>
        <v>0</v>
      </c>
      <c r="D133">
        <f>HAWT!F439</f>
        <v>877983.36576747755</v>
      </c>
      <c r="E133">
        <f>HAWT!G439</f>
        <v>0</v>
      </c>
      <c r="F133">
        <f>HAWT!H439</f>
        <v>17809550.442319877</v>
      </c>
      <c r="H133">
        <f t="shared" si="10"/>
        <v>2.1368072874771098</v>
      </c>
      <c r="I133">
        <f t="shared" si="11"/>
        <v>43.344303156101965</v>
      </c>
    </row>
    <row r="134" spans="2:31" x14ac:dyDescent="0.3">
      <c r="B134" t="str">
        <f>HAWT!D440</f>
        <v>hub</v>
      </c>
      <c r="C134">
        <f>HAWT!E440</f>
        <v>0</v>
      </c>
      <c r="D134">
        <f>HAWT!F440</f>
        <v>112530</v>
      </c>
      <c r="E134">
        <f>HAWT!G440</f>
        <v>0</v>
      </c>
      <c r="F134">
        <f>HAWT!H440</f>
        <v>1698180</v>
      </c>
      <c r="H134">
        <f t="shared" si="10"/>
        <v>0.27387184476964288</v>
      </c>
      <c r="I134">
        <f t="shared" si="11"/>
        <v>4.1329751119782472</v>
      </c>
    </row>
    <row r="135" spans="2:31" x14ac:dyDescent="0.3">
      <c r="B135" t="str">
        <f>HAWT!D441</f>
        <v>spinner</v>
      </c>
      <c r="C135">
        <f>HAWT!E441</f>
        <v>0</v>
      </c>
      <c r="D135">
        <f>HAWT!F441</f>
        <v>10840.74834711722</v>
      </c>
      <c r="E135">
        <f>HAWT!G441</f>
        <v>0</v>
      </c>
      <c r="F135">
        <f>HAWT!H441</f>
        <v>223061.39301606099</v>
      </c>
      <c r="H135">
        <f t="shared" si="10"/>
        <v>2.6383859846338308E-2</v>
      </c>
      <c r="I135">
        <f t="shared" si="11"/>
        <v>0.54287954502972502</v>
      </c>
    </row>
    <row r="136" spans="2:31" x14ac:dyDescent="0.3">
      <c r="B136" t="str">
        <f>HAWT!D442</f>
        <v>pitch</v>
      </c>
      <c r="C136">
        <f>HAWT!E442</f>
        <v>0</v>
      </c>
      <c r="D136">
        <f>HAWT!F442</f>
        <v>96937.35</v>
      </c>
      <c r="E136">
        <f>HAWT!G442</f>
        <v>0</v>
      </c>
      <c r="F136">
        <f>HAWT!H442</f>
        <v>1485108</v>
      </c>
      <c r="H136">
        <f t="shared" si="10"/>
        <v>0.23592296162428278</v>
      </c>
      <c r="I136">
        <f t="shared" si="11"/>
        <v>3.6144074259500112</v>
      </c>
    </row>
    <row r="137" spans="2:31" x14ac:dyDescent="0.3">
      <c r="B137">
        <f>HAWT!D443</f>
        <v>0</v>
      </c>
      <c r="C137">
        <f>HAWT!E443</f>
        <v>0</v>
      </c>
      <c r="D137">
        <f>HAWT!F443</f>
        <v>0</v>
      </c>
      <c r="E137">
        <f>HAWT!G443</f>
        <v>0</v>
      </c>
      <c r="F137">
        <f>HAWT!H443</f>
        <v>0</v>
      </c>
      <c r="H137">
        <f t="shared" si="10"/>
        <v>0</v>
      </c>
      <c r="I137">
        <f t="shared" si="11"/>
        <v>0</v>
      </c>
      <c r="S137" t="s">
        <v>1040</v>
      </c>
      <c r="T137">
        <f>H131</f>
        <v>4.4366640225996186</v>
      </c>
      <c r="X137">
        <f>I131</f>
        <v>63.183633737484676</v>
      </c>
      <c r="AA137" s="196">
        <f>T137/$T$158</f>
        <v>0.3418572777765867</v>
      </c>
      <c r="AE137" s="196">
        <f>X137/$X$158</f>
        <v>0.32399462489988839</v>
      </c>
    </row>
    <row r="138" spans="2:31" x14ac:dyDescent="0.3">
      <c r="B138" t="str">
        <f>HAWT!D444</f>
        <v>Generator</v>
      </c>
      <c r="C138">
        <f>HAWT!E444</f>
        <v>0</v>
      </c>
      <c r="D138">
        <f>HAWT!F444</f>
        <v>64315.131033879792</v>
      </c>
      <c r="E138">
        <f>HAWT!G444</f>
        <v>0</v>
      </c>
      <c r="F138">
        <f>HAWT!H444</f>
        <v>966300.42870171694</v>
      </c>
      <c r="H138">
        <f t="shared" si="10"/>
        <v>0.1565280688069845</v>
      </c>
      <c r="I138">
        <f t="shared" si="11"/>
        <v>2.3517504755197369</v>
      </c>
      <c r="S138" t="s">
        <v>1044</v>
      </c>
      <c r="T138">
        <f>H133</f>
        <v>2.1368072874771098</v>
      </c>
      <c r="X138">
        <f>I133</f>
        <v>43.344303156101965</v>
      </c>
      <c r="AA138" s="196">
        <f t="shared" ref="AA138:AA157" si="12">T138/$T$158</f>
        <v>0.16464693262981808</v>
      </c>
      <c r="AE138" s="196">
        <f t="shared" ref="AE138:AE157" si="13">X138/$X$158</f>
        <v>0.22226200697724172</v>
      </c>
    </row>
    <row r="139" spans="2:31" x14ac:dyDescent="0.3">
      <c r="B139" t="str">
        <f>HAWT!D445</f>
        <v>Gearbox</v>
      </c>
      <c r="C139">
        <f>HAWT!E445</f>
        <v>0</v>
      </c>
      <c r="D139">
        <f>HAWT!F445</f>
        <v>240842.16</v>
      </c>
      <c r="E139">
        <f>HAWT!G445</f>
        <v>0</v>
      </c>
      <c r="F139">
        <f>HAWT!H445</f>
        <v>3678436.8</v>
      </c>
      <c r="H139">
        <f t="shared" si="10"/>
        <v>0.58615379594335282</v>
      </c>
      <c r="I139">
        <f t="shared" si="11"/>
        <v>8.9524595422068938</v>
      </c>
      <c r="S139" t="s">
        <v>1161</v>
      </c>
      <c r="T139">
        <f>H134</f>
        <v>0.27387184476964288</v>
      </c>
      <c r="X139">
        <f>I134</f>
        <v>4.1329751119782472</v>
      </c>
      <c r="AA139" s="196">
        <f t="shared" si="12"/>
        <v>2.1102585824775474E-2</v>
      </c>
      <c r="AE139" s="196">
        <f t="shared" si="13"/>
        <v>2.1193173641919666E-2</v>
      </c>
    </row>
    <row r="140" spans="2:31" x14ac:dyDescent="0.3">
      <c r="B140" t="str">
        <f>HAWT!D446</f>
        <v>Transformer</v>
      </c>
      <c r="C140">
        <f>HAWT!E446</f>
        <v>0</v>
      </c>
      <c r="D140">
        <f>HAWT!F446</f>
        <v>84385.625</v>
      </c>
      <c r="E140">
        <f>HAWT!G446</f>
        <v>0</v>
      </c>
      <c r="F140">
        <f>HAWT!H446</f>
        <v>1488562.425</v>
      </c>
      <c r="H140">
        <f t="shared" si="10"/>
        <v>0.20537498258943654</v>
      </c>
      <c r="I140">
        <f t="shared" si="11"/>
        <v>3.622814692877661</v>
      </c>
      <c r="S140" t="s">
        <v>1162</v>
      </c>
      <c r="T140">
        <f>H135</f>
        <v>2.6383859846338308E-2</v>
      </c>
      <c r="X140">
        <f>I135</f>
        <v>0.54287954502972502</v>
      </c>
      <c r="AA140" s="196">
        <f t="shared" si="12"/>
        <v>2.0329496347625876E-3</v>
      </c>
      <c r="AE140" s="196">
        <f t="shared" si="13"/>
        <v>2.7837913737047116E-3</v>
      </c>
    </row>
    <row r="141" spans="2:31" x14ac:dyDescent="0.3">
      <c r="B141" t="str">
        <f>HAWT!D447</f>
        <v>Cover</v>
      </c>
      <c r="C141">
        <f>HAWT!E447</f>
        <v>0</v>
      </c>
      <c r="D141">
        <f>HAWT!F447</f>
        <v>19151.988746573759</v>
      </c>
      <c r="E141">
        <f>HAWT!G447</f>
        <v>0</v>
      </c>
      <c r="F141">
        <f>HAWT!H447</f>
        <v>394075.12766170775</v>
      </c>
      <c r="H141">
        <f t="shared" si="10"/>
        <v>4.6611485728531021E-2</v>
      </c>
      <c r="I141">
        <f t="shared" si="11"/>
        <v>0.95908719621918082</v>
      </c>
      <c r="S141" t="s">
        <v>1160</v>
      </c>
      <c r="T141">
        <f>H136</f>
        <v>0.23592296162428278</v>
      </c>
      <c r="X141">
        <f>I136</f>
        <v>3.6144074259500112</v>
      </c>
      <c r="AA141" s="196">
        <f t="shared" si="12"/>
        <v>1.8178519043822079E-2</v>
      </c>
      <c r="AE141" s="196">
        <f t="shared" si="13"/>
        <v>1.8534049229766002E-2</v>
      </c>
    </row>
    <row r="142" spans="2:31" x14ac:dyDescent="0.3">
      <c r="B142" t="str">
        <f>HAWT!D448</f>
        <v>Yaw</v>
      </c>
      <c r="C142">
        <f>HAWT!E448</f>
        <v>0</v>
      </c>
      <c r="D142">
        <f>HAWT!F448</f>
        <v>40528</v>
      </c>
      <c r="E142">
        <f>HAWT!G448</f>
        <v>0</v>
      </c>
      <c r="F142">
        <f>HAWT!H448</f>
        <v>611451.6</v>
      </c>
      <c r="H142">
        <f t="shared" si="10"/>
        <v>9.8635724916236442E-2</v>
      </c>
      <c r="I142">
        <f t="shared" si="11"/>
        <v>1.4881309666697748</v>
      </c>
      <c r="S142" t="str">
        <f t="shared" ref="S142:S149" si="14">B138</f>
        <v>Generator</v>
      </c>
      <c r="T142">
        <f>H138</f>
        <v>0.1565280688069845</v>
      </c>
      <c r="X142">
        <f>I138</f>
        <v>2.3517504755197369</v>
      </c>
      <c r="AA142" s="196">
        <f t="shared" si="12"/>
        <v>1.2060922176078634E-2</v>
      </c>
      <c r="AE142" s="196">
        <f t="shared" si="13"/>
        <v>1.2059365188458761E-2</v>
      </c>
    </row>
    <row r="143" spans="2:31" x14ac:dyDescent="0.3">
      <c r="B143" t="str">
        <f>HAWT!D449</f>
        <v>Shaft</v>
      </c>
      <c r="C143">
        <f>HAWT!E449</f>
        <v>0</v>
      </c>
      <c r="D143">
        <f>HAWT!F449</f>
        <v>111540</v>
      </c>
      <c r="E143">
        <f>HAWT!G449</f>
        <v>0</v>
      </c>
      <c r="F143">
        <f>HAWT!H449</f>
        <v>1713660</v>
      </c>
      <c r="H143">
        <f t="shared" si="10"/>
        <v>0.27146241505026186</v>
      </c>
      <c r="I143">
        <f t="shared" si="11"/>
        <v>4.1706498312267506</v>
      </c>
      <c r="S143" t="str">
        <f t="shared" si="14"/>
        <v>Gearbox</v>
      </c>
      <c r="T143">
        <f>H139*2</f>
        <v>1.1723075918867056</v>
      </c>
      <c r="X143">
        <f>I139*2</f>
        <v>17.904919084413788</v>
      </c>
      <c r="AA143" s="196">
        <f t="shared" si="12"/>
        <v>9.03295539256075E-2</v>
      </c>
      <c r="AE143" s="196">
        <f t="shared" si="13"/>
        <v>9.1813294036235629E-2</v>
      </c>
    </row>
    <row r="144" spans="2:31" x14ac:dyDescent="0.3">
      <c r="B144" t="str">
        <f>HAWT!D450</f>
        <v>Bed plate</v>
      </c>
      <c r="C144">
        <f>HAWT!E450</f>
        <v>0</v>
      </c>
      <c r="D144">
        <f>HAWT!F450</f>
        <v>253492.52499999999</v>
      </c>
      <c r="E144">
        <f>HAWT!G450</f>
        <v>0</v>
      </c>
      <c r="F144">
        <f>HAWT!H450</f>
        <v>3743775.75</v>
      </c>
      <c r="H144">
        <f t="shared" si="10"/>
        <v>0.61694184179387557</v>
      </c>
      <c r="I144">
        <f t="shared" si="11"/>
        <v>9.1114793482302794</v>
      </c>
      <c r="S144" t="str">
        <f t="shared" si="14"/>
        <v>Transformer</v>
      </c>
      <c r="T144">
        <f t="shared" ref="T144:T149" si="15">H140</f>
        <v>0.20537498258943654</v>
      </c>
      <c r="X144">
        <f t="shared" ref="X144:X149" si="16">I140</f>
        <v>3.622814692877661</v>
      </c>
      <c r="AA144" s="196">
        <f t="shared" si="12"/>
        <v>1.5824712467251565E-2</v>
      </c>
      <c r="AE144" s="196">
        <f t="shared" si="13"/>
        <v>1.8577160224394363E-2</v>
      </c>
    </row>
    <row r="145" spans="2:38" x14ac:dyDescent="0.3">
      <c r="B145" t="str">
        <f>HAWT!D451</f>
        <v>Brake</v>
      </c>
      <c r="C145">
        <f>HAWT!E451</f>
        <v>0</v>
      </c>
      <c r="D145">
        <f>HAWT!F451</f>
        <v>16664.690000000002</v>
      </c>
      <c r="E145">
        <f>HAWT!G451</f>
        <v>0</v>
      </c>
      <c r="F145">
        <f>HAWT!H451</f>
        <v>256015.9</v>
      </c>
      <c r="H145">
        <f t="shared" si="10"/>
        <v>4.055797914168862E-2</v>
      </c>
      <c r="I145">
        <f t="shared" si="11"/>
        <v>0.62308314958997968</v>
      </c>
      <c r="S145" t="str">
        <f t="shared" si="14"/>
        <v>Cover</v>
      </c>
      <c r="T145">
        <f t="shared" si="15"/>
        <v>4.6611485728531021E-2</v>
      </c>
      <c r="X145">
        <f t="shared" si="16"/>
        <v>0.95908719621918082</v>
      </c>
      <c r="AA145" s="196">
        <f t="shared" si="12"/>
        <v>3.5915443547472389E-3</v>
      </c>
      <c r="AE145" s="196">
        <f t="shared" si="13"/>
        <v>4.9180314268783233E-3</v>
      </c>
    </row>
    <row r="146" spans="2:38" x14ac:dyDescent="0.3">
      <c r="B146" t="str">
        <f>HAWT!D452</f>
        <v>HVAC</v>
      </c>
      <c r="C146">
        <f>HAWT!E452</f>
        <v>0</v>
      </c>
      <c r="D146">
        <f>HAWT!F452</f>
        <v>0</v>
      </c>
      <c r="E146">
        <f>HAWT!G452</f>
        <v>0</v>
      </c>
      <c r="F146">
        <f>HAWT!H452</f>
        <v>0</v>
      </c>
      <c r="H146">
        <f t="shared" si="10"/>
        <v>0</v>
      </c>
      <c r="I146">
        <f t="shared" si="11"/>
        <v>0</v>
      </c>
      <c r="S146" t="str">
        <f t="shared" si="14"/>
        <v>Yaw</v>
      </c>
      <c r="T146">
        <f t="shared" si="15"/>
        <v>9.8635724916236442E-2</v>
      </c>
      <c r="X146">
        <f t="shared" si="16"/>
        <v>1.4881309666697748</v>
      </c>
      <c r="AA146" s="196">
        <f t="shared" si="12"/>
        <v>7.6001563876877311E-3</v>
      </c>
      <c r="AE146" s="196">
        <f t="shared" si="13"/>
        <v>7.6308753679996261E-3</v>
      </c>
    </row>
    <row r="147" spans="2:38" x14ac:dyDescent="0.3">
      <c r="B147" t="str">
        <f>HAWT!D453</f>
        <v>Electronics</v>
      </c>
      <c r="C147">
        <f>HAWT!E453</f>
        <v>0</v>
      </c>
      <c r="D147">
        <f>HAWT!F453</f>
        <v>18300</v>
      </c>
      <c r="E147">
        <f>HAWT!G453</f>
        <v>0</v>
      </c>
      <c r="F147">
        <f>HAWT!H453</f>
        <v>285000</v>
      </c>
      <c r="H147">
        <f t="shared" si="10"/>
        <v>4.45379432976492E-2</v>
      </c>
      <c r="I147">
        <f t="shared" si="11"/>
        <v>0.69362370709453669</v>
      </c>
      <c r="S147" t="str">
        <f t="shared" si="14"/>
        <v>Shaft</v>
      </c>
      <c r="T147">
        <f t="shared" si="15"/>
        <v>0.27146241505026186</v>
      </c>
      <c r="X147">
        <f t="shared" si="16"/>
        <v>4.1706498312267506</v>
      </c>
      <c r="AA147" s="196">
        <f t="shared" si="12"/>
        <v>2.0916932577050178E-2</v>
      </c>
      <c r="AE147" s="196">
        <f t="shared" si="13"/>
        <v>2.1386363014057434E-2</v>
      </c>
    </row>
    <row r="148" spans="2:38" x14ac:dyDescent="0.3">
      <c r="B148" t="str">
        <f>HAWT!D454</f>
        <v>Bearings</v>
      </c>
      <c r="C148">
        <f>HAWT!E454</f>
        <v>0</v>
      </c>
      <c r="D148">
        <f>HAWT!F454</f>
        <v>68640</v>
      </c>
      <c r="E148">
        <f>HAWT!G454</f>
        <v>0</v>
      </c>
      <c r="F148">
        <f>HAWT!H454</f>
        <v>1054560</v>
      </c>
      <c r="H148">
        <f t="shared" si="10"/>
        <v>0.16705379387708422</v>
      </c>
      <c r="I148">
        <f t="shared" si="11"/>
        <v>2.5665537422933848</v>
      </c>
      <c r="S148" t="str">
        <f t="shared" si="14"/>
        <v>Bed plate</v>
      </c>
      <c r="T148">
        <f t="shared" si="15"/>
        <v>0.61694184179387557</v>
      </c>
      <c r="X148">
        <f t="shared" si="16"/>
        <v>9.1114793482302794</v>
      </c>
      <c r="AA148" s="196">
        <f t="shared" si="12"/>
        <v>4.7537081353874897E-2</v>
      </c>
      <c r="AE148" s="196">
        <f t="shared" si="13"/>
        <v>4.6722072775652775E-2</v>
      </c>
    </row>
    <row r="149" spans="2:38" x14ac:dyDescent="0.3">
      <c r="B149" t="str">
        <f>HAWT!D455</f>
        <v>Converter</v>
      </c>
      <c r="C149">
        <f>HAWT!E455</f>
        <v>0</v>
      </c>
      <c r="D149">
        <f>HAWT!F455</f>
        <v>17568.827758007115</v>
      </c>
      <c r="E149">
        <f>HAWT!G455</f>
        <v>0</v>
      </c>
      <c r="F149">
        <f>HAWT!H455</f>
        <v>249661.61328588374</v>
      </c>
      <c r="H149">
        <f t="shared" si="10"/>
        <v>4.2758440136190505E-2</v>
      </c>
      <c r="I149">
        <f t="shared" si="11"/>
        <v>0.60761829377739407</v>
      </c>
      <c r="S149" t="str">
        <f t="shared" si="14"/>
        <v>Brake</v>
      </c>
      <c r="T149">
        <f t="shared" si="15"/>
        <v>4.055797914168862E-2</v>
      </c>
      <c r="X149">
        <f t="shared" si="16"/>
        <v>0.62308314958997968</v>
      </c>
      <c r="AA149" s="196">
        <f t="shared" si="12"/>
        <v>3.125104869530593E-3</v>
      </c>
      <c r="AE149" s="196">
        <f t="shared" si="13"/>
        <v>3.195061432705803E-3</v>
      </c>
    </row>
    <row r="150" spans="2:38" x14ac:dyDescent="0.3">
      <c r="B150">
        <f>HAWT!D456</f>
        <v>0</v>
      </c>
      <c r="C150">
        <f>HAWT!E456</f>
        <v>0</v>
      </c>
      <c r="D150">
        <f>HAWT!F456</f>
        <v>0</v>
      </c>
      <c r="E150">
        <f>HAWT!G456</f>
        <v>0</v>
      </c>
      <c r="F150">
        <f>HAWT!H456</f>
        <v>0</v>
      </c>
      <c r="H150">
        <f t="shared" si="10"/>
        <v>0</v>
      </c>
      <c r="I150">
        <f t="shared" si="11"/>
        <v>0</v>
      </c>
      <c r="S150" t="str">
        <f>B147</f>
        <v>Electronics</v>
      </c>
      <c r="T150">
        <f>H147</f>
        <v>4.45379432976492E-2</v>
      </c>
      <c r="X150">
        <f>I147</f>
        <v>0.69362370709453669</v>
      </c>
      <c r="AA150" s="196">
        <f t="shared" si="12"/>
        <v>3.4317721549221641E-3</v>
      </c>
      <c r="AE150" s="196">
        <f t="shared" si="13"/>
        <v>3.5567810761798538E-3</v>
      </c>
    </row>
    <row r="151" spans="2:38" x14ac:dyDescent="0.3">
      <c r="B151" t="str">
        <f>HAWT!D457</f>
        <v>foundations</v>
      </c>
      <c r="C151">
        <f>HAWT!E457</f>
        <v>0</v>
      </c>
      <c r="D151">
        <f>HAWT!F457</f>
        <v>430227.06353035715</v>
      </c>
      <c r="E151">
        <f>HAWT!G457</f>
        <v>0</v>
      </c>
      <c r="F151">
        <f>HAWT!H457</f>
        <v>4099445.413232143</v>
      </c>
      <c r="H151">
        <f t="shared" si="10"/>
        <v>1.0470725989414846</v>
      </c>
      <c r="I151">
        <f t="shared" si="11"/>
        <v>9.9770965773956988</v>
      </c>
      <c r="S151" t="str">
        <f>B148</f>
        <v>Bearings</v>
      </c>
      <c r="T151">
        <f>H148</f>
        <v>0.16705379387708422</v>
      </c>
      <c r="X151">
        <f>I148</f>
        <v>2.5665537422933848</v>
      </c>
      <c r="AA151" s="196">
        <f t="shared" si="12"/>
        <v>1.2871958508953955E-2</v>
      </c>
      <c r="AE151" s="196">
        <f t="shared" si="13"/>
        <v>1.3160838777881498E-2</v>
      </c>
    </row>
    <row r="152" spans="2:38" x14ac:dyDescent="0.3">
      <c r="B152">
        <f>HAWT!D458</f>
        <v>0</v>
      </c>
      <c r="C152">
        <f>HAWT!E458</f>
        <v>0</v>
      </c>
      <c r="D152">
        <f>HAWT!F458</f>
        <v>0</v>
      </c>
      <c r="E152">
        <f>HAWT!G458</f>
        <v>0</v>
      </c>
      <c r="F152">
        <f>HAWT!H458</f>
        <v>0</v>
      </c>
      <c r="H152">
        <f t="shared" si="10"/>
        <v>0</v>
      </c>
      <c r="I152">
        <f t="shared" si="11"/>
        <v>0</v>
      </c>
      <c r="S152" t="str">
        <f>B149</f>
        <v>Converter</v>
      </c>
      <c r="T152">
        <f>H149</f>
        <v>4.2758440136190505E-2</v>
      </c>
      <c r="X152">
        <f>I149</f>
        <v>0.60761829377739407</v>
      </c>
      <c r="AA152" s="196">
        <f t="shared" si="12"/>
        <v>3.2946564969700775E-3</v>
      </c>
      <c r="AE152" s="196">
        <f t="shared" si="13"/>
        <v>3.1157603564342597E-3</v>
      </c>
    </row>
    <row r="153" spans="2:38" x14ac:dyDescent="0.3">
      <c r="B153" t="str">
        <f>HAWT!D459</f>
        <v>cables</v>
      </c>
      <c r="C153">
        <f>HAWT!E459</f>
        <v>0</v>
      </c>
      <c r="D153">
        <f>HAWT!F459</f>
        <v>292527.86722290789</v>
      </c>
      <c r="E153">
        <f>HAWT!G459</f>
        <v>0</v>
      </c>
      <c r="F153">
        <f>HAWT!H459</f>
        <v>4656561.2018211298</v>
      </c>
      <c r="H153">
        <f t="shared" si="10"/>
        <v>0.7119447848828484</v>
      </c>
      <c r="I153">
        <f t="shared" si="11"/>
        <v>11.332986817964082</v>
      </c>
      <c r="S153" t="s">
        <v>1146</v>
      </c>
      <c r="T153">
        <f>H151</f>
        <v>1.0470725989414846</v>
      </c>
      <c r="X153">
        <f>I151</f>
        <v>9.9770965773956988</v>
      </c>
      <c r="AA153" s="196">
        <f t="shared" si="12"/>
        <v>8.0679850104776435E-2</v>
      </c>
      <c r="AE153" s="196">
        <f t="shared" si="13"/>
        <v>5.1160806556548727E-2</v>
      </c>
    </row>
    <row r="154" spans="2:38" x14ac:dyDescent="0.3">
      <c r="B154">
        <f>HAWT!D460</f>
        <v>0</v>
      </c>
      <c r="C154">
        <f>HAWT!E460</f>
        <v>0</v>
      </c>
      <c r="D154">
        <f>HAWT!F460</f>
        <v>0</v>
      </c>
      <c r="E154">
        <f>HAWT!G460</f>
        <v>0</v>
      </c>
      <c r="F154">
        <f>HAWT!H460</f>
        <v>0</v>
      </c>
      <c r="H154">
        <f t="shared" si="10"/>
        <v>0</v>
      </c>
      <c r="I154">
        <f t="shared" si="11"/>
        <v>0</v>
      </c>
      <c r="S154" t="s">
        <v>1147</v>
      </c>
      <c r="T154">
        <f>H153</f>
        <v>0.7119447848828484</v>
      </c>
      <c r="X154">
        <f>I153</f>
        <v>11.332986817964082</v>
      </c>
      <c r="AA154" s="196">
        <f t="shared" si="12"/>
        <v>5.4857321818270126E-2</v>
      </c>
      <c r="AE154" s="196">
        <f t="shared" si="13"/>
        <v>5.8113574606002499E-2</v>
      </c>
    </row>
    <row r="155" spans="2:38" x14ac:dyDescent="0.3">
      <c r="B155">
        <f>HAWT!D461</f>
        <v>0</v>
      </c>
      <c r="C155">
        <f>HAWT!E461</f>
        <v>0</v>
      </c>
      <c r="D155">
        <f>HAWT!F461</f>
        <v>0</v>
      </c>
      <c r="E155">
        <f>HAWT!G461</f>
        <v>0</v>
      </c>
      <c r="F155">
        <f>HAWT!H461</f>
        <v>0</v>
      </c>
      <c r="H155">
        <f t="shared" si="10"/>
        <v>0</v>
      </c>
      <c r="I155">
        <f t="shared" si="11"/>
        <v>0</v>
      </c>
      <c r="S155" t="str">
        <f>K94</f>
        <v>Installation</v>
      </c>
      <c r="T155">
        <f>SUM(H157:H159)</f>
        <v>0.70451015783057913</v>
      </c>
      <c r="X155">
        <f>SUM(I157:I159)</f>
        <v>10.126259053675444</v>
      </c>
      <c r="AA155" s="196">
        <f t="shared" si="12"/>
        <v>5.4284463167620325E-2</v>
      </c>
      <c r="AE155" s="196">
        <f t="shared" si="13"/>
        <v>5.1925685650907043E-2</v>
      </c>
    </row>
    <row r="156" spans="2:38" x14ac:dyDescent="0.3">
      <c r="B156">
        <f>HAWT!D462</f>
        <v>0</v>
      </c>
      <c r="C156">
        <f>HAWT!E462</f>
        <v>0</v>
      </c>
      <c r="D156">
        <f>HAWT!F462</f>
        <v>0</v>
      </c>
      <c r="E156">
        <f>HAWT!G462</f>
        <v>289473.08595141373</v>
      </c>
      <c r="F156">
        <f>HAWT!H462</f>
        <v>0</v>
      </c>
      <c r="H156">
        <f t="shared" si="10"/>
        <v>0</v>
      </c>
      <c r="I156">
        <f t="shared" si="11"/>
        <v>0</v>
      </c>
      <c r="S156" t="str">
        <f>K95</f>
        <v>O&amp;M</v>
      </c>
      <c r="T156">
        <f>H164+H165</f>
        <v>0.14906176868252946</v>
      </c>
      <c r="X156">
        <f>I164+I165</f>
        <v>1.0944749318429527</v>
      </c>
      <c r="AA156" s="196">
        <f t="shared" si="12"/>
        <v>1.1485623027302064E-2</v>
      </c>
      <c r="AE156" s="196">
        <f t="shared" si="13"/>
        <v>5.6122760599381927E-3</v>
      </c>
    </row>
    <row r="157" spans="2:38" x14ac:dyDescent="0.3">
      <c r="B157" t="str">
        <f>HAWT!D463</f>
        <v>transport</v>
      </c>
      <c r="C157">
        <f>HAWT!E463</f>
        <v>0</v>
      </c>
      <c r="D157">
        <f>HAWT!F463</f>
        <v>283925.03580973513</v>
      </c>
      <c r="E157">
        <f>HAWT!G463</f>
        <v>0</v>
      </c>
      <c r="F157">
        <f>HAWT!H463</f>
        <v>4078108.123288</v>
      </c>
      <c r="H157">
        <f t="shared" si="10"/>
        <v>0.69100749429928976</v>
      </c>
      <c r="I157">
        <f t="shared" si="11"/>
        <v>9.9251665768679533</v>
      </c>
      <c r="S157" t="str">
        <f>K96</f>
        <v>EOL</v>
      </c>
      <c r="T157">
        <f>SUM(H168:H170)</f>
        <v>0.39310824854226534</v>
      </c>
      <c r="X157">
        <f>SUM(I168:I170)</f>
        <v>3.5657236475020886</v>
      </c>
      <c r="AA157" s="196">
        <f t="shared" si="12"/>
        <v>3.0290081699591492E-2</v>
      </c>
      <c r="AE157" s="196">
        <f t="shared" si="13"/>
        <v>1.8284407327204988E-2</v>
      </c>
    </row>
    <row r="158" spans="2:38" x14ac:dyDescent="0.3">
      <c r="B158" t="str">
        <f>HAWT!D464</f>
        <v>digging</v>
      </c>
      <c r="C158">
        <f>HAWT!E464</f>
        <v>0</v>
      </c>
      <c r="D158">
        <f>HAWT!F464</f>
        <v>1947.2821416785719</v>
      </c>
      <c r="E158">
        <f>HAWT!G464</f>
        <v>0</v>
      </c>
      <c r="F158">
        <f>HAWT!H464</f>
        <v>28913.067540892862</v>
      </c>
      <c r="H158">
        <f t="shared" si="10"/>
        <v>4.7392317820002805E-3</v>
      </c>
      <c r="I158">
        <f t="shared" si="11"/>
        <v>7.0367681021715187E-2</v>
      </c>
      <c r="T158">
        <f>SUM(T137:T157)</f>
        <v>12.978117802421345</v>
      </c>
      <c r="X158">
        <f>SUM(X137:X157)</f>
        <v>195.01445049283731</v>
      </c>
      <c r="AH158">
        <v>4.4366640225996186</v>
      </c>
      <c r="AL158">
        <v>63.183633737484676</v>
      </c>
    </row>
    <row r="159" spans="2:38" x14ac:dyDescent="0.3">
      <c r="B159" t="str">
        <f>HAWT!D465</f>
        <v>crane operation</v>
      </c>
      <c r="C159">
        <f>HAWT!E465</f>
        <v>0</v>
      </c>
      <c r="D159">
        <f>HAWT!F465</f>
        <v>3600.768</v>
      </c>
      <c r="E159">
        <f>HAWT!G465</f>
        <v>0</v>
      </c>
      <c r="F159">
        <f>HAWT!H465</f>
        <v>53712.937458563552</v>
      </c>
      <c r="H159">
        <f t="shared" si="10"/>
        <v>8.7634317492890548E-3</v>
      </c>
      <c r="I159">
        <f t="shared" si="11"/>
        <v>0.13072479578577492</v>
      </c>
      <c r="N159">
        <f>SUM(T137:T157)</f>
        <v>12.978117802421345</v>
      </c>
      <c r="O159">
        <f>SUM(X137:X157)</f>
        <v>195.01445049283731</v>
      </c>
      <c r="AH159">
        <v>2.1368072874771098</v>
      </c>
      <c r="AL159">
        <v>43.344303156101965</v>
      </c>
    </row>
    <row r="160" spans="2:38" x14ac:dyDescent="0.3">
      <c r="B160">
        <f>HAWT!D466</f>
        <v>0</v>
      </c>
      <c r="C160">
        <f>HAWT!E466</f>
        <v>0</v>
      </c>
      <c r="D160">
        <f>HAWT!F466</f>
        <v>0</v>
      </c>
      <c r="E160">
        <f>HAWT!G466</f>
        <v>0</v>
      </c>
      <c r="F160">
        <f>HAWT!H466</f>
        <v>0</v>
      </c>
      <c r="H160">
        <f t="shared" si="10"/>
        <v>0</v>
      </c>
      <c r="I160">
        <f t="shared" si="11"/>
        <v>0</v>
      </c>
      <c r="AH160">
        <v>0.27387184476964288</v>
      </c>
      <c r="AL160">
        <v>4.1329751119782472</v>
      </c>
    </row>
    <row r="161" spans="2:38" x14ac:dyDescent="0.3">
      <c r="B161">
        <f>HAWT!D467</f>
        <v>0</v>
      </c>
      <c r="C161">
        <f>HAWT!E467</f>
        <v>0</v>
      </c>
      <c r="D161">
        <f>HAWT!F467</f>
        <v>0</v>
      </c>
      <c r="E161">
        <f>HAWT!G467</f>
        <v>0</v>
      </c>
      <c r="F161">
        <f>HAWT!H467</f>
        <v>0</v>
      </c>
      <c r="H161">
        <f t="shared" si="10"/>
        <v>0</v>
      </c>
      <c r="I161">
        <f t="shared" si="11"/>
        <v>0</v>
      </c>
      <c r="AH161">
        <v>2.6383859846338308E-2</v>
      </c>
      <c r="AL161">
        <v>0.54287954502972502</v>
      </c>
    </row>
    <row r="162" spans="2:38" x14ac:dyDescent="0.3">
      <c r="B162">
        <f>HAWT!D468</f>
        <v>0</v>
      </c>
      <c r="C162">
        <f>HAWT!E468</f>
        <v>0</v>
      </c>
      <c r="D162">
        <f>HAWT!F468</f>
        <v>0</v>
      </c>
      <c r="E162">
        <f>HAWT!G468</f>
        <v>302089.49575280002</v>
      </c>
      <c r="F162">
        <f>HAWT!H468</f>
        <v>0</v>
      </c>
      <c r="H162">
        <f t="shared" si="10"/>
        <v>0</v>
      </c>
      <c r="I162">
        <f t="shared" si="11"/>
        <v>0</v>
      </c>
      <c r="AH162">
        <v>0.23592296162428278</v>
      </c>
      <c r="AL162">
        <v>3.6144074259500112</v>
      </c>
    </row>
    <row r="163" spans="2:38" x14ac:dyDescent="0.3">
      <c r="B163" t="str">
        <f>HAWT!D469</f>
        <v>replacements</v>
      </c>
      <c r="C163">
        <f>HAWT!E469</f>
        <v>0</v>
      </c>
      <c r="D163">
        <f>HAWT!F469</f>
        <v>240842.16</v>
      </c>
      <c r="E163">
        <f>HAWT!G469</f>
        <v>0</v>
      </c>
      <c r="F163">
        <f>HAWT!H469</f>
        <v>3678436.8</v>
      </c>
      <c r="H163">
        <f t="shared" si="10"/>
        <v>0.58615379594335282</v>
      </c>
      <c r="I163">
        <f t="shared" si="11"/>
        <v>8.9524595422068938</v>
      </c>
      <c r="M163" t="str">
        <f t="shared" ref="M163:M177" si="17">B157</f>
        <v>transport</v>
      </c>
      <c r="AH163">
        <v>0.1565280688069845</v>
      </c>
      <c r="AL163">
        <v>2.3517504755197369</v>
      </c>
    </row>
    <row r="164" spans="2:38" x14ac:dyDescent="0.3">
      <c r="B164" t="str">
        <f>HAWT!D470</f>
        <v>transport</v>
      </c>
      <c r="C164">
        <f>HAWT!E470</f>
        <v>0</v>
      </c>
      <c r="D164">
        <f>HAWT!F470</f>
        <v>58499.335752800005</v>
      </c>
      <c r="E164">
        <f>HAWT!G470</f>
        <v>0</v>
      </c>
      <c r="F164">
        <f>HAWT!H470</f>
        <v>320144</v>
      </c>
      <c r="H164">
        <f t="shared" si="10"/>
        <v>0.14237377588570213</v>
      </c>
      <c r="I164">
        <f t="shared" si="11"/>
        <v>0.77915602836516973</v>
      </c>
      <c r="M164" t="str">
        <f t="shared" si="17"/>
        <v>digging</v>
      </c>
      <c r="AH164">
        <v>1.1723075918867056</v>
      </c>
      <c r="AL164">
        <v>17.904919084413788</v>
      </c>
    </row>
    <row r="165" spans="2:38" x14ac:dyDescent="0.3">
      <c r="B165" t="str">
        <f>HAWT!D471</f>
        <v>consumables</v>
      </c>
      <c r="C165">
        <f>HAWT!E471</f>
        <v>0</v>
      </c>
      <c r="D165">
        <f>HAWT!F471</f>
        <v>2748</v>
      </c>
      <c r="E165">
        <f>HAWT!G471</f>
        <v>0</v>
      </c>
      <c r="F165">
        <f>HAWT!H471</f>
        <v>129560</v>
      </c>
      <c r="H165">
        <f t="shared" si="10"/>
        <v>6.6879927968273222E-3</v>
      </c>
      <c r="I165">
        <f t="shared" si="11"/>
        <v>0.31531890347778307</v>
      </c>
      <c r="M165" t="str">
        <f t="shared" si="17"/>
        <v>crane operation</v>
      </c>
      <c r="AH165">
        <v>0.20537498258943654</v>
      </c>
      <c r="AL165">
        <v>3.622814692877661</v>
      </c>
    </row>
    <row r="166" spans="2:38" x14ac:dyDescent="0.3">
      <c r="B166">
        <f>HAWT!D472</f>
        <v>0</v>
      </c>
      <c r="C166">
        <f>HAWT!E472</f>
        <v>0</v>
      </c>
      <c r="D166">
        <f>HAWT!F472</f>
        <v>0</v>
      </c>
      <c r="E166">
        <f>HAWT!G472</f>
        <v>0</v>
      </c>
      <c r="F166">
        <f>HAWT!H472</f>
        <v>0</v>
      </c>
      <c r="H166">
        <f t="shared" si="10"/>
        <v>0</v>
      </c>
      <c r="I166">
        <f t="shared" si="11"/>
        <v>0</v>
      </c>
      <c r="M166">
        <f t="shared" si="17"/>
        <v>0</v>
      </c>
      <c r="AH166">
        <v>4.6611485728531021E-2</v>
      </c>
      <c r="AL166">
        <v>0.95908719621918082</v>
      </c>
    </row>
    <row r="167" spans="2:38" x14ac:dyDescent="0.3">
      <c r="B167">
        <f>HAWT!D473</f>
        <v>0</v>
      </c>
      <c r="C167">
        <f>HAWT!E473</f>
        <v>0</v>
      </c>
      <c r="D167">
        <f>HAWT!F473</f>
        <v>0</v>
      </c>
      <c r="E167">
        <f>HAWT!G473</f>
        <v>161522.52249832026</v>
      </c>
      <c r="F167">
        <f>HAWT!H473</f>
        <v>0</v>
      </c>
      <c r="H167">
        <f t="shared" si="10"/>
        <v>0</v>
      </c>
      <c r="I167">
        <f t="shared" si="11"/>
        <v>0</v>
      </c>
      <c r="M167">
        <f t="shared" si="17"/>
        <v>0</v>
      </c>
      <c r="AH167">
        <v>9.8635724916236442E-2</v>
      </c>
      <c r="AL167">
        <v>1.4881309666697748</v>
      </c>
    </row>
    <row r="168" spans="2:38" x14ac:dyDescent="0.3">
      <c r="B168" t="str">
        <f>HAWT!D474</f>
        <v>treatment</v>
      </c>
      <c r="C168">
        <f>HAWT!E474</f>
        <v>0</v>
      </c>
      <c r="D168">
        <f>HAWT!F474</f>
        <v>99245.087386853425</v>
      </c>
      <c r="E168">
        <f>HAWT!G474</f>
        <v>0</v>
      </c>
      <c r="F168">
        <f>HAWT!H474</f>
        <v>455213.25730973232</v>
      </c>
      <c r="H168">
        <f t="shared" si="10"/>
        <v>0.24153945762873869</v>
      </c>
      <c r="I168">
        <f t="shared" si="11"/>
        <v>1.107883182644757</v>
      </c>
      <c r="M168">
        <f t="shared" si="17"/>
        <v>0</v>
      </c>
      <c r="AH168">
        <v>0.27146241505026186</v>
      </c>
      <c r="AL168">
        <v>4.1706498312267506</v>
      </c>
    </row>
    <row r="169" spans="2:38" x14ac:dyDescent="0.3">
      <c r="B169" t="str">
        <f>HAWT!D475</f>
        <v>transport</v>
      </c>
      <c r="C169">
        <f>HAWT!E475</f>
        <v>0</v>
      </c>
      <c r="D169">
        <f>HAWT!F475</f>
        <v>48769.209177341276</v>
      </c>
      <c r="E169">
        <f>HAWT!G475</f>
        <v>0</v>
      </c>
      <c r="F169">
        <f>HAWT!H475</f>
        <v>808494.43094868748</v>
      </c>
      <c r="H169">
        <f t="shared" si="10"/>
        <v>0.11869291109353108</v>
      </c>
      <c r="I169">
        <f t="shared" si="11"/>
        <v>1.9676873837190054</v>
      </c>
      <c r="M169" t="str">
        <f t="shared" si="17"/>
        <v>replacements</v>
      </c>
      <c r="AH169">
        <v>0.61694184179387557</v>
      </c>
      <c r="AL169">
        <v>9.1114793482302794</v>
      </c>
    </row>
    <row r="170" spans="2:38" x14ac:dyDescent="0.3">
      <c r="B170" t="str">
        <f>HAWT!D476</f>
        <v>disassembly</v>
      </c>
      <c r="C170">
        <f>HAWT!E476</f>
        <v>0</v>
      </c>
      <c r="D170">
        <f>HAWT!F476</f>
        <v>13508.225934125558</v>
      </c>
      <c r="E170">
        <f>HAWT!G476</f>
        <v>0</v>
      </c>
      <c r="F170">
        <f>HAWT!H476</f>
        <v>201396.84773690064</v>
      </c>
      <c r="H170">
        <f t="shared" si="10"/>
        <v>3.2875879819995547E-2</v>
      </c>
      <c r="I170">
        <f t="shared" si="11"/>
        <v>0.49015308113832623</v>
      </c>
      <c r="M170" t="str">
        <f t="shared" si="17"/>
        <v>transport</v>
      </c>
      <c r="AH170">
        <v>4.055797914168862E-2</v>
      </c>
      <c r="AL170">
        <v>0.62308314958997968</v>
      </c>
    </row>
    <row r="171" spans="2:38" x14ac:dyDescent="0.3">
      <c r="B171">
        <f>HAWT!D477</f>
        <v>0</v>
      </c>
      <c r="C171">
        <f>HAWT!E477</f>
        <v>0</v>
      </c>
      <c r="D171">
        <f>HAWT!F477</f>
        <v>0</v>
      </c>
      <c r="E171">
        <f>HAWT!G477</f>
        <v>0</v>
      </c>
      <c r="F171">
        <f>HAWT!H477</f>
        <v>0</v>
      </c>
      <c r="H171">
        <f t="shared" si="10"/>
        <v>0</v>
      </c>
      <c r="I171">
        <f t="shared" si="11"/>
        <v>0</v>
      </c>
      <c r="M171" t="str">
        <f t="shared" si="17"/>
        <v>consumables</v>
      </c>
      <c r="AH171">
        <v>4.45379432976492E-2</v>
      </c>
      <c r="AL171">
        <v>0.69362370709453669</v>
      </c>
    </row>
    <row r="172" spans="2:38" x14ac:dyDescent="0.3">
      <c r="M172">
        <f t="shared" si="17"/>
        <v>0</v>
      </c>
      <c r="AH172">
        <v>0.16705379387708422</v>
      </c>
      <c r="AL172">
        <v>2.5665537422933848</v>
      </c>
    </row>
    <row r="173" spans="2:38" x14ac:dyDescent="0.3">
      <c r="M173">
        <f t="shared" si="17"/>
        <v>0</v>
      </c>
      <c r="AH173">
        <v>4.2758440136190505E-2</v>
      </c>
      <c r="AL173">
        <v>0.60761829377739407</v>
      </c>
    </row>
    <row r="174" spans="2:38" x14ac:dyDescent="0.3">
      <c r="M174" t="str">
        <f t="shared" si="17"/>
        <v>treatment</v>
      </c>
      <c r="AH174">
        <v>1.0470725989414846</v>
      </c>
      <c r="AL174">
        <v>9.9770965773956988</v>
      </c>
    </row>
    <row r="175" spans="2:38" x14ac:dyDescent="0.3">
      <c r="M175" t="str">
        <f t="shared" si="17"/>
        <v>transport</v>
      </c>
      <c r="AH175">
        <v>0.7119447848828484</v>
      </c>
      <c r="AL175">
        <v>11.332986817964082</v>
      </c>
    </row>
    <row r="176" spans="2:38" x14ac:dyDescent="0.3">
      <c r="M176" t="str">
        <f t="shared" si="17"/>
        <v>disassembly</v>
      </c>
      <c r="AH176">
        <v>0.70451015783057913</v>
      </c>
      <c r="AL176">
        <v>10.126259053675444</v>
      </c>
    </row>
    <row r="177" spans="13:38" x14ac:dyDescent="0.3">
      <c r="M177">
        <f t="shared" si="17"/>
        <v>0</v>
      </c>
      <c r="AH177">
        <v>0.14906176868252946</v>
      </c>
      <c r="AL177">
        <v>1.0944749318429527</v>
      </c>
    </row>
    <row r="178" spans="13:38" x14ac:dyDescent="0.3">
      <c r="AH178">
        <v>0.39310824854226534</v>
      </c>
      <c r="AL178">
        <v>3.5657236475020886</v>
      </c>
    </row>
    <row r="179" spans="13:38" x14ac:dyDescent="0.3">
      <c r="AH179" t="e" cm="1">
        <f t="array" ref="AH179">som</f>
        <v>#NAME?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AWE</vt:lpstr>
      <vt:lpstr>HAWT</vt:lpstr>
      <vt:lpstr>Collective imput</vt:lpstr>
      <vt:lpstr>OEL impact settings</vt:lpstr>
      <vt:lpstr>Impact settings</vt:lpstr>
      <vt:lpstr>Cables</vt:lpstr>
      <vt:lpstr>Draft Calculations</vt:lpstr>
      <vt:lpstr>HAWTmas</vt:lpstr>
      <vt:lpstr>Communication to latex</vt:lpstr>
      <vt:lpstr>For Graphics1</vt:lpstr>
      <vt:lpstr>For 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Luuk van Hagen</dc:creator>
  <cp:lastModifiedBy>Luuk van Hagen</cp:lastModifiedBy>
  <dcterms:created xsi:type="dcterms:W3CDTF">2021-04-14T18:36:50Z</dcterms:created>
  <dcterms:modified xsi:type="dcterms:W3CDTF">2023-02-13T21:05:00Z</dcterms:modified>
</cp:coreProperties>
</file>