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<sst xmlns="http://schemas.openxmlformats.org/spreadsheetml/2006/main" count="759" uniqueCount="385">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</sst>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b/>
      <sz val="9"/>
      <color theme="1"/>
      <name val="Microsoft YaHei Light"/>
      <charset val="134"/>
    </font>
    <font>
      <b/>
      <sz val="9"/>
      <color rgb="FF000000"/>
      <name val="Cambria"/>
      <charset val="134"/>
    </font>
    <font>
      <sz val="9"/>
      <name val="ＭＳ Ｐゴシック"/>
      <charset val="128"/>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0.17429530620575</c:v>
                </c:pt>
                <c:pt idx="1">
                  <c:v>0.582840502262115</c:v>
                </c:pt>
                <c:pt idx="2">
                  <c:v>2.02468800544739</c:v>
                </c:pt>
                <c:pt idx="3">
                  <c:v>4.6581072807312</c:v>
                </c:pt>
                <c:pt idx="4">
                  <c:v>8.54453468322754</c:v>
                </c:pt>
                <c:pt idx="5">
                  <c:v>13.8316020965576</c:v>
                </c:pt>
                <c:pt idx="6">
                  <c:v>20.5559139251709</c:v>
                </c:pt>
                <c:pt idx="7">
                  <c:v>28.7895011901855</c:v>
                </c:pt>
                <c:pt idx="8">
                  <c:v>38.7104034423828</c:v>
                </c:pt>
                <c:pt idx="9">
                  <c:v>50.3356781005859</c:v>
                </c:pt>
                <c:pt idx="10">
                  <c:v>63.6024932861328</c:v>
                </c:pt>
                <c:pt idx="11">
                  <c:v>78.7030029296875</c:v>
                </c:pt>
                <c:pt idx="12">
                  <c:v>95.4737548828125</c:v>
                </c:pt>
                <c:pt idx="13">
                  <c:v>114.246932983398</c:v>
                </c:pt>
                <c:pt idx="14">
                  <c:v>134.324966430664</c:v>
                </c:pt>
                <c:pt idx="15">
                  <c:v>156.296356201172</c:v>
                </c:pt>
                <c:pt idx="16">
                  <c:v>175.734008789062</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0.157230943441391</c:v>
                </c:pt>
                <c:pt idx="1">
                  <c:v>0.30019336938858</c:v>
                </c:pt>
                <c:pt idx="2">
                  <c:v>0.644263803958893</c:v>
                </c:pt>
                <c:pt idx="3">
                  <c:v>0.157230943441391</c:v>
                </c:pt>
              </c:numCache>
            </c:numRef>
          </c:xVal>
          <c:yVal>
            <c:numRef>
              <c:f>sRGB_DeltaE!$F$434:$F$437</c:f>
              <c:numCache>
                <c:formatCode>0.00</c:formatCode>
                <c:ptCount val="4"/>
                <c:pt idx="0">
                  <c:v>0.0618577525019646</c:v>
                </c:pt>
                <c:pt idx="1">
                  <c:v>0.600219011306763</c:v>
                </c:pt>
                <c:pt idx="2">
                  <c:v>0.32444241642952</c:v>
                </c:pt>
                <c:pt idx="3">
                  <c:v>0.0618577525019646</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1.61977968850919</c:v>
                </c:pt>
                <c:pt idx="1">
                  <c:v>1.1285682349684</c:v>
                </c:pt>
                <c:pt idx="2">
                  <c:v>2.24842702251901</c:v>
                </c:pt>
                <c:pt idx="3">
                  <c:v>3.23718840183426</c:v>
                </c:pt>
                <c:pt idx="4">
                  <c:v>4.02419173249092</c:v>
                </c:pt>
                <c:pt idx="5">
                  <c:v>4.69007229274558</c:v>
                </c:pt>
                <c:pt idx="6">
                  <c:v>5.20518649633835</c:v>
                </c:pt>
                <c:pt idx="7">
                  <c:v>0</c:v>
                </c:pt>
                <c:pt idx="8">
                  <c:v>13.6181338195546</c:v>
                </c:pt>
                <c:pt idx="9">
                  <c:v>18.111979231777</c:v>
                </c:pt>
                <c:pt idx="10">
                  <c:v>3.33775972215612</c:v>
                </c:pt>
                <c:pt idx="11">
                  <c:v>9.22225801510288</c:v>
                </c:pt>
                <c:pt idx="12">
                  <c:v>16.7476498505437</c:v>
                </c:pt>
                <c:pt idx="13">
                  <c:v>14.9034210619483</c:v>
                </c:pt>
                <c:pt idx="14">
                  <c:v>15.0689243315362</c:v>
                </c:pt>
                <c:pt idx="15">
                  <c:v>14.7767128345682</c:v>
                </c:pt>
                <c:pt idx="16">
                  <c:v>4.60435358836577</c:v>
                </c:pt>
                <c:pt idx="17">
                  <c:v>5.96751920816054</c:v>
                </c:pt>
                <c:pt idx="18">
                  <c:v>5.5053784883134</c:v>
                </c:pt>
                <c:pt idx="19">
                  <c:v>8.67761566357423</c:v>
                </c:pt>
                <c:pt idx="20">
                  <c:v>10.5959092300454</c:v>
                </c:pt>
                <c:pt idx="21">
                  <c:v>14.1735504829187</c:v>
                </c:pt>
                <c:pt idx="22">
                  <c:v>14.7376116826771</c:v>
                </c:pt>
                <c:pt idx="23">
                  <c:v>14.5879967964473</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4086225" y="3846830"/>
        <a:ext cx="3237865"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56870" y="3826510"/>
        <a:ext cx="3472815"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65760" y="7033895"/>
        <a:ext cx="694753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427470" y="9966960"/>
          <a:ext cx="79692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562475" y="1083310"/>
              <a:ext cx="2284095"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047619047619" defaultRowHeight="12"/>
  <cols>
    <col min="1" max="1" width="23.5047619047619" style="31" customWidth="1"/>
    <col min="2" max="4" width="11.5047619047619" style="31" customWidth="1"/>
    <col min="5" max="5" width="9.16190476190476" style="31" customWidth="1"/>
    <col min="6" max="13" width="11.5047619047619" style="31" customWidth="1"/>
    <col min="14" max="14" width="15.1619047619048" style="31" customWidth="1"/>
    <col min="15" max="17" width="11.5047619047619" style="31" customWidth="1"/>
    <col min="18" max="20" width="13.3333333333333" style="31" customWidth="1"/>
    <col min="21" max="28" width="11.5047619047619" style="31" customWidth="1"/>
    <col min="29" max="29" width="13" style="31" customWidth="1"/>
    <col min="30" max="30" width="15.1619047619048"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0.700296840567837</v>
      </c>
      <c r="F10" s="102">
        <f>C10/$C$16</f>
        <v>0.465581965432463</v>
      </c>
      <c r="G10" s="102">
        <f>D10/$C$16</f>
        <v>0.27647937306759</v>
      </c>
      <c r="H10" s="102">
        <f>IF((E10/Reference!L$18)&lt;=0.008856,(7.787*(E10/Reference!L$18))+16/116,(E10/Reference!L$18)^(1/3))</f>
        <v>0.90318492861457</v>
      </c>
      <c r="I10" s="102">
        <f>IF((F10/Reference!M$18)&lt;=0.008856,(7.787*(F10/Reference!M$18))+16/116,(F10/Reference!M$18)^(1/3))</f>
        <v>0.775054156705209</v>
      </c>
      <c r="J10" s="102">
        <f>IF((G10/Reference!N$18)&lt;=0.008856,(7.787*(G10/Reference!N$18))+16/116,(G10/Reference!N$18)^(1/3))</f>
        <v>0.633205898930355</v>
      </c>
      <c r="K10" s="102">
        <f t="shared" ref="K10:K16" si="0">100*IF(F10&lt;=0.008856,9.033*F10,(1.16*(F10^(1/3)))-0.16)</f>
        <v>73.9062821778042</v>
      </c>
      <c r="L10" s="102">
        <f t="shared" ref="L10:L16" si="1">500*(H10-I10)</f>
        <v>64.0653859546803</v>
      </c>
      <c r="M10" s="102">
        <f t="shared" ref="M10:M16" si="2">200*(I10-J10)</f>
        <v>28.3696515549708</v>
      </c>
      <c r="N10" s="103" t="str">
        <f>A10</f>
        <v>1-(192,80,80)</v>
      </c>
      <c r="O10" s="120">
        <f>K10-Reference!B12</f>
        <v>24.9939399863138</v>
      </c>
      <c r="P10" s="120">
        <f>L10-Reference!C12</f>
        <v>19.0603351638239</v>
      </c>
      <c r="Q10" s="120">
        <f>M10-Reference!D12</f>
        <v>5.45817530199612</v>
      </c>
      <c r="R10" s="120" t="str">
        <f t="shared" ref="R10:R16" si="3">IF(O10&gt;$T$8,"lighter",IF(O10&lt;-$T$8,"darker","about the same"))</f>
        <v>lighter</v>
      </c>
      <c r="S10" s="120" t="str">
        <f t="shared" ref="S10:S16" si="4">IF(P10&gt;$T$8,"redder",IF(P10&lt;-$T$8,"greener","about the same"))</f>
        <v>redder</v>
      </c>
      <c r="T10" s="120" t="str">
        <f t="shared" ref="T10:T16" si="5">IF(Q10&gt;$T$8,"yellower",IF(Q10&lt;-$T$8,"bluer","about the same"))</f>
        <v>yellower</v>
      </c>
      <c r="U10" s="120">
        <f t="shared" ref="U10:U16" si="6">(O10^2+P10^2+Q10^2)^(1/2)</f>
        <v>31.9027442428402</v>
      </c>
      <c r="V10" s="120">
        <f t="shared" ref="V10:V16" si="7">(AC10)^2</f>
        <v>663.779275742515</v>
      </c>
      <c r="W10" s="102">
        <f t="shared" ref="W10:W16" si="8">SQRT((L10*L10)+(M10*M10))</f>
        <v>70.065760588697</v>
      </c>
      <c r="X10" s="102">
        <f>W10-Reference!E12</f>
        <v>19.5643710951574</v>
      </c>
      <c r="Y10" s="102">
        <f t="shared" ref="Y10:Y16" si="9">IF(((U10*U10)-(O10*O10)-(X10*X10))&lt;0,0,SQRT((U10*U10)-(O10*O10)-(X10*X10)))</f>
        <v>3.21301071202545</v>
      </c>
      <c r="Z10" s="102">
        <f t="shared" ref="Z10:Z16" si="10">O10</f>
        <v>24.9939399863138</v>
      </c>
      <c r="AA10" s="102">
        <f>X10/(1+0.045*ABS(Reference!E12))</f>
        <v>5.97830322033333</v>
      </c>
      <c r="AB10" s="102">
        <f>Y10/(1+0.015*ABS(Reference!E12))</f>
        <v>1.82814942190514</v>
      </c>
      <c r="AC10" s="102">
        <f t="shared" ref="AC10:AC16" si="11">SQRT(Z10*Z10+AA10*AA10+AB10*AB10)</f>
        <v>25.7639142162544</v>
      </c>
      <c r="AD10" s="103" t="str">
        <f>A10</f>
        <v>1-(192,80,80)</v>
      </c>
    </row>
    <row r="11" spans="1:107">
      <c r="A11" s="103" t="s">
        <v>41</v>
      </c>
      <c r="B11" s="31">
        <f>sRGB_Data!B1032</f>
        <v>148</v>
      </c>
      <c r="C11" s="31">
        <f>sRGB_Data!C1032</f>
        <v>177.13</v>
      </c>
      <c r="D11" s="31">
        <f>sRGB_Data!D1032</f>
        <v>52.76</v>
      </c>
      <c r="E11" s="102">
        <f t="shared" ref="E11:E16" si="12">B11/$C$16</f>
        <v>1.18640032513782</v>
      </c>
      <c r="F11" s="102">
        <f t="shared" ref="F11:F16" si="13">C11/$C$16</f>
        <v>1.41991276751123</v>
      </c>
      <c r="G11" s="102">
        <f t="shared" ref="G11:G16" si="14">D11/$C$16</f>
        <v>0.422935683474806</v>
      </c>
      <c r="H11" s="102">
        <f>IF((E11/Reference!L$18)&lt;=0.008856,(7.787*(E11/Reference!L$18))+16/116,(E11/Reference!L$18)^(1/3))</f>
        <v>1.07669586527563</v>
      </c>
      <c r="I11" s="102">
        <f>IF((F11/Reference!M$18)&lt;=0.008856,(7.787*(F11/Reference!M$18))+16/116,(F11/Reference!M$18)^(1/3))</f>
        <v>1.12396784805829</v>
      </c>
      <c r="J11" s="102">
        <f>IF((G11/Reference!N$18)&lt;=0.008856,(7.787*(G11/Reference!N$18))+16/116,(G11/Reference!N$18)^(1/3))</f>
        <v>0.72959550487429</v>
      </c>
      <c r="K11" s="102">
        <f t="shared" si="0"/>
        <v>114.380270374761</v>
      </c>
      <c r="L11" s="102">
        <f t="shared" si="1"/>
        <v>-23.6359913913308</v>
      </c>
      <c r="M11" s="102">
        <f t="shared" si="2"/>
        <v>78.8744686367997</v>
      </c>
      <c r="N11" s="103" t="str">
        <f t="shared" ref="N11:N16" si="15">A11</f>
        <v>2-(192,192,80)</v>
      </c>
      <c r="O11" s="120">
        <f>K11-Reference!B13</f>
        <v>38.6282495802196</v>
      </c>
      <c r="P11" s="120">
        <f>L11-Reference!C13</f>
        <v>-9.09542712171363</v>
      </c>
      <c r="Q11" s="120">
        <f>M11-Reference!D13</f>
        <v>23.7982023377617</v>
      </c>
      <c r="R11" s="120" t="str">
        <f t="shared" si="3"/>
        <v>lighter</v>
      </c>
      <c r="S11" s="120" t="str">
        <f t="shared" si="4"/>
        <v>greener</v>
      </c>
      <c r="T11" s="120" t="str">
        <f t="shared" si="5"/>
        <v>yellower</v>
      </c>
      <c r="U11" s="120">
        <f t="shared" si="6"/>
        <v>46.2733497238657</v>
      </c>
      <c r="V11" s="120">
        <f t="shared" si="7"/>
        <v>1544.3456013172</v>
      </c>
      <c r="W11" s="102">
        <f t="shared" si="8"/>
        <v>82.3397953105821</v>
      </c>
      <c r="X11" s="102">
        <f>W11-Reference!E13</f>
        <v>25.3764464033996</v>
      </c>
      <c r="Y11" s="102">
        <f t="shared" si="9"/>
        <v>2.26212222721038</v>
      </c>
      <c r="Z11" s="102">
        <f t="shared" si="10"/>
        <v>38.6282495802196</v>
      </c>
      <c r="AA11" s="102">
        <f>X11/(1+0.045*ABS(Reference!E13))</f>
        <v>7.12151245667093</v>
      </c>
      <c r="AB11" s="102">
        <f>Y11/(1+0.015*ABS(Reference!E13))</f>
        <v>1.21983442112088</v>
      </c>
      <c r="AC11" s="102">
        <f t="shared" si="11"/>
        <v>39.2981628236894</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0.752803071173598</v>
      </c>
      <c r="F12" s="102">
        <f t="shared" si="13"/>
        <v>1.20299389725292</v>
      </c>
      <c r="G12" s="102">
        <f t="shared" si="14"/>
        <v>0.508629058310774</v>
      </c>
      <c r="H12" s="102">
        <f>IF((E12/Reference!L$18)&lt;=0.008856,(7.787*(E12/Reference!L$18))+16/116,(E12/Reference!L$18)^(1/3))</f>
        <v>0.925215898735251</v>
      </c>
      <c r="I12" s="102">
        <f>IF((F12/Reference!M$18)&lt;=0.008856,(7.787*(F12/Reference!M$18))+16/116,(F12/Reference!M$18)^(1/3))</f>
        <v>1.06354158262246</v>
      </c>
      <c r="J12" s="102">
        <f>IF((G12/Reference!N$18)&lt;=0.008856,(7.787*(G12/Reference!N$18))+16/116,(G12/Reference!N$18)^(1/3))</f>
        <v>0.775873816813794</v>
      </c>
      <c r="K12" s="102">
        <f t="shared" si="0"/>
        <v>107.370823584205</v>
      </c>
      <c r="L12" s="102">
        <f t="shared" si="1"/>
        <v>-69.1628419436023</v>
      </c>
      <c r="M12" s="102">
        <f t="shared" si="2"/>
        <v>57.5335531617324</v>
      </c>
      <c r="N12" s="103" t="str">
        <f t="shared" si="15"/>
        <v>3-(96,192,96)</v>
      </c>
      <c r="O12" s="120">
        <f>K12-Reference!B14</f>
        <v>37.1734685813981</v>
      </c>
      <c r="P12" s="120">
        <f>L12-Reference!C14</f>
        <v>-21.2961912843687</v>
      </c>
      <c r="Q12" s="120">
        <f>M12-Reference!D14</f>
        <v>17.9142196389481</v>
      </c>
      <c r="R12" s="120" t="str">
        <f t="shared" si="3"/>
        <v>lighter</v>
      </c>
      <c r="S12" s="120" t="str">
        <f t="shared" si="4"/>
        <v>greener</v>
      </c>
      <c r="T12" s="120" t="str">
        <f t="shared" si="5"/>
        <v>yellower</v>
      </c>
      <c r="U12" s="120">
        <f t="shared" si="6"/>
        <v>46.4361259674522</v>
      </c>
      <c r="V12" s="120">
        <f t="shared" si="7"/>
        <v>1435.61497890933</v>
      </c>
      <c r="W12" s="102">
        <f t="shared" si="8"/>
        <v>89.9644843542695</v>
      </c>
      <c r="X12" s="102">
        <f>W12-Reference!E14</f>
        <v>27.8282804621526</v>
      </c>
      <c r="Y12" s="102">
        <f t="shared" si="9"/>
        <v>0.183942960379553</v>
      </c>
      <c r="Z12" s="102">
        <f t="shared" si="10"/>
        <v>37.1734685813981</v>
      </c>
      <c r="AA12" s="102">
        <f>X12/(1+0.045*ABS(Reference!E14))</f>
        <v>7.33069903004228</v>
      </c>
      <c r="AB12" s="102">
        <f>Y12/(1+0.015*ABS(Reference!E14))</f>
        <v>0.0952064497639202</v>
      </c>
      <c r="AC12" s="102">
        <f t="shared" si="11"/>
        <v>37.8895101434333</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0.974291185927368</v>
      </c>
      <c r="F13" s="102">
        <f t="shared" si="13"/>
        <v>1.28259494609494</v>
      </c>
      <c r="G13" s="102">
        <f t="shared" si="14"/>
        <v>1.63995796295064</v>
      </c>
      <c r="H13" s="102">
        <f>IF((E13/Reference!L$18)&lt;=0.008856,(7.787*(E13/Reference!L$18))+16/116,(E13/Reference!L$18)^(1/3))</f>
        <v>1.00827473320633</v>
      </c>
      <c r="I13" s="102">
        <f>IF((F13/Reference!M$18)&lt;=0.008856,(7.787*(F13/Reference!M$18))+16/116,(F13/Reference!M$18)^(1/3))</f>
        <v>1.08650027713806</v>
      </c>
      <c r="J13" s="102">
        <f>IF((G13/Reference!N$18)&lt;=0.008856,(7.787*(G13/Reference!N$18))+16/116,(G13/Reference!N$18)^(1/3))</f>
        <v>1.14622078301159</v>
      </c>
      <c r="K13" s="102">
        <f t="shared" si="0"/>
        <v>110.034032148015</v>
      </c>
      <c r="L13" s="102">
        <f t="shared" si="1"/>
        <v>-39.1127719658646</v>
      </c>
      <c r="M13" s="102">
        <f t="shared" si="2"/>
        <v>-11.9441011747053</v>
      </c>
      <c r="N13" s="103" t="str">
        <f t="shared" si="15"/>
        <v>4-(96,192,192)</v>
      </c>
      <c r="O13" s="120">
        <f>K13-Reference!B15</f>
        <v>37.8109885885472</v>
      </c>
      <c r="P13" s="120">
        <f>L13-Reference!C15</f>
        <v>-10.9248317654349</v>
      </c>
      <c r="Q13" s="120">
        <f>M13-Reference!D15</f>
        <v>-3.23961745688863</v>
      </c>
      <c r="R13" s="120" t="str">
        <f t="shared" si="3"/>
        <v>lighter</v>
      </c>
      <c r="S13" s="120" t="str">
        <f t="shared" si="4"/>
        <v>greener</v>
      </c>
      <c r="T13" s="120" t="str">
        <f t="shared" si="5"/>
        <v>bluer</v>
      </c>
      <c r="U13" s="120">
        <f t="shared" si="6"/>
        <v>39.4907321838084</v>
      </c>
      <c r="V13" s="120">
        <f t="shared" si="7"/>
        <v>1453.64229010391</v>
      </c>
      <c r="W13" s="102">
        <f t="shared" si="8"/>
        <v>40.8958492236721</v>
      </c>
      <c r="X13" s="102">
        <f>W13-Reference!E15</f>
        <v>11.3945270577634</v>
      </c>
      <c r="Y13" s="102">
        <f t="shared" si="9"/>
        <v>0.108735918312</v>
      </c>
      <c r="Z13" s="102">
        <f t="shared" si="10"/>
        <v>37.8109885885472</v>
      </c>
      <c r="AA13" s="102">
        <f>X13/(1+0.045*ABS(Reference!E15))</f>
        <v>4.89548261609169</v>
      </c>
      <c r="AB13" s="102">
        <f>Y13/(1+0.015*ABS(Reference!E15))</f>
        <v>0.0753791496401191</v>
      </c>
      <c r="AC13" s="102">
        <f t="shared" si="11"/>
        <v>38.1266611455017</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0.754245990487955</v>
      </c>
      <c r="F14" s="102">
        <f t="shared" si="13"/>
        <v>0.680657105455758</v>
      </c>
      <c r="G14" s="102">
        <f t="shared" si="14"/>
        <v>1.54095766554894</v>
      </c>
      <c r="H14" s="102">
        <f>IF((E14/Reference!L$18)&lt;=0.008856,(7.787*(E14/Reference!L$18))+16/116,(E14/Reference!L$18)^(1/3))</f>
        <v>0.925806650773211</v>
      </c>
      <c r="I14" s="102">
        <f>IF((F14/Reference!M$18)&lt;=0.008856,(7.787*(F14/Reference!M$18))+16/116,(F14/Reference!M$18)^(1/3))</f>
        <v>0.879649096258047</v>
      </c>
      <c r="J14" s="102">
        <f>IF((G14/Reference!N$18)&lt;=0.008856,(7.787*(G14/Reference!N$18))+16/116,(G14/Reference!N$18)^(1/3))</f>
        <v>1.12267557948146</v>
      </c>
      <c r="K14" s="102">
        <f t="shared" si="0"/>
        <v>86.0392951659334</v>
      </c>
      <c r="L14" s="102">
        <f t="shared" si="1"/>
        <v>23.0787772575822</v>
      </c>
      <c r="M14" s="102">
        <f t="shared" si="2"/>
        <v>-48.6052966446824</v>
      </c>
      <c r="N14" s="103" t="str">
        <f t="shared" si="15"/>
        <v>5-(128,128,192)</v>
      </c>
      <c r="O14" s="120">
        <f>K14-Reference!B16</f>
        <v>30.1187837635088</v>
      </c>
      <c r="P14" s="120">
        <f>L14-Reference!C16</f>
        <v>7.94582284947243</v>
      </c>
      <c r="Q14" s="120">
        <f>M14-Reference!D16</f>
        <v>-15.1969136475643</v>
      </c>
      <c r="R14" s="120" t="str">
        <f t="shared" si="3"/>
        <v>lighter</v>
      </c>
      <c r="S14" s="120" t="str">
        <f t="shared" si="4"/>
        <v>redder</v>
      </c>
      <c r="T14" s="120" t="str">
        <f t="shared" si="5"/>
        <v>bluer</v>
      </c>
      <c r="U14" s="120">
        <f t="shared" si="6"/>
        <v>34.6586702076078</v>
      </c>
      <c r="V14" s="120">
        <f t="shared" si="7"/>
        <v>949.179767170347</v>
      </c>
      <c r="W14" s="102">
        <f t="shared" si="8"/>
        <v>53.8061782848649</v>
      </c>
      <c r="X14" s="102">
        <f>W14-Reference!E16</f>
        <v>17.1302138994522</v>
      </c>
      <c r="Y14" s="102">
        <f t="shared" si="9"/>
        <v>0.798784655422294</v>
      </c>
      <c r="Z14" s="102">
        <f t="shared" si="10"/>
        <v>30.1187837635088</v>
      </c>
      <c r="AA14" s="102">
        <f>X14/(1+0.045*ABS(Reference!E16))</f>
        <v>6.46321121096249</v>
      </c>
      <c r="AB14" s="102">
        <f>Y14/(1+0.015*ABS(Reference!E16))</f>
        <v>0.515298573486578</v>
      </c>
      <c r="AC14" s="102">
        <f t="shared" si="11"/>
        <v>30.8087612079802</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1.09060651510135</v>
      </c>
      <c r="F15" s="102">
        <f t="shared" si="13"/>
        <v>0.850681097997468</v>
      </c>
      <c r="G15" s="102">
        <f t="shared" si="14"/>
        <v>1.56051723847689</v>
      </c>
      <c r="H15" s="102">
        <f>IF((E15/Reference!L$18)&lt;=0.008856,(7.787*(E15/Reference!L$18))+16/116,(E15/Reference!L$18)^(1/3))</f>
        <v>1.04690029501121</v>
      </c>
      <c r="I15" s="102">
        <f>IF((F15/Reference!M$18)&lt;=0.008856,(7.787*(F15/Reference!M$18))+16/116,(F15/Reference!M$18)^(1/3))</f>
        <v>0.947521182381836</v>
      </c>
      <c r="J15" s="102">
        <f>IF((G15/Reference!N$18)&lt;=0.008856,(7.787*(G15/Reference!N$18))+16/116,(G15/Reference!N$18)^(1/3))</f>
        <v>1.12740571047807</v>
      </c>
      <c r="K15" s="102">
        <f t="shared" si="0"/>
        <v>93.9124571562929</v>
      </c>
      <c r="L15" s="102">
        <f t="shared" si="1"/>
        <v>49.6895563146877</v>
      </c>
      <c r="M15" s="102">
        <f t="shared" si="2"/>
        <v>-35.9769056192465</v>
      </c>
      <c r="N15" s="103" t="str">
        <f t="shared" si="15"/>
        <v>6-(192,128,192)</v>
      </c>
      <c r="O15" s="120">
        <f>K15-Reference!B17</f>
        <v>31.8713921872887</v>
      </c>
      <c r="P15" s="120">
        <f>L15-Reference!C17</f>
        <v>14.6212979990909</v>
      </c>
      <c r="Q15" s="120">
        <f>M15-Reference!D17</f>
        <v>-12.529744995977</v>
      </c>
      <c r="R15" s="120" t="str">
        <f t="shared" si="3"/>
        <v>lighter</v>
      </c>
      <c r="S15" s="120" t="str">
        <f t="shared" si="4"/>
        <v>redder</v>
      </c>
      <c r="T15" s="120" t="str">
        <f t="shared" si="5"/>
        <v>bluer</v>
      </c>
      <c r="U15" s="120">
        <f t="shared" si="6"/>
        <v>37.2365748263505</v>
      </c>
      <c r="V15" s="120">
        <f t="shared" si="7"/>
        <v>1060.84761649358</v>
      </c>
      <c r="W15" s="102">
        <f t="shared" si="8"/>
        <v>61.3464729604457</v>
      </c>
      <c r="X15" s="102">
        <f>W15-Reference!E17</f>
        <v>19.1617354054623</v>
      </c>
      <c r="Y15" s="102">
        <f t="shared" si="9"/>
        <v>1.89862083984218</v>
      </c>
      <c r="Z15" s="102">
        <f t="shared" si="10"/>
        <v>31.8713921872887</v>
      </c>
      <c r="AA15" s="102">
        <f>X15/(1+0.045*ABS(Reference!E17))</f>
        <v>6.61134051066183</v>
      </c>
      <c r="AB15" s="102">
        <f>Y15/(1+0.015*ABS(Reference!E17))</f>
        <v>1.1628212200038</v>
      </c>
      <c r="AC15" s="102">
        <f t="shared" si="11"/>
        <v>32.5706557578071</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116.54139</v>
      </c>
      <c r="C16" s="31">
        <f t="shared" ref="C16:D16" si="17">C35</f>
        <v>124.7471</v>
      </c>
      <c r="D16" s="31">
        <f t="shared" si="17"/>
        <v>112.84823</v>
      </c>
      <c r="E16" s="102">
        <f t="shared" si="12"/>
        <v>0.934221236405496</v>
      </c>
      <c r="F16" s="102">
        <f t="shared" si="13"/>
        <v>1</v>
      </c>
      <c r="G16" s="102">
        <f t="shared" si="14"/>
        <v>0.904616059210996</v>
      </c>
      <c r="H16" s="102">
        <f>IF((E16/Reference!L$18)&lt;=0.008856,(7.787*(E16/Reference!L$18))+16/116,(E16/Reference!L$18)^(1/3))</f>
        <v>0.994258253219759</v>
      </c>
      <c r="I16" s="102">
        <f>IF((F16/Reference!M$18)&lt;=0.008856,(7.787*(F16/Reference!M$18))+16/116,(F16/Reference!M$18)^(1/3))</f>
        <v>1</v>
      </c>
      <c r="J16" s="102">
        <f>IF((G16/Reference!N$18)&lt;=0.008856,(7.787*(G16/Reference!N$18))+16/116,(G16/Reference!N$18)^(1/3))</f>
        <v>0.940038132794186</v>
      </c>
      <c r="K16" s="102">
        <f t="shared" si="0"/>
        <v>100</v>
      </c>
      <c r="L16" s="102">
        <f t="shared" si="1"/>
        <v>-2.87087339012065</v>
      </c>
      <c r="M16" s="102">
        <f t="shared" si="2"/>
        <v>11.9923734411628</v>
      </c>
      <c r="N16" s="103" t="str">
        <f t="shared" si="15"/>
        <v>7-(255, 255, 255)</v>
      </c>
      <c r="O16" s="120">
        <f>K16-Reference!B18</f>
        <v>0</v>
      </c>
      <c r="P16" s="120">
        <f>L16-Reference!C18</f>
        <v>-2.87087339012065</v>
      </c>
      <c r="Q16" s="120">
        <f>M16-Reference!D18</f>
        <v>11.9923734411628</v>
      </c>
      <c r="R16" s="120" t="str">
        <f t="shared" si="3"/>
        <v>about the same</v>
      </c>
      <c r="S16" s="120" t="str">
        <f t="shared" si="4"/>
        <v>about the same</v>
      </c>
      <c r="T16" s="120" t="str">
        <f t="shared" si="5"/>
        <v>yellower</v>
      </c>
      <c r="U16" s="120">
        <f t="shared" si="6"/>
        <v>12.3312178950179</v>
      </c>
      <c r="V16" s="120">
        <f t="shared" si="7"/>
        <v>152.058934774409</v>
      </c>
      <c r="W16" s="102">
        <f t="shared" si="8"/>
        <v>12.3312178950179</v>
      </c>
      <c r="X16" s="102">
        <f>W16-Reference!E18</f>
        <v>12.3312178950179</v>
      </c>
      <c r="Y16" s="102">
        <f t="shared" si="9"/>
        <v>0</v>
      </c>
      <c r="Z16" s="102">
        <f t="shared" si="10"/>
        <v>0</v>
      </c>
      <c r="AA16" s="102">
        <f>X16/(1+0.045*ABS(Reference!E18))</f>
        <v>12.3312178950179</v>
      </c>
      <c r="AB16" s="102">
        <f>Y16/(1+0.015*ABS(Reference!E18))</f>
        <v>0</v>
      </c>
      <c r="AC16" s="102">
        <f t="shared" si="11"/>
        <v>12.3312178950179</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30.9698404556691</v>
      </c>
      <c r="C19" s="108" t="str">
        <f>IF(B19&lt;=10,"PASS","FAIL")</f>
        <v>FAIL</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39.2981628236894</v>
      </c>
      <c r="C20" s="108" t="str">
        <f>IF(B20&lt;=15,"PASS","FAIL")</f>
        <v>FAIL</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1.5348561</v>
      </c>
      <c r="C28" s="31">
        <f>Test_Data!Q4</f>
        <v>1.6422335</v>
      </c>
      <c r="D28" s="31">
        <f>Test_Data!R4</f>
        <v>1.6189243</v>
      </c>
      <c r="E28" s="117">
        <f>B28/$C$16</f>
        <v>0.0123037417302687</v>
      </c>
      <c r="F28" s="117">
        <f>C28/$C$16</f>
        <v>0.0131645024212988</v>
      </c>
      <c r="G28" s="117">
        <f>D28/$C$16</f>
        <v>0.0129776507830643</v>
      </c>
      <c r="H28" s="117">
        <f>IF((E28/E$16)&lt;=0.008856,(7.787*(E28/E$16))+16/116,(E28/E$16)^(1/3))</f>
        <v>0.23615428141921</v>
      </c>
      <c r="I28" s="117">
        <f>IF((F28/F$16)&lt;=0.008856,(7.787*(F28/F$16))+16/116,(F28/F$16)^(1/3))</f>
        <v>0.236121110042801</v>
      </c>
      <c r="J28" s="117">
        <f>IF((G28/G$16)&lt;=0.008856,(7.787*(G28/G$16))+16/116,(G28/G$16)^(1/3))</f>
        <v>0.242983768520071</v>
      </c>
      <c r="K28" s="117">
        <f>100*IF(F28&lt;=0.008856,9.033*F28,(1.16*(F28^(1/3)))-0.16)</f>
        <v>11.3900487649649</v>
      </c>
      <c r="L28" s="117">
        <f>500*(H28-I28)</f>
        <v>0.0165856882045623</v>
      </c>
      <c r="M28" s="117">
        <f>200*(I28-J28)</f>
        <v>-1.37253169545397</v>
      </c>
      <c r="N28" s="123" t="str">
        <f>A28</f>
        <v>1-Gray1 (32, 32, 32)</v>
      </c>
      <c r="O28" s="124">
        <f>K28-[1]Reference!B35</f>
        <v>-0.859981336557924</v>
      </c>
      <c r="P28" s="124">
        <f>L28-[1]Reference!C35</f>
        <v>0.0165856882045623</v>
      </c>
      <c r="Q28" s="124">
        <f>M28-[1]Reference!D35</f>
        <v>-1.37253169545397</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1.61977968850919</v>
      </c>
      <c r="V28" s="124">
        <f>(AC28)^2</f>
        <v>2.62368623930692</v>
      </c>
      <c r="W28" s="117">
        <f t="shared" ref="W28:W59" si="19">SQRT((L28*L28)+(M28*M28))</f>
        <v>1.37263190261591</v>
      </c>
      <c r="X28" s="117">
        <f>W28-[1]Reference!E35</f>
        <v>1.37263190261591</v>
      </c>
      <c r="Y28" s="117">
        <f t="shared" ref="Y28:Y59" si="20">IF(((U28*U28)-(O28*O28)-(X28*X28))&lt;0,0,SQRT((U28*U28)-(O28*O28)-(X28*X28)))</f>
        <v>0</v>
      </c>
      <c r="Z28" s="117">
        <f t="shared" ref="Z28:Z59" si="21">O28</f>
        <v>-0.859981336557924</v>
      </c>
      <c r="AA28" s="117">
        <f>X28/(1+0.045*ABS([1]Reference!E35))</f>
        <v>1.37263190261591</v>
      </c>
      <c r="AB28" s="117">
        <f>Y28/(1+0.015*ABS([1]Reference!E35))</f>
        <v>0</v>
      </c>
      <c r="AC28" s="117">
        <f>SQRT(Z28*Z28+AA28*AA28+AB28*AB28)</f>
        <v>1.61977968850919</v>
      </c>
      <c r="AD28" s="123" t="str">
        <f t="shared" ref="AD28:AD59" si="22">A28</f>
        <v>1-Gray1 (32, 32, 32)</v>
      </c>
    </row>
    <row r="29" s="31" customFormat="1" spans="1:30">
      <c r="A29" s="3" t="s">
        <v>51</v>
      </c>
      <c r="B29" s="31">
        <f>Test_Data!P5</f>
        <v>6.400236</v>
      </c>
      <c r="C29" s="31">
        <f>Test_Data!Q5</f>
        <v>6.8164885</v>
      </c>
      <c r="D29" s="31">
        <f>Test_Data!R5</f>
        <v>6.3044536</v>
      </c>
      <c r="E29" s="117">
        <f t="shared" ref="E29:G59" si="23">B29/$C$16</f>
        <v>0.0513056896713431</v>
      </c>
      <c r="F29" s="117">
        <f t="shared" si="23"/>
        <v>0.0546424606263392</v>
      </c>
      <c r="G29" s="117">
        <f t="shared" si="23"/>
        <v>0.0505378770328128</v>
      </c>
      <c r="H29" s="117">
        <f t="shared" ref="H29:J59" si="24">IF((E29/E$16)&lt;=0.008856,(7.787*(E29/E$16))+16/116,(E29/E$16)^(1/3))</f>
        <v>0.380106472495147</v>
      </c>
      <c r="I29" s="117">
        <f t="shared" si="24"/>
        <v>0.379469390148574</v>
      </c>
      <c r="J29" s="117">
        <f t="shared" si="24"/>
        <v>0.382282338213933</v>
      </c>
      <c r="K29" s="117">
        <f t="shared" ref="K29:K59" si="25">100*IF(F29&lt;=0.008856,9.033*F29,(1.16*(F29^(1/3)))-0.16)</f>
        <v>28.0184492572346</v>
      </c>
      <c r="L29" s="117">
        <f t="shared" ref="L29:L59" si="26">500*(H29-I29)</f>
        <v>0.318541173286502</v>
      </c>
      <c r="M29" s="117">
        <f t="shared" ref="M29:M59" si="27">200*(I29-J29)</f>
        <v>-0.562589613071707</v>
      </c>
      <c r="N29" s="123" t="str">
        <f t="shared" ref="N29:N59" si="28">A29</f>
        <v>2-Gray2 (64, 64, 64)</v>
      </c>
      <c r="O29" s="124">
        <f>K29-[1]Reference!B36</f>
        <v>0.925035517785542</v>
      </c>
      <c r="P29" s="124">
        <f>L29-[1]Reference!C36</f>
        <v>0.318541173286502</v>
      </c>
      <c r="Q29" s="124">
        <f>M29-[1]Reference!D36</f>
        <v>-0.562589613071707</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1.1285682349684</v>
      </c>
      <c r="V29" s="124">
        <f t="shared" ref="V29:V59" si="32">(AC29)^2</f>
        <v>1.27366626097968</v>
      </c>
      <c r="W29" s="117">
        <f t="shared" si="19"/>
        <v>0.646510287478021</v>
      </c>
      <c r="X29" s="117">
        <f>W29-[1]Reference!E36</f>
        <v>0.646510287478021</v>
      </c>
      <c r="Y29" s="117">
        <f t="shared" si="20"/>
        <v>0</v>
      </c>
      <c r="Z29" s="117">
        <f t="shared" si="21"/>
        <v>0.925035517785542</v>
      </c>
      <c r="AA29" s="117">
        <f>X29/(1+0.045*ABS([1]Reference!E36))</f>
        <v>0.646510287478021</v>
      </c>
      <c r="AB29" s="117">
        <f>Y29/(1+0.015*ABS([1]Reference!E36))</f>
        <v>0</v>
      </c>
      <c r="AC29" s="117">
        <f t="shared" ref="AC29:AC59" si="33">SQRT(Z29*Z29+AA29*AA29+AB29*AB29)</f>
        <v>1.1285682349684</v>
      </c>
      <c r="AD29" s="123" t="str">
        <f t="shared" si="22"/>
        <v>2-Gray2 (64, 64, 64)</v>
      </c>
    </row>
    <row r="30" s="31" customFormat="1" spans="1:30">
      <c r="A30" s="3" t="s">
        <v>52</v>
      </c>
      <c r="B30" s="31">
        <f>Test_Data!P6</f>
        <v>15.360699</v>
      </c>
      <c r="C30" s="31">
        <f>Test_Data!Q6</f>
        <v>16.368057</v>
      </c>
      <c r="D30" s="31">
        <f>Test_Data!R6</f>
        <v>14.836975</v>
      </c>
      <c r="E30" s="117">
        <f t="shared" si="23"/>
        <v>0.123134718161785</v>
      </c>
      <c r="F30" s="117">
        <f t="shared" si="23"/>
        <v>0.131209919909962</v>
      </c>
      <c r="G30" s="117">
        <f t="shared" si="23"/>
        <v>0.118936432189606</v>
      </c>
      <c r="H30" s="117">
        <f t="shared" si="24"/>
        <v>0.508913058843418</v>
      </c>
      <c r="I30" s="117">
        <f t="shared" si="24"/>
        <v>0.508146443290127</v>
      </c>
      <c r="J30" s="117">
        <f t="shared" si="24"/>
        <v>0.508491312837749</v>
      </c>
      <c r="K30" s="117">
        <f t="shared" si="25"/>
        <v>42.9449874216547</v>
      </c>
      <c r="L30" s="117">
        <f t="shared" si="26"/>
        <v>0.38330777664547</v>
      </c>
      <c r="M30" s="117">
        <f t="shared" si="27"/>
        <v>-0.0689739095244501</v>
      </c>
      <c r="N30" s="123" t="str">
        <f t="shared" si="28"/>
        <v>3-Grey3 (96, 96, 96)</v>
      </c>
      <c r="O30" s="124">
        <f>K30-[1]Reference!B37</f>
        <v>2.21443939265939</v>
      </c>
      <c r="P30" s="124">
        <f>L30-[1]Reference!C37</f>
        <v>0.38330777664547</v>
      </c>
      <c r="Q30" s="124">
        <f>M30-[1]Reference!D37</f>
        <v>-0.0689739095244501</v>
      </c>
      <c r="R30" s="124" t="str">
        <f t="shared" si="29"/>
        <v>about the same</v>
      </c>
      <c r="S30" s="124" t="str">
        <f t="shared" si="30"/>
        <v>about the same</v>
      </c>
      <c r="T30" s="124" t="str">
        <f t="shared" si="31"/>
        <v>about the same</v>
      </c>
      <c r="U30" s="124">
        <f t="shared" si="18"/>
        <v>2.24842702251901</v>
      </c>
      <c r="V30" s="124">
        <f t="shared" si="32"/>
        <v>5.05542407559368</v>
      </c>
      <c r="W30" s="117">
        <f t="shared" si="19"/>
        <v>0.389464057175987</v>
      </c>
      <c r="X30" s="117">
        <f>W30-[1]Reference!E37</f>
        <v>0.389464057175987</v>
      </c>
      <c r="Y30" s="117">
        <f t="shared" si="20"/>
        <v>0</v>
      </c>
      <c r="Z30" s="117">
        <f t="shared" si="21"/>
        <v>2.21443939265939</v>
      </c>
      <c r="AA30" s="117">
        <f>X30/(1+0.045*ABS([1]Reference!E37))</f>
        <v>0.389464057175987</v>
      </c>
      <c r="AB30" s="117">
        <f>Y30/(1+0.015*ABS([1]Reference!E37))</f>
        <v>0</v>
      </c>
      <c r="AC30" s="117">
        <f t="shared" si="33"/>
        <v>2.24842702251901</v>
      </c>
      <c r="AD30" s="123" t="str">
        <f t="shared" si="22"/>
        <v>3-Grey3 (96, 96, 96)</v>
      </c>
    </row>
    <row r="31" s="31" customFormat="1" spans="1:30">
      <c r="A31" s="3" t="s">
        <v>53</v>
      </c>
      <c r="B31" s="31">
        <f>Test_Data!P7</f>
        <v>28.85342</v>
      </c>
      <c r="C31" s="31">
        <f>Test_Data!Q7</f>
        <v>30.816967</v>
      </c>
      <c r="D31" s="31">
        <f>Test_Data!R7</f>
        <v>28.163971</v>
      </c>
      <c r="E31" s="117">
        <f t="shared" si="23"/>
        <v>0.231295316684717</v>
      </c>
      <c r="F31" s="117">
        <f t="shared" si="23"/>
        <v>0.247035538301091</v>
      </c>
      <c r="G31" s="117">
        <f t="shared" si="23"/>
        <v>0.225768542916028</v>
      </c>
      <c r="H31" s="117">
        <f t="shared" si="24"/>
        <v>0.627922002803025</v>
      </c>
      <c r="I31" s="117">
        <f t="shared" si="24"/>
        <v>0.627460625816659</v>
      </c>
      <c r="J31" s="117">
        <f t="shared" si="24"/>
        <v>0.629602405917398</v>
      </c>
      <c r="K31" s="117">
        <f t="shared" si="25"/>
        <v>56.7854325947324</v>
      </c>
      <c r="L31" s="117">
        <f t="shared" si="26"/>
        <v>0.230688493182807</v>
      </c>
      <c r="M31" s="117">
        <f t="shared" si="27"/>
        <v>-0.428356020147813</v>
      </c>
      <c r="N31" s="123" t="str">
        <f t="shared" si="28"/>
        <v>4-Gray4 (128, 128, 128)</v>
      </c>
      <c r="O31" s="124">
        <f>K31-[1]Reference!B38</f>
        <v>3.20041914256343</v>
      </c>
      <c r="P31" s="124">
        <f>L31-[1]Reference!C38</f>
        <v>0.230688493182807</v>
      </c>
      <c r="Q31" s="124">
        <f>M31-[1]Reference!D38</f>
        <v>-0.428356020147791</v>
      </c>
      <c r="R31" s="124" t="str">
        <f t="shared" si="29"/>
        <v>lighter</v>
      </c>
      <c r="S31" s="124" t="str">
        <f t="shared" si="30"/>
        <v>about the same</v>
      </c>
      <c r="T31" s="124" t="str">
        <f t="shared" si="31"/>
        <v>about the same</v>
      </c>
      <c r="U31" s="124">
        <f t="shared" si="18"/>
        <v>3.23718840183426</v>
      </c>
      <c r="V31" s="124">
        <f t="shared" si="32"/>
        <v>10.4793887489702</v>
      </c>
      <c r="W31" s="117">
        <f t="shared" si="19"/>
        <v>0.486524471002053</v>
      </c>
      <c r="X31" s="117">
        <f>W31-[1]Reference!E38</f>
        <v>0.486524471002031</v>
      </c>
      <c r="Y31" s="117">
        <f t="shared" si="20"/>
        <v>4.56253018748607e-8</v>
      </c>
      <c r="Z31" s="117">
        <f t="shared" si="21"/>
        <v>3.20041914256343</v>
      </c>
      <c r="AA31" s="117">
        <f>X31/(1+0.045*ABS([1]Reference!E38))</f>
        <v>0.48652447100203</v>
      </c>
      <c r="AB31" s="117">
        <f>Y31/(1+0.015*ABS([1]Reference!E38))</f>
        <v>4.56253018748607e-8</v>
      </c>
      <c r="AC31" s="117">
        <f t="shared" si="33"/>
        <v>3.23718840183426</v>
      </c>
      <c r="AD31" s="123" t="str">
        <f t="shared" si="22"/>
        <v>4-Gray4 (128, 128, 128)</v>
      </c>
    </row>
    <row r="32" s="31" customFormat="1" spans="1:30">
      <c r="A32" s="3" t="s">
        <v>54</v>
      </c>
      <c r="B32" s="31">
        <f>Test_Data!P8</f>
        <v>47.10558</v>
      </c>
      <c r="C32" s="31">
        <f>Test_Data!Q8</f>
        <v>50.596628</v>
      </c>
      <c r="D32" s="31">
        <f>Test_Data!R8</f>
        <v>45.922488</v>
      </c>
      <c r="E32" s="117">
        <f t="shared" si="23"/>
        <v>0.377608617755443</v>
      </c>
      <c r="F32" s="117">
        <f t="shared" si="23"/>
        <v>0.405593621014036</v>
      </c>
      <c r="G32" s="117">
        <f t="shared" si="23"/>
        <v>0.368124693880659</v>
      </c>
      <c r="H32" s="117">
        <f t="shared" si="24"/>
        <v>0.739373794625561</v>
      </c>
      <c r="I32" s="117">
        <f t="shared" si="24"/>
        <v>0.740224926155901</v>
      </c>
      <c r="J32" s="117">
        <f t="shared" si="24"/>
        <v>0.741043244584984</v>
      </c>
      <c r="K32" s="117">
        <f t="shared" si="25"/>
        <v>69.8660914340845</v>
      </c>
      <c r="L32" s="117">
        <f t="shared" si="26"/>
        <v>-0.425565765170222</v>
      </c>
      <c r="M32" s="117">
        <f t="shared" si="27"/>
        <v>-0.163663685816551</v>
      </c>
      <c r="N32" s="123" t="str">
        <f t="shared" si="28"/>
        <v>5-Gray5 (160, 160, 160)</v>
      </c>
      <c r="O32" s="124">
        <f>K32-[1]Reference!B39</f>
        <v>3.99827801400907</v>
      </c>
      <c r="P32" s="124">
        <f>L32-[1]Reference!C39</f>
        <v>-0.425565765170166</v>
      </c>
      <c r="Q32" s="124">
        <f>M32-[1]Reference!D39</f>
        <v>-0.163663685816551</v>
      </c>
      <c r="R32" s="124" t="str">
        <f t="shared" si="29"/>
        <v>lighter</v>
      </c>
      <c r="S32" s="124" t="str">
        <f t="shared" si="30"/>
        <v>about the same</v>
      </c>
      <c r="T32" s="124" t="str">
        <f t="shared" si="31"/>
        <v>about the same</v>
      </c>
      <c r="U32" s="124">
        <f t="shared" si="18"/>
        <v>4.02419173249092</v>
      </c>
      <c r="V32" s="124">
        <f t="shared" si="32"/>
        <v>16.1941190998483</v>
      </c>
      <c r="W32" s="117">
        <f t="shared" si="19"/>
        <v>0.455951776550958</v>
      </c>
      <c r="X32" s="117">
        <f>W32-[1]Reference!E39</f>
        <v>0.455951776550903</v>
      </c>
      <c r="Y32" s="117">
        <f t="shared" si="20"/>
        <v>8.73658016291155e-8</v>
      </c>
      <c r="Z32" s="117">
        <f t="shared" si="21"/>
        <v>3.99827801400907</v>
      </c>
      <c r="AA32" s="117">
        <f>X32/(1+0.045*ABS([1]Reference!E39))</f>
        <v>0.455951776550902</v>
      </c>
      <c r="AB32" s="117">
        <f>Y32/(1+0.015*ABS([1]Reference!E39))</f>
        <v>8.73658016291154e-8</v>
      </c>
      <c r="AC32" s="117">
        <f t="shared" si="33"/>
        <v>4.02419173249092</v>
      </c>
      <c r="AD32" s="123" t="str">
        <f t="shared" si="22"/>
        <v>5-Gray5 (160, 160, 160)</v>
      </c>
    </row>
    <row r="33" s="31" customFormat="1" spans="1:30">
      <c r="A33" s="3" t="s">
        <v>55</v>
      </c>
      <c r="B33" s="31">
        <f>Test_Data!P9</f>
        <v>70.678455</v>
      </c>
      <c r="C33" s="31">
        <f>Test_Data!Q9</f>
        <v>76.005401</v>
      </c>
      <c r="D33" s="31">
        <f>Test_Data!R9</f>
        <v>69.108375</v>
      </c>
      <c r="E33" s="117">
        <f t="shared" si="23"/>
        <v>0.566573932379991</v>
      </c>
      <c r="F33" s="117">
        <f t="shared" si="23"/>
        <v>0.609275894990745</v>
      </c>
      <c r="G33" s="117">
        <f t="shared" si="23"/>
        <v>0.553987828173962</v>
      </c>
      <c r="H33" s="117">
        <f t="shared" si="24"/>
        <v>0.846451900831714</v>
      </c>
      <c r="I33" s="117">
        <f t="shared" si="24"/>
        <v>0.847756897777439</v>
      </c>
      <c r="J33" s="117">
        <f t="shared" si="24"/>
        <v>0.849203893150094</v>
      </c>
      <c r="K33" s="117">
        <f t="shared" si="25"/>
        <v>82.339800142183</v>
      </c>
      <c r="L33" s="117">
        <f t="shared" si="26"/>
        <v>-0.652498472862695</v>
      </c>
      <c r="M33" s="117">
        <f t="shared" si="27"/>
        <v>-0.289399074530849</v>
      </c>
      <c r="N33" s="123" t="str">
        <f t="shared" si="28"/>
        <v>6-Gray6 (192, 192, 192)</v>
      </c>
      <c r="O33" s="124">
        <f>K33-[1]Reference!B40</f>
        <v>4.63543655223026</v>
      </c>
      <c r="P33" s="124">
        <f>L33-[1]Reference!C40</f>
        <v>-0.652498472862695</v>
      </c>
      <c r="Q33" s="124">
        <f>M33-[1]Reference!D40</f>
        <v>-0.289399074530849</v>
      </c>
      <c r="R33" s="124" t="str">
        <f t="shared" si="29"/>
        <v>lighter</v>
      </c>
      <c r="S33" s="124" t="str">
        <f t="shared" si="30"/>
        <v>about the same</v>
      </c>
      <c r="T33" s="124" t="str">
        <f t="shared" si="31"/>
        <v>about the same</v>
      </c>
      <c r="U33" s="124">
        <f t="shared" si="18"/>
        <v>4.69007229274558</v>
      </c>
      <c r="V33" s="124">
        <f t="shared" si="32"/>
        <v>21.9967781111798</v>
      </c>
      <c r="W33" s="117">
        <f t="shared" si="19"/>
        <v>0.713796946916601</v>
      </c>
      <c r="X33" s="117">
        <f>W33-[1]Reference!E40</f>
        <v>0.713796946916601</v>
      </c>
      <c r="Y33" s="117">
        <f t="shared" si="20"/>
        <v>0</v>
      </c>
      <c r="Z33" s="117">
        <f t="shared" si="21"/>
        <v>4.63543655223026</v>
      </c>
      <c r="AA33" s="117">
        <f>X33/(1+0.045*ABS([1]Reference!E40))</f>
        <v>0.713796946916601</v>
      </c>
      <c r="AB33" s="117">
        <f>Y33/(1+0.015*ABS([1]Reference!E40))</f>
        <v>0</v>
      </c>
      <c r="AC33" s="117">
        <f t="shared" si="33"/>
        <v>4.69007229274558</v>
      </c>
      <c r="AD33" s="123" t="str">
        <f t="shared" si="22"/>
        <v>6-Gray6 (192, 192, 192)</v>
      </c>
    </row>
    <row r="34" s="31" customFormat="1" spans="1:30">
      <c r="A34" s="3" t="s">
        <v>56</v>
      </c>
      <c r="B34" s="31">
        <f>Test_Data!P10</f>
        <v>99.336458</v>
      </c>
      <c r="C34" s="31">
        <f>Test_Data!Q10</f>
        <v>107.07057</v>
      </c>
      <c r="D34" s="31">
        <f>Test_Data!R10</f>
        <v>97.643882</v>
      </c>
      <c r="E34" s="117">
        <f t="shared" si="23"/>
        <v>0.796302743711076</v>
      </c>
      <c r="F34" s="117">
        <f t="shared" si="23"/>
        <v>0.858301074734403</v>
      </c>
      <c r="G34" s="117">
        <f t="shared" si="23"/>
        <v>0.782734684814316</v>
      </c>
      <c r="H34" s="117">
        <f t="shared" si="24"/>
        <v>0.948148055986808</v>
      </c>
      <c r="I34" s="117">
        <f t="shared" si="24"/>
        <v>0.950341917454451</v>
      </c>
      <c r="J34" s="117">
        <f t="shared" si="24"/>
        <v>0.952906073902627</v>
      </c>
      <c r="K34" s="117">
        <f t="shared" si="25"/>
        <v>94.2396624247163</v>
      </c>
      <c r="L34" s="117">
        <f t="shared" si="26"/>
        <v>-1.09693073382122</v>
      </c>
      <c r="M34" s="117">
        <f t="shared" si="27"/>
        <v>-0.512831289635263</v>
      </c>
      <c r="N34" s="123" t="str">
        <f t="shared" si="28"/>
        <v>7-Gray7 (224, 224, 224)</v>
      </c>
      <c r="O34" s="124">
        <f>K34-[1]Reference!B41</f>
        <v>5.06238219568935</v>
      </c>
      <c r="P34" s="124">
        <f>L34-[1]Reference!C41</f>
        <v>-1.09693073382122</v>
      </c>
      <c r="Q34" s="124">
        <f>M34-[1]Reference!D41</f>
        <v>-0.512831289635263</v>
      </c>
      <c r="R34" s="124" t="str">
        <f t="shared" si="29"/>
        <v>lighter</v>
      </c>
      <c r="S34" s="124" t="str">
        <f t="shared" si="30"/>
        <v>about the same</v>
      </c>
      <c r="T34" s="124" t="str">
        <f t="shared" si="31"/>
        <v>about the same</v>
      </c>
      <c r="U34" s="124">
        <f t="shared" si="18"/>
        <v>5.20518649633835</v>
      </c>
      <c r="V34" s="124">
        <f t="shared" si="32"/>
        <v>27.0939664616631</v>
      </c>
      <c r="W34" s="117">
        <f t="shared" si="19"/>
        <v>1.21088932872931</v>
      </c>
      <c r="X34" s="117">
        <f>W34-[1]Reference!E41</f>
        <v>1.21088932872931</v>
      </c>
      <c r="Y34" s="117">
        <f t="shared" si="20"/>
        <v>5.96046447753906e-8</v>
      </c>
      <c r="Z34" s="117">
        <f t="shared" si="21"/>
        <v>5.06238219568935</v>
      </c>
      <c r="AA34" s="117">
        <f>X34/(1+0.045*ABS([1]Reference!E41))</f>
        <v>1.21088932872931</v>
      </c>
      <c r="AB34" s="117">
        <f>Y34/(1+0.015*ABS([1]Reference!E41))</f>
        <v>5.96046447753906e-8</v>
      </c>
      <c r="AC34" s="117">
        <f t="shared" si="33"/>
        <v>5.20518649633835</v>
      </c>
      <c r="AD34" s="123" t="str">
        <f t="shared" si="22"/>
        <v>7-Gray7 (224, 224, 224)</v>
      </c>
    </row>
    <row r="35" s="31" customFormat="1" spans="1:30">
      <c r="A35" s="3" t="s">
        <v>57</v>
      </c>
      <c r="B35" s="31">
        <f>Test_Data!P11</f>
        <v>116.54139</v>
      </c>
      <c r="C35" s="31">
        <f>Test_Data!Q11</f>
        <v>124.7471</v>
      </c>
      <c r="D35" s="31">
        <f>Test_Data!R11</f>
        <v>112.84823</v>
      </c>
      <c r="E35" s="117">
        <f t="shared" si="23"/>
        <v>0.934221236405496</v>
      </c>
      <c r="F35" s="117">
        <f t="shared" si="23"/>
        <v>1</v>
      </c>
      <c r="G35" s="117">
        <f t="shared" si="23"/>
        <v>0.904616059210996</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24.760121</v>
      </c>
      <c r="C36" s="31">
        <f>Test_Data!Q12</f>
        <v>12.308322</v>
      </c>
      <c r="D36" s="31">
        <f>Test_Data!R12</f>
        <v>0.9473802</v>
      </c>
      <c r="E36" s="117">
        <f t="shared" si="23"/>
        <v>0.19848253787062</v>
      </c>
      <c r="F36" s="117">
        <f t="shared" si="23"/>
        <v>0.0986661974506822</v>
      </c>
      <c r="G36" s="117">
        <f t="shared" si="23"/>
        <v>0.00759440660344008</v>
      </c>
      <c r="H36" s="117">
        <f t="shared" si="24"/>
        <v>0.596702040558777</v>
      </c>
      <c r="I36" s="117">
        <f t="shared" si="24"/>
        <v>0.462085985399247</v>
      </c>
      <c r="J36" s="117">
        <f t="shared" si="24"/>
        <v>0.203304231894893</v>
      </c>
      <c r="K36" s="117">
        <f t="shared" si="25"/>
        <v>37.6019743063127</v>
      </c>
      <c r="L36" s="117">
        <f t="shared" si="26"/>
        <v>67.3080275797649</v>
      </c>
      <c r="M36" s="117">
        <f t="shared" si="27"/>
        <v>51.7563507008708</v>
      </c>
      <c r="N36" s="123" t="str">
        <f t="shared" si="28"/>
        <v>9-Red1 (128, 0, 0)</v>
      </c>
      <c r="O36" s="124">
        <f>K36-[1]Reference!B43</f>
        <v>12.0711897338965</v>
      </c>
      <c r="P36" s="124">
        <f>L36-[1]Reference!C43</f>
        <v>19.2551804835399</v>
      </c>
      <c r="Q36" s="124">
        <f>M36-[1]Reference!D43</f>
        <v>13.6957878846336</v>
      </c>
      <c r="R36" s="124" t="str">
        <f t="shared" si="29"/>
        <v>lighter</v>
      </c>
      <c r="S36" s="124" t="str">
        <f t="shared" si="30"/>
        <v>redder</v>
      </c>
      <c r="T36" s="124" t="str">
        <f t="shared" si="31"/>
        <v>yellower</v>
      </c>
      <c r="U36" s="124">
        <f t="shared" si="18"/>
        <v>26.5339443510817</v>
      </c>
      <c r="V36" s="124">
        <f t="shared" si="32"/>
        <v>185.453568727297</v>
      </c>
      <c r="W36" s="117">
        <f t="shared" si="19"/>
        <v>84.9063626270135</v>
      </c>
      <c r="X36" s="117">
        <f>W36-[1]Reference!E43</f>
        <v>23.6064233452988</v>
      </c>
      <c r="Y36" s="117">
        <f t="shared" si="20"/>
        <v>1.0360299595599</v>
      </c>
      <c r="Z36" s="117">
        <f t="shared" si="21"/>
        <v>12.0711897338965</v>
      </c>
      <c r="AA36" s="117">
        <f>X36/(1+0.045*ABS([1]Reference!E43))</f>
        <v>6.28081428934711</v>
      </c>
      <c r="AB36" s="117">
        <f>Y36/(1+0.015*ABS([1]Reference!E43))</f>
        <v>0.539739750529297</v>
      </c>
      <c r="AC36" s="117">
        <f t="shared" si="33"/>
        <v>13.6181338195546</v>
      </c>
      <c r="AD36" s="123" t="str">
        <f t="shared" si="22"/>
        <v>9-Red1 (128, 0, 0)</v>
      </c>
    </row>
    <row r="37" s="31" customFormat="1" spans="1:30">
      <c r="A37" s="3" t="s">
        <v>59</v>
      </c>
      <c r="B37" s="31">
        <f>Test_Data!P13</f>
        <v>65.164388</v>
      </c>
      <c r="C37" s="31">
        <f>Test_Data!Q13</f>
        <v>39.220307</v>
      </c>
      <c r="D37" s="31">
        <f>Test_Data!R13</f>
        <v>12.600454</v>
      </c>
      <c r="E37" s="117">
        <f t="shared" si="23"/>
        <v>0.522371966963561</v>
      </c>
      <c r="F37" s="117">
        <f t="shared" si="23"/>
        <v>0.314398547140575</v>
      </c>
      <c r="G37" s="117">
        <f t="shared" si="23"/>
        <v>0.101007991368136</v>
      </c>
      <c r="H37" s="117">
        <f t="shared" si="24"/>
        <v>0.823840950867855</v>
      </c>
      <c r="I37" s="117">
        <f t="shared" si="24"/>
        <v>0.679975883761634</v>
      </c>
      <c r="J37" s="117">
        <f t="shared" si="24"/>
        <v>0.481537906726118</v>
      </c>
      <c r="K37" s="117">
        <f t="shared" si="25"/>
        <v>62.8772025163496</v>
      </c>
      <c r="L37" s="117">
        <f t="shared" si="26"/>
        <v>71.9325335531103</v>
      </c>
      <c r="M37" s="117">
        <f t="shared" si="27"/>
        <v>39.6875954071034</v>
      </c>
      <c r="N37" s="123" t="str">
        <f t="shared" si="28"/>
        <v>10-Red2 (192, 64, 64)</v>
      </c>
      <c r="O37" s="124">
        <f>K37-[1]Reference!B44</f>
        <v>16.911386570863</v>
      </c>
      <c r="P37" s="124">
        <f>L37-[1]Reference!C44</f>
        <v>20.8336674075448</v>
      </c>
      <c r="Q37" s="124">
        <f>M37-[1]Reference!D44</f>
        <v>11.017807733986</v>
      </c>
      <c r="R37" s="124" t="str">
        <f t="shared" si="29"/>
        <v>lighter</v>
      </c>
      <c r="S37" s="124" t="str">
        <f t="shared" si="30"/>
        <v>redder</v>
      </c>
      <c r="T37" s="124" t="str">
        <f t="shared" si="31"/>
        <v>yellower</v>
      </c>
      <c r="U37" s="124">
        <f t="shared" si="18"/>
        <v>29.0073918279538</v>
      </c>
      <c r="V37" s="124">
        <f t="shared" si="32"/>
        <v>328.04379169232</v>
      </c>
      <c r="W37" s="117">
        <f t="shared" si="19"/>
        <v>82.1546992725752</v>
      </c>
      <c r="X37" s="117">
        <f>W37-[1]Reference!E44</f>
        <v>23.5624570677914</v>
      </c>
      <c r="Y37" s="117">
        <f t="shared" si="20"/>
        <v>0.494370144491187</v>
      </c>
      <c r="Z37" s="117">
        <f t="shared" si="21"/>
        <v>16.911386570863</v>
      </c>
      <c r="AA37" s="117">
        <f>X37/(1+0.045*ABS([1]Reference!E44))</f>
        <v>6.47916385729402</v>
      </c>
      <c r="AB37" s="117">
        <f>Y37/(1+0.015*ABS([1]Reference!E44))</f>
        <v>0.263119086136776</v>
      </c>
      <c r="AC37" s="117">
        <f t="shared" si="33"/>
        <v>18.111979231777</v>
      </c>
      <c r="AD37" s="123" t="str">
        <f t="shared" si="22"/>
        <v>10-Red2 (192, 64, 64)</v>
      </c>
    </row>
    <row r="38" s="31" customFormat="1" spans="1:30">
      <c r="A38" s="3" t="s">
        <v>60</v>
      </c>
      <c r="B38" s="31">
        <f>Test_Data!P14</f>
        <v>48.005142</v>
      </c>
      <c r="C38" s="31">
        <f>Test_Data!Q14</f>
        <v>24.174732</v>
      </c>
      <c r="D38" s="31">
        <f>Test_Data!R14</f>
        <v>2.3317503</v>
      </c>
      <c r="E38" s="117">
        <f t="shared" si="23"/>
        <v>0.384819703223562</v>
      </c>
      <c r="F38" s="117">
        <f t="shared" si="23"/>
        <v>0.193789931789998</v>
      </c>
      <c r="G38" s="117">
        <f t="shared" si="23"/>
        <v>0.018691819689596</v>
      </c>
      <c r="H38" s="117">
        <f t="shared" si="24"/>
        <v>0.744050686413616</v>
      </c>
      <c r="I38" s="117">
        <f t="shared" si="24"/>
        <v>0.578687013883147</v>
      </c>
      <c r="J38" s="117">
        <f t="shared" si="24"/>
        <v>0.274407364818415</v>
      </c>
      <c r="K38" s="117">
        <f t="shared" si="25"/>
        <v>51.1276936104451</v>
      </c>
      <c r="L38" s="117">
        <f t="shared" si="26"/>
        <v>82.6818362652346</v>
      </c>
      <c r="M38" s="117">
        <f t="shared" si="27"/>
        <v>60.8559298129463</v>
      </c>
      <c r="N38" s="123" t="str">
        <f t="shared" si="28"/>
        <v>11-Red3 (255, 0, 0)</v>
      </c>
      <c r="O38" s="124">
        <f>K38-[1]Reference!B45</f>
        <v>-2.10518817539739</v>
      </c>
      <c r="P38" s="124">
        <f>L38-[1]Reference!C45</f>
        <v>2.57650917503283</v>
      </c>
      <c r="Q38" s="124">
        <f>M38-[1]Reference!D45</f>
        <v>-6.36685213248987</v>
      </c>
      <c r="R38" s="124" t="str">
        <f t="shared" si="29"/>
        <v>about the same</v>
      </c>
      <c r="S38" s="124" t="str">
        <f t="shared" si="30"/>
        <v>about the same</v>
      </c>
      <c r="T38" s="124" t="str">
        <f t="shared" si="31"/>
        <v>bluer</v>
      </c>
      <c r="U38" s="124">
        <f t="shared" si="18"/>
        <v>7.18380281326347</v>
      </c>
      <c r="V38" s="124">
        <f t="shared" si="32"/>
        <v>11.1406399628477</v>
      </c>
      <c r="W38" s="117">
        <f t="shared" si="19"/>
        <v>102.663188347086</v>
      </c>
      <c r="X38" s="117">
        <f>W38-[1]Reference!E45</f>
        <v>-1.91102377383709</v>
      </c>
      <c r="Y38" s="117">
        <f t="shared" si="20"/>
        <v>6.59721105785229</v>
      </c>
      <c r="Z38" s="117">
        <f t="shared" si="21"/>
        <v>-2.10518817539739</v>
      </c>
      <c r="AA38" s="117">
        <f>X38/(1+0.045*ABS([1]Reference!E45))</f>
        <v>-0.334924205038998</v>
      </c>
      <c r="AB38" s="117">
        <f>Y38/(1+0.015*ABS([1]Reference!E45))</f>
        <v>2.56839414535497</v>
      </c>
      <c r="AC38" s="117">
        <f t="shared" si="33"/>
        <v>3.33775972215612</v>
      </c>
      <c r="AD38" s="123" t="str">
        <f t="shared" si="22"/>
        <v>11-Red3 (255, 0, 0)</v>
      </c>
    </row>
    <row r="39" s="31" customFormat="1" spans="1:30">
      <c r="A39" s="3" t="s">
        <v>61</v>
      </c>
      <c r="B39" s="31">
        <f>Test_Data!P15</f>
        <v>90.046663</v>
      </c>
      <c r="C39" s="31">
        <f>Test_Data!Q15</f>
        <v>63.874287</v>
      </c>
      <c r="D39" s="31">
        <f>Test_Data!R15</f>
        <v>33.561929</v>
      </c>
      <c r="E39" s="117">
        <f t="shared" si="23"/>
        <v>0.721833717978213</v>
      </c>
      <c r="F39" s="117">
        <f t="shared" si="23"/>
        <v>0.512030235572611</v>
      </c>
      <c r="G39" s="117">
        <f t="shared" si="23"/>
        <v>0.269039753228732</v>
      </c>
      <c r="H39" s="117">
        <f t="shared" si="24"/>
        <v>0.917619167141151</v>
      </c>
      <c r="I39" s="117">
        <f t="shared" si="24"/>
        <v>0.800015747384091</v>
      </c>
      <c r="J39" s="117">
        <f t="shared" si="24"/>
        <v>0.667499155970954</v>
      </c>
      <c r="K39" s="117">
        <f t="shared" si="25"/>
        <v>76.8018266965545</v>
      </c>
      <c r="L39" s="117">
        <f t="shared" si="26"/>
        <v>58.8017098785302</v>
      </c>
      <c r="M39" s="117">
        <f t="shared" si="27"/>
        <v>26.5033182826274</v>
      </c>
      <c r="N39" s="123" t="str">
        <f t="shared" si="28"/>
        <v>12-Red4 (255, 128, 128)</v>
      </c>
      <c r="O39" s="124">
        <f>K39-[1]Reference!B46</f>
        <v>8.5923282928114</v>
      </c>
      <c r="P39" s="124">
        <f>L39-[1]Reference!C46</f>
        <v>10.6089132071634</v>
      </c>
      <c r="Q39" s="124">
        <f>M39-[1]Reference!D46</f>
        <v>3.80996992510425</v>
      </c>
      <c r="R39" s="124" t="str">
        <f t="shared" si="29"/>
        <v>lighter</v>
      </c>
      <c r="S39" s="124" t="str">
        <f t="shared" si="30"/>
        <v>redder</v>
      </c>
      <c r="T39" s="124" t="str">
        <f t="shared" si="31"/>
        <v>yellower</v>
      </c>
      <c r="U39" s="124">
        <f t="shared" si="18"/>
        <v>14.1736733332884</v>
      </c>
      <c r="V39" s="124">
        <f t="shared" si="32"/>
        <v>85.0500428971292</v>
      </c>
      <c r="W39" s="117">
        <f t="shared" si="19"/>
        <v>64.4985811055491</v>
      </c>
      <c r="X39" s="117">
        <f>W39-[1]Reference!E46</f>
        <v>11.2300753006778</v>
      </c>
      <c r="Y39" s="117">
        <f t="shared" si="20"/>
        <v>0.974843068617315</v>
      </c>
      <c r="Z39" s="117">
        <f t="shared" si="21"/>
        <v>8.5923282928114</v>
      </c>
      <c r="AA39" s="117">
        <f>X39/(1+0.045*ABS([1]Reference!E46))</f>
        <v>3.30579973760997</v>
      </c>
      <c r="AB39" s="117">
        <f>Y39/(1+0.015*ABS([1]Reference!E46))</f>
        <v>0.541872217870398</v>
      </c>
      <c r="AC39" s="117">
        <f t="shared" si="33"/>
        <v>9.22225801510288</v>
      </c>
      <c r="AD39" s="123" t="str">
        <f t="shared" si="22"/>
        <v>12-Red4 (255, 128, 128)</v>
      </c>
    </row>
    <row r="40" s="31" customFormat="1" spans="1:30">
      <c r="A40" s="3" t="s">
        <v>62</v>
      </c>
      <c r="B40" s="31">
        <f>Test_Data!P16</f>
        <v>18.333779</v>
      </c>
      <c r="C40" s="31">
        <f>Test_Data!Q16</f>
        <v>38.369293</v>
      </c>
      <c r="D40" s="31">
        <f>Test_Data!R16</f>
        <v>5.7729248</v>
      </c>
      <c r="E40" s="117">
        <f t="shared" si="23"/>
        <v>0.146967576801385</v>
      </c>
      <c r="F40" s="117">
        <f t="shared" si="23"/>
        <v>0.307576633043975</v>
      </c>
      <c r="G40" s="117">
        <f t="shared" si="23"/>
        <v>0.0462770260791634</v>
      </c>
      <c r="H40" s="117">
        <f t="shared" si="24"/>
        <v>0.539830310922444</v>
      </c>
      <c r="I40" s="117">
        <f t="shared" si="24"/>
        <v>0.675021770157649</v>
      </c>
      <c r="J40" s="117">
        <f t="shared" si="24"/>
        <v>0.371222008536745</v>
      </c>
      <c r="K40" s="117">
        <f t="shared" si="25"/>
        <v>62.3025253382873</v>
      </c>
      <c r="L40" s="117">
        <f t="shared" si="26"/>
        <v>-67.5957296176022</v>
      </c>
      <c r="M40" s="117">
        <f t="shared" si="27"/>
        <v>60.7599523241807</v>
      </c>
      <c r="N40" s="123" t="str">
        <f t="shared" si="28"/>
        <v>13-Green1 (0, 128, 0)</v>
      </c>
      <c r="O40" s="124">
        <f>K40-[1]Reference!B47</f>
        <v>16.0737074956607</v>
      </c>
      <c r="P40" s="124">
        <f>L40-[1]Reference!C47</f>
        <v>-15.8938042222515</v>
      </c>
      <c r="Q40" s="124">
        <f>M40-[1]Reference!D47</f>
        <v>10.8590133792199</v>
      </c>
      <c r="R40" s="124" t="str">
        <f t="shared" si="29"/>
        <v>lighter</v>
      </c>
      <c r="S40" s="124" t="str">
        <f t="shared" si="30"/>
        <v>greener</v>
      </c>
      <c r="T40" s="124" t="str">
        <f t="shared" si="31"/>
        <v>yellower</v>
      </c>
      <c r="U40" s="124">
        <f t="shared" si="18"/>
        <v>25.0777841302096</v>
      </c>
      <c r="V40" s="124">
        <f t="shared" si="32"/>
        <v>280.483775516417</v>
      </c>
      <c r="W40" s="117">
        <f t="shared" si="19"/>
        <v>90.8897929856411</v>
      </c>
      <c r="X40" s="117">
        <f>W40-[1]Reference!E47</f>
        <v>19.0344327320378</v>
      </c>
      <c r="Y40" s="117">
        <f t="shared" si="20"/>
        <v>2.86732537303743</v>
      </c>
      <c r="Z40" s="117">
        <f t="shared" si="21"/>
        <v>16.0737074956607</v>
      </c>
      <c r="AA40" s="117">
        <f>X40/(1+0.045*ABS([1]Reference!E47))</f>
        <v>4.49615501284779</v>
      </c>
      <c r="AB40" s="117">
        <f>Y40/(1+0.015*ABS([1]Reference!E47))</f>
        <v>1.37996121713687</v>
      </c>
      <c r="AC40" s="117">
        <f t="shared" si="33"/>
        <v>16.7476498505437</v>
      </c>
      <c r="AD40" s="123" t="str">
        <f t="shared" si="22"/>
        <v>13-Green1 (0, 128, 0)</v>
      </c>
    </row>
    <row r="41" s="31" customFormat="1" spans="1:30">
      <c r="A41" s="3" t="s">
        <v>63</v>
      </c>
      <c r="B41" s="31">
        <f>Test_Data!P17</f>
        <v>42.29488</v>
      </c>
      <c r="C41" s="31">
        <f>Test_Data!Q17</f>
        <v>78.451398</v>
      </c>
      <c r="D41" s="31">
        <f>Test_Data!R17</f>
        <v>18.9148</v>
      </c>
      <c r="E41" s="117">
        <f t="shared" si="23"/>
        <v>0.339044995835575</v>
      </c>
      <c r="F41" s="117">
        <f t="shared" si="23"/>
        <v>0.628883541180516</v>
      </c>
      <c r="G41" s="117">
        <f t="shared" si="23"/>
        <v>0.151625168039978</v>
      </c>
      <c r="H41" s="117">
        <f t="shared" si="24"/>
        <v>0.713295035152665</v>
      </c>
      <c r="I41" s="117">
        <f t="shared" si="24"/>
        <v>0.856755187951604</v>
      </c>
      <c r="J41" s="117">
        <f t="shared" si="24"/>
        <v>0.551360522456935</v>
      </c>
      <c r="K41" s="117">
        <f t="shared" si="25"/>
        <v>83.383601802386</v>
      </c>
      <c r="L41" s="117">
        <f t="shared" si="26"/>
        <v>-71.7300763994692</v>
      </c>
      <c r="M41" s="117">
        <f t="shared" si="27"/>
        <v>61.0789330989338</v>
      </c>
      <c r="N41" s="123" t="str">
        <f t="shared" si="28"/>
        <v>14-Green2 (64, 192, 64)</v>
      </c>
      <c r="O41" s="124">
        <f>K41-[1]Reference!B48</f>
        <v>14.5170085486079</v>
      </c>
      <c r="P41" s="124">
        <f>L41-[1]Reference!C48</f>
        <v>-12.4023592406619</v>
      </c>
      <c r="Q41" s="124">
        <f>M41-[1]Reference!D48</f>
        <v>8.61566981168798</v>
      </c>
      <c r="R41" s="124" t="str">
        <f t="shared" si="29"/>
        <v>lighter</v>
      </c>
      <c r="S41" s="124" t="str">
        <f t="shared" si="30"/>
        <v>greener</v>
      </c>
      <c r="T41" s="124" t="str">
        <f t="shared" si="31"/>
        <v>yellower</v>
      </c>
      <c r="U41" s="124">
        <f t="shared" si="18"/>
        <v>20.9473582639629</v>
      </c>
      <c r="V41" s="124">
        <f t="shared" si="32"/>
        <v>222.111959349723</v>
      </c>
      <c r="W41" s="117">
        <f t="shared" si="19"/>
        <v>94.2116761807034</v>
      </c>
      <c r="X41" s="117">
        <f>W41-[1]Reference!E48</f>
        <v>15.014630667488</v>
      </c>
      <c r="Y41" s="117">
        <f t="shared" si="20"/>
        <v>1.61528541050552</v>
      </c>
      <c r="Z41" s="117">
        <f t="shared" si="21"/>
        <v>14.5170085486079</v>
      </c>
      <c r="AA41" s="117">
        <f>X41/(1+0.045*ABS([1]Reference!E48))</f>
        <v>3.28989221405041</v>
      </c>
      <c r="AB41" s="117">
        <f>Y41/(1+0.015*ABS([1]Reference!E48))</f>
        <v>0.738262398675974</v>
      </c>
      <c r="AC41" s="117">
        <f t="shared" si="33"/>
        <v>14.9034210619483</v>
      </c>
      <c r="AD41" s="123" t="str">
        <f t="shared" si="22"/>
        <v>14-Green2 (64, 192, 64)</v>
      </c>
    </row>
    <row r="42" s="31" customFormat="1" spans="1:30">
      <c r="A42" s="3" t="s">
        <v>64</v>
      </c>
      <c r="B42" s="31">
        <f>Test_Data!P18</f>
        <v>66.799346</v>
      </c>
      <c r="C42" s="31">
        <f>Test_Data!Q18</f>
        <v>133.56137</v>
      </c>
      <c r="D42" s="31">
        <f>Test_Data!R18</f>
        <v>22.16035</v>
      </c>
      <c r="E42" s="117">
        <f t="shared" si="23"/>
        <v>0.535478147387795</v>
      </c>
      <c r="F42" s="117">
        <f t="shared" si="23"/>
        <v>1.07065711347198</v>
      </c>
      <c r="G42" s="117">
        <f t="shared" si="23"/>
        <v>0.177642205710594</v>
      </c>
      <c r="H42" s="117">
        <f t="shared" si="24"/>
        <v>0.830674105160799</v>
      </c>
      <c r="I42" s="117">
        <f t="shared" si="24"/>
        <v>1.02301845638504</v>
      </c>
      <c r="J42" s="117">
        <f t="shared" si="24"/>
        <v>0.581246861959139</v>
      </c>
      <c r="K42" s="117">
        <f t="shared" si="25"/>
        <v>102.670140940665</v>
      </c>
      <c r="L42" s="117">
        <f t="shared" si="26"/>
        <v>-96.1721756121227</v>
      </c>
      <c r="M42" s="117">
        <f t="shared" si="27"/>
        <v>88.3543188851811</v>
      </c>
      <c r="N42" s="123" t="str">
        <f t="shared" si="28"/>
        <v>15-Green3 (0, 255, 0)</v>
      </c>
      <c r="O42" s="124">
        <f>K42-[1]Reference!B49</f>
        <v>14.9331074671209</v>
      </c>
      <c r="P42" s="124">
        <f>L42-[1]Reference!C49</f>
        <v>-9.98374151800307</v>
      </c>
      <c r="Q42" s="124">
        <f>M42-[1]Reference!D49</f>
        <v>5.16817534014429</v>
      </c>
      <c r="R42" s="124" t="str">
        <f t="shared" si="29"/>
        <v>lighter</v>
      </c>
      <c r="S42" s="124" t="str">
        <f t="shared" si="30"/>
        <v>greener</v>
      </c>
      <c r="T42" s="124" t="str">
        <f t="shared" si="31"/>
        <v>yellower</v>
      </c>
      <c r="U42" s="124">
        <f t="shared" si="18"/>
        <v>18.6917850851479</v>
      </c>
      <c r="V42" s="124">
        <f t="shared" si="32"/>
        <v>227.072480509563</v>
      </c>
      <c r="W42" s="117">
        <f t="shared" si="19"/>
        <v>130.596987054194</v>
      </c>
      <c r="X42" s="117">
        <f>W42-[1]Reference!E49</f>
        <v>10.8122607762083</v>
      </c>
      <c r="Y42" s="117">
        <f t="shared" si="20"/>
        <v>3.07898488986878</v>
      </c>
      <c r="Z42" s="117">
        <f t="shared" si="21"/>
        <v>14.9331074671209</v>
      </c>
      <c r="AA42" s="117">
        <f>X42/(1+0.045*ABS([1]Reference!E49))</f>
        <v>1.69197679572114</v>
      </c>
      <c r="AB42" s="117">
        <f>Y42/(1+0.015*ABS([1]Reference!E49))</f>
        <v>1.10090708405444</v>
      </c>
      <c r="AC42" s="117">
        <f t="shared" si="33"/>
        <v>15.0689243315362</v>
      </c>
      <c r="AD42" s="123" t="str">
        <f t="shared" si="22"/>
        <v>15-Green3 (0, 255, 0)</v>
      </c>
    </row>
    <row r="43" s="31" customFormat="1" spans="1:30">
      <c r="A43" s="3" t="s">
        <v>65</v>
      </c>
      <c r="B43" s="31">
        <f>Test_Data!P19</f>
        <v>87.76008</v>
      </c>
      <c r="C43" s="31">
        <f>Test_Data!Q19</f>
        <v>142.47505</v>
      </c>
      <c r="D43" s="31">
        <f>Test_Data!R19</f>
        <v>51.998686</v>
      </c>
      <c r="E43" s="117">
        <f t="shared" si="23"/>
        <v>0.703503969230547</v>
      </c>
      <c r="F43" s="117">
        <f t="shared" si="23"/>
        <v>1.1421111192164</v>
      </c>
      <c r="G43" s="117">
        <f t="shared" si="23"/>
        <v>0.41683282416986</v>
      </c>
      <c r="H43" s="117">
        <f t="shared" si="24"/>
        <v>0.90978534936692</v>
      </c>
      <c r="I43" s="117">
        <f t="shared" si="24"/>
        <v>1.04528837358361</v>
      </c>
      <c r="J43" s="117">
        <f t="shared" si="24"/>
        <v>0.772382702478791</v>
      </c>
      <c r="K43" s="117">
        <f t="shared" si="25"/>
        <v>105.253451335699</v>
      </c>
      <c r="L43" s="117">
        <f t="shared" si="26"/>
        <v>-67.7515121083467</v>
      </c>
      <c r="M43" s="117">
        <f t="shared" si="27"/>
        <v>54.5811342209645</v>
      </c>
      <c r="N43" s="123" t="str">
        <f t="shared" si="28"/>
        <v>16-Green4 (128, 255, 128)</v>
      </c>
      <c r="O43" s="124">
        <f>K43-[1]Reference!B50</f>
        <v>14.6253971926356</v>
      </c>
      <c r="P43" s="124">
        <f>L43-[1]Reference!C50</f>
        <v>-7.85382455239102</v>
      </c>
      <c r="Q43" s="124">
        <f>M43-[1]Reference!D50</f>
        <v>4.8773403350116</v>
      </c>
      <c r="R43" s="124" t="str">
        <f t="shared" si="29"/>
        <v>lighter</v>
      </c>
      <c r="S43" s="124" t="str">
        <f t="shared" si="30"/>
        <v>greener</v>
      </c>
      <c r="T43" s="124" t="str">
        <f t="shared" si="31"/>
        <v>yellower</v>
      </c>
      <c r="U43" s="124">
        <f t="shared" si="18"/>
        <v>17.3024059565606</v>
      </c>
      <c r="V43" s="124">
        <f t="shared" si="32"/>
        <v>218.351242195293</v>
      </c>
      <c r="W43" s="117">
        <f t="shared" si="19"/>
        <v>87.0021126514431</v>
      </c>
      <c r="X43" s="117">
        <f>W43-[1]Reference!E50</f>
        <v>9.16767232321706</v>
      </c>
      <c r="Y43" s="117">
        <f t="shared" si="20"/>
        <v>1.19364694000824</v>
      </c>
      <c r="Z43" s="117">
        <f t="shared" si="21"/>
        <v>14.6253971926356</v>
      </c>
      <c r="AA43" s="117">
        <f>X43/(1+0.045*ABS([1]Reference!E50))</f>
        <v>2.0361068062242</v>
      </c>
      <c r="AB43" s="117">
        <f>Y43/(1+0.015*ABS([1]Reference!E50))</f>
        <v>0.550697944964728</v>
      </c>
      <c r="AC43" s="117">
        <f t="shared" si="33"/>
        <v>14.7767128345682</v>
      </c>
      <c r="AD43" s="123" t="str">
        <f t="shared" si="22"/>
        <v>16-Green4 (128, 255, 128)</v>
      </c>
    </row>
    <row r="44" s="31" customFormat="1" spans="1:30">
      <c r="A44" s="3" t="s">
        <v>66</v>
      </c>
      <c r="B44" s="31">
        <f>Test_Data!P20</f>
        <v>6.7761584</v>
      </c>
      <c r="C44" s="31">
        <f>Test_Data!Q20</f>
        <v>2.5330192</v>
      </c>
      <c r="D44" s="31">
        <f>Test_Data!R20</f>
        <v>33.556424</v>
      </c>
      <c r="E44" s="117">
        <f t="shared" si="23"/>
        <v>0.0543191657361173</v>
      </c>
      <c r="F44" s="117">
        <f t="shared" si="23"/>
        <v>0.020305235151759</v>
      </c>
      <c r="G44" s="117">
        <f t="shared" si="23"/>
        <v>0.268995623946368</v>
      </c>
      <c r="H44" s="117">
        <f t="shared" si="24"/>
        <v>0.38740728691384</v>
      </c>
      <c r="I44" s="117">
        <f t="shared" si="24"/>
        <v>0.272815688461232</v>
      </c>
      <c r="J44" s="117">
        <f t="shared" si="24"/>
        <v>0.667462658428556</v>
      </c>
      <c r="K44" s="117">
        <f t="shared" si="25"/>
        <v>15.6466198615029</v>
      </c>
      <c r="L44" s="117">
        <f t="shared" si="26"/>
        <v>57.2957992263042</v>
      </c>
      <c r="M44" s="117">
        <f t="shared" si="27"/>
        <v>-78.9293939934648</v>
      </c>
      <c r="N44" s="123" t="str">
        <f t="shared" si="28"/>
        <v>17-Blue1 (0, 0, 128)</v>
      </c>
      <c r="O44" s="124">
        <f>K44-[1]Reference!B51</f>
        <v>2.67130828378638</v>
      </c>
      <c r="P44" s="124">
        <f>L44-[1]Reference!C51</f>
        <v>9.78984773166913</v>
      </c>
      <c r="Q44" s="124">
        <f>M44-[1]Reference!D51</f>
        <v>-14.2310875381643</v>
      </c>
      <c r="R44" s="124" t="str">
        <f t="shared" si="29"/>
        <v>about the same</v>
      </c>
      <c r="S44" s="124" t="str">
        <f t="shared" si="30"/>
        <v>redder</v>
      </c>
      <c r="T44" s="124" t="str">
        <f t="shared" si="31"/>
        <v>bluer</v>
      </c>
      <c r="U44" s="124">
        <f t="shared" si="18"/>
        <v>17.4785828680471</v>
      </c>
      <c r="V44" s="124">
        <f t="shared" si="32"/>
        <v>21.2000719666968</v>
      </c>
      <c r="W44" s="117">
        <f t="shared" si="19"/>
        <v>97.532855208676</v>
      </c>
      <c r="X44" s="117">
        <f>W44-[1]Reference!E51</f>
        <v>17.2665092996052</v>
      </c>
      <c r="Y44" s="117">
        <f t="shared" si="20"/>
        <v>0.482314974687797</v>
      </c>
      <c r="Z44" s="117">
        <f t="shared" si="21"/>
        <v>2.67130828378638</v>
      </c>
      <c r="AA44" s="117">
        <f>X44/(1+0.045*ABS([1]Reference!E51))</f>
        <v>3.74383420174585</v>
      </c>
      <c r="AB44" s="117">
        <f>Y44/(1+0.015*ABS([1]Reference!E51))</f>
        <v>0.218836673135515</v>
      </c>
      <c r="AC44" s="117">
        <f t="shared" si="33"/>
        <v>4.60435358836577</v>
      </c>
      <c r="AD44" s="123" t="str">
        <f t="shared" si="22"/>
        <v>17-Blue1 (0, 0, 128)</v>
      </c>
    </row>
    <row r="45" s="31" customFormat="1" spans="1:30">
      <c r="A45" s="3" t="s">
        <v>67</v>
      </c>
      <c r="B45" s="31">
        <f>Test_Data!P21</f>
        <v>21.801818</v>
      </c>
      <c r="C45" s="31">
        <f>Test_Data!Q21</f>
        <v>13.556941</v>
      </c>
      <c r="D45" s="31">
        <f>Test_Data!R21</f>
        <v>81.563875</v>
      </c>
      <c r="E45" s="117">
        <f t="shared" si="23"/>
        <v>0.17476813489051</v>
      </c>
      <c r="F45" s="117">
        <f t="shared" si="23"/>
        <v>0.10867540006942</v>
      </c>
      <c r="G45" s="117">
        <f t="shared" si="23"/>
        <v>0.653833836618246</v>
      </c>
      <c r="H45" s="117">
        <f t="shared" si="24"/>
        <v>0.571922925283889</v>
      </c>
      <c r="I45" s="117">
        <f t="shared" si="24"/>
        <v>0.477210967056759</v>
      </c>
      <c r="J45" s="117">
        <f t="shared" si="24"/>
        <v>0.897430928924322</v>
      </c>
      <c r="K45" s="117">
        <f t="shared" si="25"/>
        <v>39.3564721785841</v>
      </c>
      <c r="L45" s="117">
        <f t="shared" si="26"/>
        <v>47.3559791135649</v>
      </c>
      <c r="M45" s="117">
        <f t="shared" si="27"/>
        <v>-84.0439923735126</v>
      </c>
      <c r="N45" s="123" t="str">
        <f t="shared" si="28"/>
        <v>18-Blue2 (64, 64, 192)</v>
      </c>
      <c r="O45" s="124">
        <f>K45-[1]Reference!B52</f>
        <v>4.22844261053382</v>
      </c>
      <c r="P45" s="124">
        <f>L45-[1]Reference!C52</f>
        <v>7.10542612295223</v>
      </c>
      <c r="Q45" s="124">
        <f>M45-[1]Reference!D52</f>
        <v>-17.0724086816699</v>
      </c>
      <c r="R45" s="124" t="str">
        <f t="shared" si="29"/>
        <v>lighter</v>
      </c>
      <c r="S45" s="124" t="str">
        <f t="shared" si="30"/>
        <v>redder</v>
      </c>
      <c r="T45" s="124" t="str">
        <f t="shared" si="31"/>
        <v>bluer</v>
      </c>
      <c r="U45" s="124">
        <f t="shared" si="18"/>
        <v>18.9692895358067</v>
      </c>
      <c r="V45" s="124">
        <f t="shared" si="32"/>
        <v>35.611285499765</v>
      </c>
      <c r="W45" s="117">
        <f t="shared" si="19"/>
        <v>96.4675148010118</v>
      </c>
      <c r="X45" s="117">
        <f>W45-[1]Reference!E52</f>
        <v>18.3310953908315</v>
      </c>
      <c r="Y45" s="117">
        <f t="shared" si="20"/>
        <v>2.43416522753216</v>
      </c>
      <c r="Z45" s="117">
        <f t="shared" si="21"/>
        <v>4.22844261053382</v>
      </c>
      <c r="AA45" s="117">
        <f>X45/(1+0.045*ABS([1]Reference!E52))</f>
        <v>4.05901942001064</v>
      </c>
      <c r="AB45" s="117">
        <f>Y45/(1+0.015*ABS([1]Reference!E52))</f>
        <v>1.12067833795584</v>
      </c>
      <c r="AC45" s="117">
        <f t="shared" si="33"/>
        <v>5.96751920816054</v>
      </c>
      <c r="AD45" s="123" t="str">
        <f t="shared" si="22"/>
        <v>18-Blue2 (64, 64, 192)</v>
      </c>
    </row>
    <row r="46" s="31" customFormat="1" spans="1:30">
      <c r="A46" s="3" t="s">
        <v>68</v>
      </c>
      <c r="B46" s="31">
        <f>Test_Data!P22</f>
        <v>29.68681</v>
      </c>
      <c r="C46" s="31">
        <f>Test_Data!Q22</f>
        <v>11.679376</v>
      </c>
      <c r="D46" s="31">
        <f>Test_Data!R22</f>
        <v>147.44404</v>
      </c>
      <c r="E46" s="117">
        <f t="shared" si="23"/>
        <v>0.237975952948004</v>
      </c>
      <c r="F46" s="117">
        <f t="shared" si="23"/>
        <v>0.0936244289446408</v>
      </c>
      <c r="G46" s="117">
        <f t="shared" si="23"/>
        <v>1.18194362834888</v>
      </c>
      <c r="H46" s="117">
        <f t="shared" si="24"/>
        <v>0.63391025819436</v>
      </c>
      <c r="I46" s="117">
        <f t="shared" si="24"/>
        <v>0.454077232917312</v>
      </c>
      <c r="J46" s="117">
        <f t="shared" si="24"/>
        <v>1.09322819404402</v>
      </c>
      <c r="K46" s="117">
        <f t="shared" si="25"/>
        <v>36.6729590184082</v>
      </c>
      <c r="L46" s="117">
        <f t="shared" si="26"/>
        <v>89.9165126385237</v>
      </c>
      <c r="M46" s="117">
        <f t="shared" si="27"/>
        <v>-127.830192225342</v>
      </c>
      <c r="N46" s="123" t="str">
        <f t="shared" si="28"/>
        <v>19-Blue3 (0, 0, 255)</v>
      </c>
      <c r="O46" s="124">
        <f>K46-[1]Reference!B53</f>
        <v>4.37037235115876</v>
      </c>
      <c r="P46" s="124">
        <f>L46-[1]Reference!C53</f>
        <v>10.7228745261222</v>
      </c>
      <c r="Q46" s="124">
        <f>M46-[1]Reference!D53</f>
        <v>-19.9764579730145</v>
      </c>
      <c r="R46" s="124" t="str">
        <f t="shared" si="29"/>
        <v>lighter</v>
      </c>
      <c r="S46" s="124" t="str">
        <f t="shared" si="30"/>
        <v>redder</v>
      </c>
      <c r="T46" s="124" t="str">
        <f t="shared" si="31"/>
        <v>bluer</v>
      </c>
      <c r="U46" s="124">
        <f t="shared" si="18"/>
        <v>23.0898043676933</v>
      </c>
      <c r="V46" s="124">
        <f t="shared" si="32"/>
        <v>30.309192299584</v>
      </c>
      <c r="W46" s="117">
        <f t="shared" si="19"/>
        <v>156.286715012638</v>
      </c>
      <c r="X46" s="117">
        <f>W46-[1]Reference!E53</f>
        <v>22.4806601808422</v>
      </c>
      <c r="Y46" s="117">
        <f t="shared" si="20"/>
        <v>2.9425888404727</v>
      </c>
      <c r="Z46" s="117">
        <f t="shared" si="21"/>
        <v>4.37037235115876</v>
      </c>
      <c r="AA46" s="117">
        <f>X46/(1+0.045*ABS([1]Reference!E53))</f>
        <v>3.20179287801775</v>
      </c>
      <c r="AB46" s="117">
        <f>Y46/(1+0.015*ABS([1]Reference!E53))</f>
        <v>0.978550038621343</v>
      </c>
      <c r="AC46" s="117">
        <f t="shared" si="33"/>
        <v>5.5053784883134</v>
      </c>
      <c r="AD46" s="123" t="str">
        <f t="shared" si="22"/>
        <v>19-Blue3 (0, 0, 255)</v>
      </c>
    </row>
    <row r="47" s="31" customFormat="1" spans="1:30">
      <c r="A47" s="3" t="s">
        <v>69</v>
      </c>
      <c r="B47" s="31">
        <f>Test_Data!P23</f>
        <v>57.162754</v>
      </c>
      <c r="C47" s="31">
        <f>Test_Data!Q23</f>
        <v>45.921994</v>
      </c>
      <c r="D47" s="31">
        <f>Test_Data!R23</f>
        <v>150.43569</v>
      </c>
      <c r="E47" s="117">
        <f t="shared" si="23"/>
        <v>0.458229121157927</v>
      </c>
      <c r="F47" s="117">
        <f t="shared" si="23"/>
        <v>0.368120733868763</v>
      </c>
      <c r="G47" s="117">
        <f t="shared" si="23"/>
        <v>1.20592534816441</v>
      </c>
      <c r="H47" s="117">
        <f t="shared" si="24"/>
        <v>0.788637910538675</v>
      </c>
      <c r="I47" s="117">
        <f t="shared" si="24"/>
        <v>0.716687934335666</v>
      </c>
      <c r="J47" s="117">
        <f t="shared" si="24"/>
        <v>1.10057263515469</v>
      </c>
      <c r="K47" s="117">
        <f t="shared" si="25"/>
        <v>67.1358003829372</v>
      </c>
      <c r="L47" s="117">
        <f t="shared" si="26"/>
        <v>35.9749881015047</v>
      </c>
      <c r="M47" s="117">
        <f t="shared" si="27"/>
        <v>-76.7769401638046</v>
      </c>
      <c r="N47" s="123" t="str">
        <f t="shared" si="28"/>
        <v>20-Blue4 (128, 128, 255)</v>
      </c>
      <c r="O47" s="124">
        <f>K47-[1]Reference!B54</f>
        <v>7.93304717211033</v>
      </c>
      <c r="P47" s="124">
        <f>L47-[1]Reference!C54</f>
        <v>2.87182902632327</v>
      </c>
      <c r="Q47" s="124">
        <f>M47-[1]Reference!D54</f>
        <v>-13.3195007647701</v>
      </c>
      <c r="R47" s="124" t="str">
        <f t="shared" si="29"/>
        <v>lighter</v>
      </c>
      <c r="S47" s="124" t="str">
        <f t="shared" si="30"/>
        <v>about the same</v>
      </c>
      <c r="T47" s="124" t="str">
        <f t="shared" si="31"/>
        <v>bluer</v>
      </c>
      <c r="U47" s="124">
        <f t="shared" si="18"/>
        <v>15.7667288939105</v>
      </c>
      <c r="V47" s="124">
        <f t="shared" si="32"/>
        <v>75.3010136047088</v>
      </c>
      <c r="W47" s="117">
        <f t="shared" si="19"/>
        <v>84.7873711694132</v>
      </c>
      <c r="X47" s="117">
        <f>W47-[1]Reference!E54</f>
        <v>13.2145707782108</v>
      </c>
      <c r="Y47" s="117">
        <f t="shared" si="20"/>
        <v>3.3213885239162</v>
      </c>
      <c r="Z47" s="117">
        <f t="shared" si="21"/>
        <v>7.93304717211033</v>
      </c>
      <c r="AA47" s="117">
        <f>X47/(1+0.045*ABS([1]Reference!E54))</f>
        <v>3.13083914500441</v>
      </c>
      <c r="AB47" s="117">
        <f>Y47/(1+0.015*ABS([1]Reference!E54))</f>
        <v>1.60175604193932</v>
      </c>
      <c r="AC47" s="117">
        <f t="shared" si="33"/>
        <v>8.67761566357423</v>
      </c>
      <c r="AD47" s="123" t="str">
        <f t="shared" si="22"/>
        <v>20-Blue4 (128, 128, 255)</v>
      </c>
    </row>
    <row r="48" s="31" customFormat="1" spans="1:30">
      <c r="A48" s="3" t="s">
        <v>70</v>
      </c>
      <c r="B48" s="31">
        <f>Test_Data!P24</f>
        <v>31.985122</v>
      </c>
      <c r="C48" s="31">
        <f>Test_Data!Q24</f>
        <v>38.309435</v>
      </c>
      <c r="D48" s="31">
        <f>Test_Data!R24</f>
        <v>5.1609813</v>
      </c>
      <c r="E48" s="117">
        <f t="shared" si="23"/>
        <v>0.256399723921438</v>
      </c>
      <c r="F48" s="117">
        <f t="shared" si="23"/>
        <v>0.307096798242204</v>
      </c>
      <c r="G48" s="117">
        <f t="shared" si="23"/>
        <v>0.0413715533266906</v>
      </c>
      <c r="H48" s="117">
        <f t="shared" si="24"/>
        <v>0.649864189449286</v>
      </c>
      <c r="I48" s="117">
        <f t="shared" si="24"/>
        <v>0.6746705649821</v>
      </c>
      <c r="J48" s="117">
        <f t="shared" si="24"/>
        <v>0.35761235222703</v>
      </c>
      <c r="K48" s="117">
        <f t="shared" si="25"/>
        <v>62.2617855379236</v>
      </c>
      <c r="L48" s="117">
        <f t="shared" si="26"/>
        <v>-12.4031877664071</v>
      </c>
      <c r="M48" s="117">
        <f t="shared" si="27"/>
        <v>63.4116425510141</v>
      </c>
      <c r="N48" s="123" t="str">
        <f t="shared" si="28"/>
        <v>21-Yellow1 (128, 128, 0)</v>
      </c>
      <c r="O48" s="124">
        <f>K48-[1]Reference!B55</f>
        <v>10.3934541745754</v>
      </c>
      <c r="P48" s="124">
        <f>L48-[1]Reference!C55</f>
        <v>0.530514027146101</v>
      </c>
      <c r="Q48" s="124">
        <f>M48-[1]Reference!D55</f>
        <v>6.73121805517326</v>
      </c>
      <c r="R48" s="124" t="str">
        <f t="shared" si="29"/>
        <v>lighter</v>
      </c>
      <c r="S48" s="124" t="str">
        <f t="shared" si="30"/>
        <v>about the same</v>
      </c>
      <c r="T48" s="124" t="str">
        <f t="shared" si="31"/>
        <v>yellower</v>
      </c>
      <c r="U48" s="124">
        <f t="shared" si="18"/>
        <v>12.3941369735165</v>
      </c>
      <c r="V48" s="124">
        <f t="shared" si="32"/>
        <v>112.27329241136</v>
      </c>
      <c r="W48" s="117">
        <f t="shared" si="19"/>
        <v>64.6132763275964</v>
      </c>
      <c r="X48" s="117">
        <f>W48-[1]Reference!E55</f>
        <v>6.47592892411338</v>
      </c>
      <c r="Y48" s="117">
        <f t="shared" si="20"/>
        <v>1.91130484463388</v>
      </c>
      <c r="Z48" s="117">
        <f t="shared" si="21"/>
        <v>10.3934541745754</v>
      </c>
      <c r="AA48" s="117">
        <f>X48/(1+0.045*ABS([1]Reference!E55))</f>
        <v>1.79082008922221</v>
      </c>
      <c r="AB48" s="117">
        <f>Y48/(1+0.015*ABS([1]Reference!E55))</f>
        <v>1.02096333940006</v>
      </c>
      <c r="AC48" s="117">
        <f t="shared" si="33"/>
        <v>10.5959092300454</v>
      </c>
      <c r="AD48" s="123" t="str">
        <f t="shared" si="22"/>
        <v>21-Yellow1 (128, 128, 0)</v>
      </c>
    </row>
    <row r="49" s="31" customFormat="1" spans="1:30">
      <c r="A49" s="3" t="s">
        <v>71</v>
      </c>
      <c r="B49" s="31">
        <f>Test_Data!P25</f>
        <v>78.832483</v>
      </c>
      <c r="C49" s="31">
        <f>Test_Data!Q25</f>
        <v>94.139976</v>
      </c>
      <c r="D49" s="31">
        <f>Test_Data!R25</f>
        <v>19.784388</v>
      </c>
      <c r="E49" s="117">
        <f t="shared" si="23"/>
        <v>0.63193840177447</v>
      </c>
      <c r="F49" s="117">
        <f t="shared" si="23"/>
        <v>0.754646609019368</v>
      </c>
      <c r="G49" s="117">
        <f t="shared" si="23"/>
        <v>0.158595975377384</v>
      </c>
      <c r="H49" s="117">
        <f t="shared" si="24"/>
        <v>0.877825792788413</v>
      </c>
      <c r="I49" s="117">
        <f t="shared" si="24"/>
        <v>0.91043275677986</v>
      </c>
      <c r="J49" s="117">
        <f t="shared" si="24"/>
        <v>0.559683653731036</v>
      </c>
      <c r="K49" s="117">
        <f t="shared" si="25"/>
        <v>89.6101997864638</v>
      </c>
      <c r="L49" s="117">
        <f t="shared" si="26"/>
        <v>-16.3034819957235</v>
      </c>
      <c r="M49" s="117">
        <f t="shared" si="27"/>
        <v>70.1498206097648</v>
      </c>
      <c r="N49" s="123" t="str">
        <f t="shared" si="28"/>
        <v>22-Yellow2 (192, 192, 64)</v>
      </c>
      <c r="O49" s="124">
        <f>K49-[1]Reference!B56</f>
        <v>13.9875464716243</v>
      </c>
      <c r="P49" s="124">
        <f>L49-[1]Reference!C56</f>
        <v>-0.735431906959072</v>
      </c>
      <c r="Q49" s="124">
        <f>M49-[1]Reference!D56</f>
        <v>8.52453578505688</v>
      </c>
      <c r="R49" s="124" t="str">
        <f t="shared" si="29"/>
        <v>lighter</v>
      </c>
      <c r="S49" s="124" t="str">
        <f t="shared" si="30"/>
        <v>about the same</v>
      </c>
      <c r="T49" s="124" t="str">
        <f t="shared" si="31"/>
        <v>yellower</v>
      </c>
      <c r="U49" s="124">
        <f t="shared" si="18"/>
        <v>16.3969517513573</v>
      </c>
      <c r="V49" s="124">
        <f t="shared" si="32"/>
        <v>200.889533291844</v>
      </c>
      <c r="W49" s="117">
        <f t="shared" si="19"/>
        <v>72.019447767718</v>
      </c>
      <c r="X49" s="117">
        <f>W49-[1]Reference!E56</f>
        <v>8.45813946390276</v>
      </c>
      <c r="Y49" s="117">
        <f t="shared" si="20"/>
        <v>1.29168388147392</v>
      </c>
      <c r="Z49" s="117">
        <f t="shared" si="21"/>
        <v>13.9875464716243</v>
      </c>
      <c r="AA49" s="117">
        <f>X49/(1+0.045*ABS([1]Reference!E56))</f>
        <v>2.19108089397585</v>
      </c>
      <c r="AB49" s="117">
        <f>Y49/(1+0.015*ABS([1]Reference!E56))</f>
        <v>0.66124240037094</v>
      </c>
      <c r="AC49" s="117">
        <f t="shared" si="33"/>
        <v>14.1735504829187</v>
      </c>
      <c r="AD49" s="123" t="str">
        <f t="shared" si="22"/>
        <v>22-Yellow2 (192, 192, 64)</v>
      </c>
    </row>
    <row r="50" s="31" customFormat="1" spans="1:30">
      <c r="A50" s="3" t="s">
        <v>72</v>
      </c>
      <c r="B50" s="31">
        <f>Test_Data!P26</f>
        <v>137.64056</v>
      </c>
      <c r="C50" s="31">
        <f>Test_Data!Q26</f>
        <v>167.02638</v>
      </c>
      <c r="D50" s="31">
        <f>Test_Data!R26</f>
        <v>25.379821</v>
      </c>
      <c r="E50" s="117">
        <f t="shared" si="23"/>
        <v>1.10335679146048</v>
      </c>
      <c r="F50" s="117">
        <f t="shared" si="23"/>
        <v>1.33891994282833</v>
      </c>
      <c r="G50" s="117">
        <f t="shared" si="23"/>
        <v>0.203450188421214</v>
      </c>
      <c r="H50" s="117">
        <f t="shared" si="24"/>
        <v>1.05703348627715</v>
      </c>
      <c r="I50" s="117">
        <f t="shared" si="24"/>
        <v>1.10217748917049</v>
      </c>
      <c r="J50" s="117">
        <f t="shared" si="24"/>
        <v>0.608132108817243</v>
      </c>
      <c r="K50" s="117">
        <f t="shared" si="25"/>
        <v>111.852588743776</v>
      </c>
      <c r="L50" s="117">
        <f t="shared" si="26"/>
        <v>-22.5720014466693</v>
      </c>
      <c r="M50" s="117">
        <f t="shared" si="27"/>
        <v>98.8090760706486</v>
      </c>
      <c r="N50" s="123" t="str">
        <f t="shared" si="28"/>
        <v>23-Yellow3 (255, 255, 0)</v>
      </c>
      <c r="O50" s="124">
        <f>K50-[1]Reference!B57</f>
        <v>14.7143417624791</v>
      </c>
      <c r="P50" s="124">
        <f>L50-[1]Reference!C57</f>
        <v>-1.01118923121352</v>
      </c>
      <c r="Q50" s="124">
        <f>M50-[1]Reference!D57</f>
        <v>4.32135644065995</v>
      </c>
      <c r="R50" s="124" t="str">
        <f t="shared" si="29"/>
        <v>lighter</v>
      </c>
      <c r="S50" s="124" t="str">
        <f t="shared" si="30"/>
        <v>about the same</v>
      </c>
      <c r="T50" s="124" t="str">
        <f t="shared" si="31"/>
        <v>yellower</v>
      </c>
      <c r="U50" s="124">
        <f t="shared" si="18"/>
        <v>15.369075400023</v>
      </c>
      <c r="V50" s="124">
        <f t="shared" si="32"/>
        <v>217.19719810938</v>
      </c>
      <c r="W50" s="117">
        <f t="shared" si="19"/>
        <v>101.35447085967</v>
      </c>
      <c r="X50" s="117">
        <f>W50-[1]Reference!E57</f>
        <v>4.43802342031367</v>
      </c>
      <c r="Y50" s="117">
        <f t="shared" si="20"/>
        <v>0.0239430428889852</v>
      </c>
      <c r="Z50" s="117">
        <f t="shared" si="21"/>
        <v>14.7143417624791</v>
      </c>
      <c r="AA50" s="117">
        <f>X50/(1+0.045*ABS([1]Reference!E57))</f>
        <v>0.827797917785903</v>
      </c>
      <c r="AB50" s="117">
        <f>Y50/(1+0.015*ABS([1]Reference!E57))</f>
        <v>0.009757748334777</v>
      </c>
      <c r="AC50" s="117">
        <f t="shared" si="33"/>
        <v>14.7376116826771</v>
      </c>
      <c r="AD50" s="123" t="str">
        <f t="shared" si="22"/>
        <v>23-Yellow3 (255, 255, 0)</v>
      </c>
    </row>
    <row r="51" s="31" customFormat="1" spans="1:30">
      <c r="A51" s="3" t="s">
        <v>73</v>
      </c>
      <c r="B51" s="31">
        <f>Test_Data!P27</f>
        <v>143.19264</v>
      </c>
      <c r="C51" s="31">
        <f>Test_Data!Q27</f>
        <v>168.77735</v>
      </c>
      <c r="D51" s="31">
        <f>Test_Data!R27</f>
        <v>53.95508</v>
      </c>
      <c r="E51" s="117">
        <f t="shared" si="23"/>
        <v>1.14786347738745</v>
      </c>
      <c r="F51" s="117">
        <f t="shared" si="23"/>
        <v>1.3529561007831</v>
      </c>
      <c r="G51" s="117">
        <f t="shared" si="23"/>
        <v>0.432515705775926</v>
      </c>
      <c r="H51" s="117">
        <f t="shared" si="24"/>
        <v>1.07105926124106</v>
      </c>
      <c r="I51" s="117">
        <f t="shared" si="24"/>
        <v>1.1060155554557</v>
      </c>
      <c r="J51" s="117">
        <f t="shared" si="24"/>
        <v>0.781950382433038</v>
      </c>
      <c r="K51" s="117">
        <f t="shared" si="25"/>
        <v>112.297804432862</v>
      </c>
      <c r="L51" s="117">
        <f t="shared" si="26"/>
        <v>-17.4781471073231</v>
      </c>
      <c r="M51" s="117">
        <f t="shared" si="27"/>
        <v>64.8130346045331</v>
      </c>
      <c r="N51" s="123" t="str">
        <f t="shared" si="28"/>
        <v>24-Yellow4 (255, 255, 128)</v>
      </c>
      <c r="O51" s="124">
        <f>K51-[1]Reference!B58</f>
        <v>14.5295753907427</v>
      </c>
      <c r="P51" s="124">
        <f>L51-[1]Reference!C58</f>
        <v>-0.934683607351829</v>
      </c>
      <c r="Q51" s="124">
        <f>M51-[1]Reference!D58</f>
        <v>4.82738808919576</v>
      </c>
      <c r="R51" s="124" t="str">
        <f t="shared" si="29"/>
        <v>lighter</v>
      </c>
      <c r="S51" s="124" t="str">
        <f t="shared" si="30"/>
        <v>about the same</v>
      </c>
      <c r="T51" s="124" t="str">
        <f t="shared" si="31"/>
        <v>yellower</v>
      </c>
      <c r="U51" s="124">
        <f t="shared" si="18"/>
        <v>15.3390309421697</v>
      </c>
      <c r="V51" s="124">
        <f t="shared" si="32"/>
        <v>212.809650533157</v>
      </c>
      <c r="W51" s="117">
        <f t="shared" si="19"/>
        <v>67.1283478193351</v>
      </c>
      <c r="X51" s="117">
        <f>W51-[1]Reference!E58</f>
        <v>4.90324056801826</v>
      </c>
      <c r="Y51" s="117">
        <f t="shared" si="20"/>
        <v>0.368159125516801</v>
      </c>
      <c r="Z51" s="117">
        <f t="shared" si="21"/>
        <v>14.5295753907427</v>
      </c>
      <c r="AA51" s="117">
        <f>X51/(1+0.045*ABS([1]Reference!E58))</f>
        <v>1.29028238300489</v>
      </c>
      <c r="AB51" s="117">
        <f>Y51/(1+0.015*ABS([1]Reference!E58))</f>
        <v>0.19042287149169</v>
      </c>
      <c r="AC51" s="117">
        <f t="shared" si="33"/>
        <v>14.5879967964473</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8.61625782821229</v>
      </c>
      <c r="C62" s="108" t="str">
        <f>IF(B62&lt;=20,"PASS","FAIL")</f>
        <v>PASS</v>
      </c>
    </row>
    <row r="63" spans="1:3">
      <c r="A63" s="31" t="s">
        <v>49</v>
      </c>
      <c r="B63" s="32">
        <f>MAX(AC28:AC51)</f>
        <v>18.111979231777</v>
      </c>
      <c r="C63" s="108" t="str">
        <f>IF(B63&lt;=20,"PASS","FAIL")</f>
        <v>PASS</v>
      </c>
    </row>
    <row r="68" spans="1:3">
      <c r="A68" s="138" t="s">
        <v>82</v>
      </c>
      <c r="B68" s="31">
        <f>LINEST(D71:D86,E71:E86,,TRUE)</f>
        <v>2.37415613418395</v>
      </c>
      <c r="C68" s="139">
        <f>LINEST(G71:G86,E71:E86,,TRUE)</f>
        <v>1.9616604228005</v>
      </c>
    </row>
    <row r="69" s="94" customFormat="1" ht="24"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4"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25" spans="1:8">
      <c r="A433" s="150"/>
      <c r="B433" s="151" t="s">
        <v>107</v>
      </c>
      <c r="C433" s="151" t="s">
        <v>108</v>
      </c>
      <c r="D433" s="151" t="s">
        <v>109</v>
      </c>
      <c r="E433" s="152" t="s">
        <v>110</v>
      </c>
      <c r="F433" s="152" t="s">
        <v>111</v>
      </c>
      <c r="G433" s="152" t="s">
        <v>112</v>
      </c>
      <c r="H433" s="152" t="s">
        <v>113</v>
      </c>
    </row>
    <row r="434" ht="14.25" spans="1:8">
      <c r="A434" s="153" t="s">
        <v>102</v>
      </c>
      <c r="B434" s="154">
        <v>0</v>
      </c>
      <c r="C434" s="154">
        <v>0</v>
      </c>
      <c r="D434" s="154">
        <v>255</v>
      </c>
      <c r="E434" s="155">
        <f>Test_Data!S22</f>
        <v>0.157230943441391</v>
      </c>
      <c r="F434" s="155">
        <f>Test_Data!T22</f>
        <v>0.0618577525019646</v>
      </c>
      <c r="G434" s="155">
        <v>0.18</v>
      </c>
      <c r="H434" s="155">
        <v>0.15</v>
      </c>
    </row>
    <row r="435" ht="14.25" spans="1:8">
      <c r="A435" s="153" t="s">
        <v>101</v>
      </c>
      <c r="B435" s="154">
        <v>0</v>
      </c>
      <c r="C435" s="154">
        <v>255</v>
      </c>
      <c r="D435" s="154">
        <v>0</v>
      </c>
      <c r="E435" s="155">
        <f>Test_Data!S18</f>
        <v>0.30019336938858</v>
      </c>
      <c r="F435" s="155">
        <f>Test_Data!T18</f>
        <v>0.600219011306763</v>
      </c>
      <c r="G435" s="155">
        <v>0.13</v>
      </c>
      <c r="H435" s="155">
        <v>0.57</v>
      </c>
    </row>
    <row r="436" ht="14.25" spans="1:8">
      <c r="A436" s="153" t="s">
        <v>100</v>
      </c>
      <c r="B436" s="154">
        <v>255</v>
      </c>
      <c r="C436" s="154">
        <v>0</v>
      </c>
      <c r="D436" s="154">
        <v>0</v>
      </c>
      <c r="E436" s="155">
        <f>Test_Data!S14</f>
        <v>0.644263803958893</v>
      </c>
      <c r="F436" s="155">
        <f>Test_Data!T14</f>
        <v>0.32444241642952</v>
      </c>
      <c r="G436" s="155">
        <v>0.47</v>
      </c>
      <c r="H436" s="155">
        <v>0.52</v>
      </c>
    </row>
    <row r="437" ht="14.25" spans="1:8">
      <c r="A437" s="153" t="s">
        <v>102</v>
      </c>
      <c r="B437" s="154">
        <v>0</v>
      </c>
      <c r="C437" s="154">
        <v>0</v>
      </c>
      <c r="D437" s="154">
        <v>255</v>
      </c>
      <c r="E437" s="155">
        <f>Test_Data!S22</f>
        <v>0.157230943441391</v>
      </c>
      <c r="F437" s="155">
        <f>Test_Data!T22</f>
        <v>0.0618577525019646</v>
      </c>
      <c r="G437" s="155">
        <v>0.18</v>
      </c>
      <c r="H437" s="155">
        <v>0.15</v>
      </c>
    </row>
    <row r="438" ht="14.25" spans="1:8">
      <c r="A438" s="153" t="s">
        <v>104</v>
      </c>
      <c r="B438" s="156">
        <v>0</v>
      </c>
      <c r="C438" s="156">
        <v>255</v>
      </c>
      <c r="D438" s="156">
        <v>255</v>
      </c>
      <c r="E438" s="157">
        <v>0.23</v>
      </c>
      <c r="F438" s="157">
        <v>0.33</v>
      </c>
      <c r="G438" s="157">
        <v>0.14</v>
      </c>
      <c r="H438" s="157">
        <v>0.46</v>
      </c>
    </row>
    <row r="439" ht="14.25" spans="1:8">
      <c r="A439" s="153" t="s">
        <v>105</v>
      </c>
      <c r="B439" s="156">
        <v>255</v>
      </c>
      <c r="C439" s="156">
        <v>0</v>
      </c>
      <c r="D439" s="156">
        <v>255</v>
      </c>
      <c r="E439" s="157">
        <v>0.32</v>
      </c>
      <c r="F439" s="157">
        <v>0.14</v>
      </c>
      <c r="G439" s="157">
        <v>0.31</v>
      </c>
      <c r="H439" s="157">
        <v>0.32</v>
      </c>
    </row>
    <row r="440" ht="14.25" spans="1:8">
      <c r="A440" s="153" t="s">
        <v>106</v>
      </c>
      <c r="B440" s="156">
        <v>255</v>
      </c>
      <c r="C440" s="156">
        <v>255</v>
      </c>
      <c r="D440" s="156">
        <v>0</v>
      </c>
      <c r="E440" s="157">
        <v>0.42</v>
      </c>
      <c r="F440" s="157">
        <v>0.52</v>
      </c>
      <c r="G440" s="157">
        <v>0.2</v>
      </c>
      <c r="H440" s="157">
        <v>0.56</v>
      </c>
    </row>
    <row r="441" ht="14.25"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1.61977968850919</v>
      </c>
    </row>
    <row r="446" spans="1:2">
      <c r="A446" s="3" t="s">
        <v>115</v>
      </c>
      <c r="B446" s="32">
        <f t="shared" ref="B446:B476" si="71">AC29</f>
        <v>1.1285682349684</v>
      </c>
    </row>
    <row r="447" spans="1:2">
      <c r="A447" s="3" t="s">
        <v>116</v>
      </c>
      <c r="B447" s="32">
        <f t="shared" si="71"/>
        <v>2.24842702251901</v>
      </c>
    </row>
    <row r="448" spans="1:2">
      <c r="A448" s="3" t="s">
        <v>117</v>
      </c>
      <c r="B448" s="32">
        <f t="shared" si="71"/>
        <v>3.23718840183426</v>
      </c>
    </row>
    <row r="449" spans="1:2">
      <c r="A449" s="3" t="s">
        <v>118</v>
      </c>
      <c r="B449" s="32">
        <f t="shared" si="71"/>
        <v>4.02419173249092</v>
      </c>
    </row>
    <row r="450" spans="1:2">
      <c r="A450" s="3" t="s">
        <v>119</v>
      </c>
      <c r="B450" s="32">
        <f t="shared" si="71"/>
        <v>4.69007229274558</v>
      </c>
    </row>
    <row r="451" spans="1:2">
      <c r="A451" s="3" t="s">
        <v>120</v>
      </c>
      <c r="B451" s="32">
        <f t="shared" si="71"/>
        <v>5.20518649633835</v>
      </c>
    </row>
    <row r="452" spans="1:2">
      <c r="A452" s="3" t="s">
        <v>121</v>
      </c>
      <c r="B452" s="32">
        <f t="shared" si="71"/>
        <v>0</v>
      </c>
    </row>
    <row r="453" spans="1:2">
      <c r="A453" s="3" t="s">
        <v>122</v>
      </c>
      <c r="B453" s="32">
        <f t="shared" si="71"/>
        <v>13.6181338195546</v>
      </c>
    </row>
    <row r="454" spans="1:2">
      <c r="A454" s="3" t="s">
        <v>123</v>
      </c>
      <c r="B454" s="32">
        <f t="shared" si="71"/>
        <v>18.111979231777</v>
      </c>
    </row>
    <row r="455" spans="1:2">
      <c r="A455" s="3" t="s">
        <v>124</v>
      </c>
      <c r="B455" s="32">
        <f t="shared" si="71"/>
        <v>3.33775972215612</v>
      </c>
    </row>
    <row r="456" spans="1:2">
      <c r="A456" s="3" t="s">
        <v>125</v>
      </c>
      <c r="B456" s="32">
        <f t="shared" si="71"/>
        <v>9.22225801510288</v>
      </c>
    </row>
    <row r="457" spans="1:2">
      <c r="A457" s="3" t="s">
        <v>126</v>
      </c>
      <c r="B457" s="32">
        <f t="shared" si="71"/>
        <v>16.7476498505437</v>
      </c>
    </row>
    <row r="458" spans="1:2">
      <c r="A458" s="3" t="s">
        <v>127</v>
      </c>
      <c r="B458" s="32">
        <f t="shared" si="71"/>
        <v>14.9034210619483</v>
      </c>
    </row>
    <row r="459" spans="1:2">
      <c r="A459" s="3" t="s">
        <v>128</v>
      </c>
      <c r="B459" s="32">
        <f t="shared" si="71"/>
        <v>15.0689243315362</v>
      </c>
    </row>
    <row r="460" spans="1:2">
      <c r="A460" s="3" t="s">
        <v>129</v>
      </c>
      <c r="B460" s="32">
        <f t="shared" si="71"/>
        <v>14.7767128345682</v>
      </c>
    </row>
    <row r="461" spans="1:2">
      <c r="A461" s="3" t="s">
        <v>130</v>
      </c>
      <c r="B461" s="32">
        <f t="shared" si="71"/>
        <v>4.60435358836577</v>
      </c>
    </row>
    <row r="462" spans="1:2">
      <c r="A462" s="3" t="s">
        <v>131</v>
      </c>
      <c r="B462" s="32">
        <f t="shared" si="71"/>
        <v>5.96751920816054</v>
      </c>
    </row>
    <row r="463" spans="1:2">
      <c r="A463" s="3" t="s">
        <v>132</v>
      </c>
      <c r="B463" s="32">
        <f t="shared" si="71"/>
        <v>5.5053784883134</v>
      </c>
    </row>
    <row r="464" spans="1:2">
      <c r="A464" s="3" t="s">
        <v>133</v>
      </c>
      <c r="B464" s="32">
        <f t="shared" si="71"/>
        <v>8.67761566357423</v>
      </c>
    </row>
    <row r="465" spans="1:2">
      <c r="A465" s="3" t="s">
        <v>134</v>
      </c>
      <c r="B465" s="32">
        <f t="shared" si="71"/>
        <v>10.5959092300454</v>
      </c>
    </row>
    <row r="466" spans="1:2">
      <c r="A466" s="3" t="s">
        <v>135</v>
      </c>
      <c r="B466" s="32">
        <f t="shared" si="71"/>
        <v>14.1735504829187</v>
      </c>
    </row>
    <row r="467" spans="1:2">
      <c r="A467" s="3" t="s">
        <v>136</v>
      </c>
      <c r="B467" s="32">
        <f t="shared" si="71"/>
        <v>14.7376116826771</v>
      </c>
    </row>
    <row r="468" spans="1:2">
      <c r="A468" s="3" t="s">
        <v>137</v>
      </c>
      <c r="B468" s="32">
        <f t="shared" si="71"/>
        <v>14.5879967964473</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0.17429530620575</v>
      </c>
    </row>
    <row r="480" spans="1:2">
      <c r="A480" s="3">
        <v>16</v>
      </c>
      <c r="B480" s="158">
        <f>Test_Data!U29</f>
        <v>0.582840502262115</v>
      </c>
    </row>
    <row r="481" spans="1:2">
      <c r="A481" s="3">
        <v>32</v>
      </c>
      <c r="B481" s="158">
        <f>Test_Data!U30</f>
        <v>2.02468800544739</v>
      </c>
    </row>
    <row r="482" spans="1:2">
      <c r="A482" s="3">
        <v>48</v>
      </c>
      <c r="B482" s="158">
        <f>Test_Data!U31</f>
        <v>4.6581072807312</v>
      </c>
    </row>
    <row r="483" spans="1:2">
      <c r="A483" s="3">
        <v>64</v>
      </c>
      <c r="B483" s="158">
        <f>Test_Data!U32</f>
        <v>8.54453468322754</v>
      </c>
    </row>
    <row r="484" spans="1:2">
      <c r="A484" s="3">
        <v>80</v>
      </c>
      <c r="B484" s="158">
        <f>Test_Data!U33</f>
        <v>13.8316020965576</v>
      </c>
    </row>
    <row r="485" spans="1:2">
      <c r="A485" s="3">
        <v>96</v>
      </c>
      <c r="B485" s="158">
        <f>Test_Data!U34</f>
        <v>20.5559139251709</v>
      </c>
    </row>
    <row r="486" spans="1:2">
      <c r="A486" s="3">
        <v>112</v>
      </c>
      <c r="B486" s="158">
        <f>Test_Data!U35</f>
        <v>28.7895011901855</v>
      </c>
    </row>
    <row r="487" spans="1:2">
      <c r="A487" s="3">
        <v>128</v>
      </c>
      <c r="B487" s="158">
        <f>Test_Data!U36</f>
        <v>38.7104034423828</v>
      </c>
    </row>
    <row r="488" spans="1:2">
      <c r="A488" s="3">
        <v>144</v>
      </c>
      <c r="B488" s="158">
        <f>Test_Data!U37</f>
        <v>50.3356781005859</v>
      </c>
    </row>
    <row r="489" spans="1:2">
      <c r="A489" s="3">
        <v>160</v>
      </c>
      <c r="B489" s="158">
        <f>Test_Data!U38</f>
        <v>63.6024932861328</v>
      </c>
    </row>
    <row r="490" spans="1:2">
      <c r="A490" s="3">
        <v>176</v>
      </c>
      <c r="B490" s="158">
        <f>Test_Data!U39</f>
        <v>78.7030029296875</v>
      </c>
    </row>
    <row r="491" spans="1:2">
      <c r="A491" s="3">
        <v>192</v>
      </c>
      <c r="B491" s="158">
        <f>Test_Data!U40</f>
        <v>95.4737548828125</v>
      </c>
    </row>
    <row r="492" spans="1:2">
      <c r="A492" s="3">
        <v>208</v>
      </c>
      <c r="B492" s="158">
        <f>Test_Data!U41</f>
        <v>114.246932983398</v>
      </c>
    </row>
    <row r="493" spans="1:2">
      <c r="A493" s="3">
        <v>224</v>
      </c>
      <c r="B493" s="158">
        <f>Test_Data!U42</f>
        <v>134.324966430664</v>
      </c>
    </row>
    <row r="494" spans="1:2">
      <c r="A494" s="3">
        <v>240</v>
      </c>
      <c r="B494" s="158">
        <f>Test_Data!U43</f>
        <v>156.296356201172</v>
      </c>
    </row>
    <row r="495" spans="1:2">
      <c r="A495" s="3">
        <v>255</v>
      </c>
      <c r="B495" s="158">
        <f>Test_Data!U44</f>
        <v>175.734008789062</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2"/>
  <cols>
    <col min="1" max="1" width="16.5047619047619" style="31" customWidth="1"/>
    <col min="5" max="5" width="6.5047619047619" style="31" customWidth="1"/>
    <col min="6" max="8" width="7.16190476190476" style="31" customWidth="1"/>
    <col min="9" max="11" width="6.5047619047619" style="31" customWidth="1"/>
    <col min="12" max="12" width="5.66666666666667" style="31" customWidth="1"/>
    <col min="13" max="13" width="7.5047619047619" style="31" customWidth="1"/>
    <col min="14" max="14" width="5.5047619047619" style="31" customWidth="1"/>
    <col min="15" max="16" width="7.16190476190476" style="31" customWidth="1"/>
    <col min="17" max="24" width="7" style="31" customWidth="1"/>
    <col min="25" max="25" width="8.16190476190476" style="31" customWidth="1"/>
    <col min="26" max="26" width="7" style="31" customWidth="1"/>
    <col min="27" max="27" width="9.82857142857143" style="31" customWidth="1"/>
    <col min="28" max="28" width="8.5047619047619" style="31" customWidth="1"/>
    <col min="29" max="29" width="7.66666666666667" style="31" customWidth="1"/>
    <col min="30" max="30" width="9.82857142857143" style="31" customWidth="1"/>
    <col min="31" max="31" width="7.82857142857143" style="32" customWidth="1"/>
    <col min="32" max="32" width="6.5047619047619" style="32" customWidth="1"/>
    <col min="33" max="33" width="6.16190476190476" style="32" customWidth="1"/>
    <col min="34" max="35" width="7" style="32" customWidth="1"/>
    <col min="36" max="36" width="9.5047619047619" style="32" customWidth="1"/>
    <col min="37" max="43" width="7" style="32" customWidth="1"/>
    <col min="44" max="46" width="5.66666666666667" style="32" customWidth="1"/>
    <col min="47" max="49" width="4.5047619047619" style="31" customWidth="1"/>
    <col min="50" max="50" width="5.5047619047619" style="31" customWidth="1"/>
    <col min="51" max="52" width="6.5047619047619" style="31" customWidth="1"/>
    <col min="53" max="53" width="6" style="31" customWidth="1"/>
    <col min="54" max="54" width="7" style="31" customWidth="1"/>
    <col min="55" max="55" width="15.1619047619048" style="32" customWidth="1"/>
    <col min="63" max="63" width="15.1619047619048"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2"/>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190476190476" defaultRowHeight="12"/>
  <cols>
    <col min="1" max="2" width="15.3333333333333" style="64" customWidth="1"/>
    <col min="3" max="3" width="12.6666666666667" style="64" customWidth="1"/>
    <col min="4" max="4" width="10.3333333333333" style="64" customWidth="1"/>
    <col min="5" max="5" width="12.8285714285714" style="64" customWidth="1"/>
    <col min="6" max="6" width="14" style="64" customWidth="1"/>
    <col min="7" max="7" width="7.33333333333333" style="64" customWidth="1"/>
    <col min="8" max="8" width="7" style="64" customWidth="1"/>
    <col min="9" max="9" width="7.5047619047619" style="64" customWidth="1"/>
    <col min="10" max="10" width="6.82857142857143" style="64" customWidth="1"/>
    <col min="11" max="16" width="6.66666666666667" style="64" customWidth="1"/>
    <col min="17" max="17" width="10.5047619047619" style="64" customWidth="1"/>
    <col min="18" max="18" width="11.3333333333333" style="64" customWidth="1"/>
    <col min="19" max="19" width="9.33333333333333" style="64" customWidth="1"/>
    <col min="20" max="20" width="11.3333333333333" style="64" customWidth="1"/>
    <col min="21" max="21" width="10.3333333333333" style="64" customWidth="1"/>
    <col min="22" max="22" width="10.5047619047619" style="64" customWidth="1"/>
    <col min="23" max="23" width="11.3333333333333" style="64" customWidth="1"/>
    <col min="24" max="24" width="9.33333333333333" style="64" customWidth="1"/>
    <col min="25" max="25" width="11.3333333333333" style="64" customWidth="1"/>
    <col min="26" max="26" width="10.3333333333333" style="64" customWidth="1"/>
    <col min="27" max="27" width="10.5047619047619" style="64" customWidth="1"/>
    <col min="28" max="28" width="11.3333333333333" style="64" customWidth="1"/>
    <col min="29" max="29" width="9.33333333333333" style="64" customWidth="1"/>
    <col min="30" max="30" width="11.3333333333333" style="64" customWidth="1"/>
    <col min="31" max="31" width="10.3333333333333" style="64" customWidth="1"/>
    <col min="32" max="32" width="11.8285714285714" style="64" customWidth="1"/>
    <col min="33" max="33" width="11.3333333333333" style="64" customWidth="1"/>
    <col min="34" max="34" width="9.33333333333333" style="64" customWidth="1"/>
    <col min="35" max="35" width="11.3333333333333" style="64" customWidth="1"/>
    <col min="36" max="36" width="10.3333333333333" style="64" customWidth="1"/>
    <col min="37" max="39" width="9.16190476190476" style="61" customWidth="1"/>
    <col min="40" max="16384" width="9.16190476190476" style="61"/>
  </cols>
  <sheetData>
    <row r="1" s="63" customFormat="1" ht="12.75"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047619047619" defaultRowHeight="12"/>
  <cols>
    <col min="1" max="3" width="5.33333333333333" style="31" customWidth="1"/>
    <col min="4" max="4" width="7.33333333333333" style="31" customWidth="1"/>
    <col min="5" max="7" width="5.33333333333333" style="31" customWidth="1"/>
    <col min="8" max="8" width="7.33333333333333" style="31" customWidth="1"/>
    <col min="9" max="17" width="5.33333333333333" style="31" customWidth="1"/>
    <col min="18" max="18" width="7.16190476190476" style="31" customWidth="1"/>
    <col min="19" max="19" width="9.66666666666667" style="31" customWidth="1"/>
    <col min="20" max="37" width="5.5047619047619" style="31" customWidth="1"/>
    <col min="38" max="40" width="2.5047619047619" style="31" customWidth="1"/>
    <col min="41" max="16384" width="2.5047619047619" style="31"/>
  </cols>
  <sheetData>
    <row r="1" ht="4.15" customHeight="1"/>
    <row r="2" ht="26.25"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35</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8.61625782821229</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4"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190476190476" defaultRowHeight="12"/>
  <cols>
    <col min="1" max="1" width="8" style="5" customWidth="1"/>
    <col min="2" max="2" width="9.66666666666667" style="5" customWidth="1"/>
    <col min="3" max="3" width="9" style="5" customWidth="1"/>
    <col min="4" max="4" width="14.6666666666667" customWidth="1"/>
    <col min="5" max="5" width="14.3333333333333" customWidth="1"/>
    <col min="6" max="6" width="14.1619047619048" customWidth="1"/>
    <col min="7" max="7" width="14.6666666666667" customWidth="1"/>
    <col min="8" max="8" width="14" customWidth="1"/>
    <col min="9" max="10" width="16" customWidth="1"/>
    <col min="11" max="11" width="16.6666666666667" customWidth="1"/>
    <col min="12" max="12" width="18.3333333333333" customWidth="1"/>
    <col min="13" max="13" width="7.5047619047619" customWidth="1"/>
    <col min="14" max="14" width="9.5047619047619" customWidth="1"/>
    <col min="15" max="15" width="8" customWidth="1"/>
    <col min="24" max="24" width="13.8285714285714" customWidth="1"/>
    <col min="25" max="25" width="7.66666666666667" customWidth="1"/>
    <col min="26" max="26" width="8.66666666666667" customWidth="1"/>
    <col min="27" max="27" width="7.5047619047619" customWidth="1"/>
    <col min="36" max="36" width="12.6666666666667" customWidth="1"/>
    <col min="37" max="37" width="6" customWidth="1"/>
    <col min="38" max="39" width="6.5047619047619" customWidth="1"/>
  </cols>
  <sheetData>
    <row r="1" ht="18" customHeight="1" spans="1:15">
      <c r="A1" s="6" t="s">
        <v>360</v>
      </c>
      <c r="B1" s="6"/>
      <c r="C1" s="6"/>
      <c r="D1" s="7" t="s">
        <v>378</v>
      </c>
      <c r="E1" s="8"/>
      <c r="F1" s="8"/>
      <c r="G1" s="7" t="s">
        <v>359</v>
      </c>
      <c r="H1" s="7">
        <v>35</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4.25" spans="1:48">
      <c r="A4" s="17">
        <v>255</v>
      </c>
      <c r="B4" s="18">
        <v>255</v>
      </c>
      <c r="C4" s="18">
        <v>255</v>
      </c>
      <c r="D4" s="19"/>
      <c r="E4" s="20"/>
      <c r="F4" s="21"/>
      <c r="G4" s="20"/>
      <c r="H4" s="20"/>
      <c r="I4" s="20"/>
      <c r="J4" s="19"/>
      <c r="K4" s="21"/>
      <c r="L4" s="22"/>
      <c r="M4" s="23">
        <v>32</v>
      </c>
      <c r="N4" s="23">
        <v>32</v>
      </c>
      <c r="O4" s="23">
        <v>32</v>
      </c>
      <c r="P4" s="19">
        <v>1.5348561</v>
      </c>
      <c r="Q4" s="20">
        <v>1.6422335</v>
      </c>
      <c r="R4" s="21">
        <v>1.6189243</v>
      </c>
      <c r="S4" s="20">
        <v>0.320027440786362</v>
      </c>
      <c r="T4" s="20">
        <v>0.342416346073151</v>
      </c>
      <c r="U4" s="20">
        <v>1.64223349094391</v>
      </c>
      <c r="V4" s="19">
        <v>0</v>
      </c>
      <c r="W4" s="21">
        <v>0</v>
      </c>
      <c r="X4" s="22">
        <v>6063.025390625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4.25" spans="1:48">
      <c r="A5" s="18">
        <v>230</v>
      </c>
      <c r="B5" s="18">
        <v>230</v>
      </c>
      <c r="C5" s="18">
        <v>230</v>
      </c>
      <c r="D5" s="19"/>
      <c r="E5" s="20"/>
      <c r="F5" s="21"/>
      <c r="G5" s="20"/>
      <c r="H5" s="20"/>
      <c r="I5" s="20"/>
      <c r="J5" s="19"/>
      <c r="K5" s="21"/>
      <c r="L5" s="24"/>
      <c r="M5" s="18">
        <v>64</v>
      </c>
      <c r="N5" s="18">
        <v>64</v>
      </c>
      <c r="O5" s="18">
        <v>64</v>
      </c>
      <c r="P5" s="19">
        <v>6.400236</v>
      </c>
      <c r="Q5" s="20">
        <v>6.8164885</v>
      </c>
      <c r="R5" s="21">
        <v>6.3044536</v>
      </c>
      <c r="S5" s="20">
        <v>0.327861160039902</v>
      </c>
      <c r="T5" s="20">
        <v>0.349184274673462</v>
      </c>
      <c r="U5" s="20">
        <v>6.81648826599121</v>
      </c>
      <c r="V5" s="19">
        <v>0</v>
      </c>
      <c r="W5" s="21">
        <v>0</v>
      </c>
      <c r="X5" s="24">
        <v>5696.8818359375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4.25" spans="1:48">
      <c r="A6" s="18">
        <v>209</v>
      </c>
      <c r="B6" s="18">
        <v>209</v>
      </c>
      <c r="C6" s="18">
        <v>209</v>
      </c>
      <c r="D6" s="19"/>
      <c r="E6" s="20"/>
      <c r="F6" s="21"/>
      <c r="G6" s="20"/>
      <c r="H6" s="20"/>
      <c r="I6" s="20"/>
      <c r="J6" s="19"/>
      <c r="K6" s="21"/>
      <c r="L6" s="24"/>
      <c r="M6" s="18">
        <v>96</v>
      </c>
      <c r="N6" s="18">
        <v>96</v>
      </c>
      <c r="O6" s="18">
        <v>96</v>
      </c>
      <c r="P6" s="19">
        <v>15.360699</v>
      </c>
      <c r="Q6" s="20">
        <v>16.368057</v>
      </c>
      <c r="R6" s="21">
        <v>14.836975</v>
      </c>
      <c r="S6" s="20">
        <v>0.329871326684952</v>
      </c>
      <c r="T6" s="20">
        <v>0.351504355669022</v>
      </c>
      <c r="U6" s="20">
        <v>16.3680572509766</v>
      </c>
      <c r="V6" s="19">
        <v>0</v>
      </c>
      <c r="W6" s="21">
        <v>0</v>
      </c>
      <c r="X6" s="24">
        <v>5610.41015625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4.25" spans="1:48">
      <c r="A7" s="18">
        <v>186</v>
      </c>
      <c r="B7" s="18">
        <v>186</v>
      </c>
      <c r="C7" s="18">
        <v>186</v>
      </c>
      <c r="D7" s="19"/>
      <c r="E7" s="20"/>
      <c r="F7" s="21"/>
      <c r="G7" s="20"/>
      <c r="H7" s="20"/>
      <c r="I7" s="20"/>
      <c r="J7" s="19"/>
      <c r="K7" s="21"/>
      <c r="L7" s="24"/>
      <c r="M7" s="18">
        <v>128</v>
      </c>
      <c r="N7" s="18">
        <v>128</v>
      </c>
      <c r="O7" s="18">
        <v>128</v>
      </c>
      <c r="P7" s="19">
        <v>28.85342</v>
      </c>
      <c r="Q7" s="20">
        <v>30.816967</v>
      </c>
      <c r="R7" s="21">
        <v>28.163971</v>
      </c>
      <c r="S7" s="20">
        <v>0.328498095273972</v>
      </c>
      <c r="T7" s="20">
        <v>0.350853204727173</v>
      </c>
      <c r="U7" s="20">
        <v>30.816967010498</v>
      </c>
      <c r="V7" s="19">
        <v>0</v>
      </c>
      <c r="W7" s="21">
        <v>0</v>
      </c>
      <c r="X7" s="24">
        <v>5668.3701171875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4.25" spans="1:48">
      <c r="A8" s="18">
        <v>158</v>
      </c>
      <c r="B8" s="18">
        <v>158</v>
      </c>
      <c r="C8" s="18">
        <v>158</v>
      </c>
      <c r="D8" s="19"/>
      <c r="E8" s="20"/>
      <c r="F8" s="21"/>
      <c r="G8" s="20"/>
      <c r="H8" s="20"/>
      <c r="I8" s="20"/>
      <c r="J8" s="19"/>
      <c r="K8" s="21"/>
      <c r="L8" s="24"/>
      <c r="M8" s="18">
        <v>160</v>
      </c>
      <c r="N8" s="18">
        <v>160</v>
      </c>
      <c r="O8" s="18">
        <v>160</v>
      </c>
      <c r="P8" s="19">
        <v>47.10558</v>
      </c>
      <c r="Q8" s="20">
        <v>50.596628</v>
      </c>
      <c r="R8" s="21">
        <v>45.922488</v>
      </c>
      <c r="S8" s="20">
        <v>0.327976882457733</v>
      </c>
      <c r="T8" s="20">
        <v>0.352283626794815</v>
      </c>
      <c r="U8" s="20">
        <v>50.5966262817383</v>
      </c>
      <c r="V8" s="19">
        <v>0</v>
      </c>
      <c r="W8" s="21">
        <v>0</v>
      </c>
      <c r="X8" s="24">
        <v>5689.11669921875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4.25" spans="1:48">
      <c r="A9" s="18">
        <v>0</v>
      </c>
      <c r="B9" s="18">
        <v>0</v>
      </c>
      <c r="C9" s="18">
        <v>0</v>
      </c>
      <c r="D9" s="19"/>
      <c r="E9" s="20"/>
      <c r="F9" s="21"/>
      <c r="G9" s="20"/>
      <c r="H9" s="20"/>
      <c r="I9" s="20"/>
      <c r="J9" s="19"/>
      <c r="K9" s="21"/>
      <c r="L9" s="24"/>
      <c r="M9" s="18">
        <v>192</v>
      </c>
      <c r="N9" s="18">
        <v>192</v>
      </c>
      <c r="O9" s="18">
        <v>192</v>
      </c>
      <c r="P9" s="19">
        <v>70.678455</v>
      </c>
      <c r="Q9" s="20">
        <v>76.005401</v>
      </c>
      <c r="R9" s="21">
        <v>69.108375</v>
      </c>
      <c r="S9" s="20">
        <v>0.327530115842819</v>
      </c>
      <c r="T9" s="20">
        <v>0.352215647697449</v>
      </c>
      <c r="U9" s="20">
        <v>76.0054016113281</v>
      </c>
      <c r="V9" s="19">
        <v>0</v>
      </c>
      <c r="W9" s="21">
        <v>0</v>
      </c>
      <c r="X9" s="24">
        <v>5707.94482421875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4.25" spans="1:48">
      <c r="A10" s="18">
        <v>115</v>
      </c>
      <c r="B10" s="18">
        <v>82</v>
      </c>
      <c r="C10" s="18">
        <v>66</v>
      </c>
      <c r="D10" s="19"/>
      <c r="E10" s="20"/>
      <c r="F10" s="21"/>
      <c r="G10" s="20"/>
      <c r="H10" s="20"/>
      <c r="I10" s="20"/>
      <c r="J10" s="19"/>
      <c r="K10" s="21"/>
      <c r="L10" s="24"/>
      <c r="M10" s="18">
        <v>224</v>
      </c>
      <c r="N10" s="18">
        <v>224</v>
      </c>
      <c r="O10" s="18">
        <v>224</v>
      </c>
      <c r="P10" s="19">
        <v>99.336458</v>
      </c>
      <c r="Q10" s="20">
        <v>107.07057</v>
      </c>
      <c r="R10" s="21">
        <v>97.643882</v>
      </c>
      <c r="S10" s="20">
        <v>0.32670995593071</v>
      </c>
      <c r="T10" s="20">
        <v>0.352146863937378</v>
      </c>
      <c r="U10" s="20">
        <v>107.070571899414</v>
      </c>
      <c r="V10" s="19">
        <v>0</v>
      </c>
      <c r="W10" s="21">
        <v>0</v>
      </c>
      <c r="X10" s="24">
        <v>5742.61181640625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4.25" spans="1:48">
      <c r="A11" s="18">
        <v>194</v>
      </c>
      <c r="B11" s="18">
        <v>150</v>
      </c>
      <c r="C11" s="18">
        <v>130</v>
      </c>
      <c r="D11" s="19"/>
      <c r="E11" s="20"/>
      <c r="F11" s="21"/>
      <c r="G11" s="20"/>
      <c r="H11" s="20"/>
      <c r="I11" s="20"/>
      <c r="J11" s="19"/>
      <c r="K11" s="21"/>
      <c r="L11" s="24"/>
      <c r="M11" s="18">
        <v>255</v>
      </c>
      <c r="N11" s="18">
        <v>255</v>
      </c>
      <c r="O11" s="18">
        <v>255</v>
      </c>
      <c r="P11" s="19">
        <v>116.54139</v>
      </c>
      <c r="Q11" s="20">
        <v>124.7471</v>
      </c>
      <c r="R11" s="21">
        <v>112.84823</v>
      </c>
      <c r="S11" s="20">
        <v>0.329085856676102</v>
      </c>
      <c r="T11" s="20">
        <v>0.352256894111633</v>
      </c>
      <c r="U11" s="20">
        <v>124.747100830078</v>
      </c>
      <c r="V11" s="19">
        <v>0</v>
      </c>
      <c r="W11" s="21">
        <v>0</v>
      </c>
      <c r="X11" s="24">
        <v>5642.7802734375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4.25" spans="1:48">
      <c r="A12" s="18">
        <v>94</v>
      </c>
      <c r="B12" s="18">
        <v>122</v>
      </c>
      <c r="C12" s="18">
        <v>156</v>
      </c>
      <c r="D12" s="19"/>
      <c r="E12" s="20"/>
      <c r="F12" s="21"/>
      <c r="G12" s="20"/>
      <c r="H12" s="20"/>
      <c r="I12" s="20"/>
      <c r="J12" s="19"/>
      <c r="K12" s="21"/>
      <c r="L12" s="24"/>
      <c r="M12" s="18">
        <v>128</v>
      </c>
      <c r="N12" s="18">
        <v>0</v>
      </c>
      <c r="O12" s="18">
        <v>0</v>
      </c>
      <c r="P12" s="19">
        <v>24.760121</v>
      </c>
      <c r="Q12" s="20">
        <v>12.308322</v>
      </c>
      <c r="R12" s="21">
        <v>0.9473802</v>
      </c>
      <c r="S12" s="20">
        <v>0.651310920715332</v>
      </c>
      <c r="T12" s="20">
        <v>0.3237684071064</v>
      </c>
      <c r="U12" s="20">
        <v>12.3083219528198</v>
      </c>
      <c r="V12" s="19">
        <v>0</v>
      </c>
      <c r="W12" s="21">
        <v>0</v>
      </c>
      <c r="X12" s="24">
        <v>5642.7802734375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4.25" spans="1:48">
      <c r="A13" s="18">
        <v>89</v>
      </c>
      <c r="B13" s="18">
        <v>107</v>
      </c>
      <c r="C13" s="18">
        <v>66</v>
      </c>
      <c r="D13" s="19"/>
      <c r="E13" s="20"/>
      <c r="F13" s="21"/>
      <c r="G13" s="20"/>
      <c r="H13" s="20"/>
      <c r="I13" s="20"/>
      <c r="J13" s="19"/>
      <c r="K13" s="21"/>
      <c r="L13" s="24"/>
      <c r="M13" s="18">
        <v>192</v>
      </c>
      <c r="N13" s="18">
        <v>64</v>
      </c>
      <c r="O13" s="18">
        <v>64</v>
      </c>
      <c r="P13" s="19">
        <v>65.164388</v>
      </c>
      <c r="Q13" s="20">
        <v>39.220307</v>
      </c>
      <c r="R13" s="21">
        <v>12.600454</v>
      </c>
      <c r="S13" s="20">
        <v>0.557031273841858</v>
      </c>
      <c r="T13" s="20">
        <v>0.335258841514587</v>
      </c>
      <c r="U13" s="20">
        <v>39.2203063964844</v>
      </c>
      <c r="V13" s="19">
        <v>0</v>
      </c>
      <c r="W13" s="21">
        <v>0</v>
      </c>
      <c r="X13" s="24">
        <v>5642.7802734375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4.25" spans="1:48">
      <c r="A14" s="18">
        <v>130</v>
      </c>
      <c r="B14" s="18">
        <v>128</v>
      </c>
      <c r="C14" s="18">
        <v>176</v>
      </c>
      <c r="D14" s="19"/>
      <c r="E14" s="20"/>
      <c r="F14" s="21"/>
      <c r="G14" s="20"/>
      <c r="H14" s="20"/>
      <c r="I14" s="20"/>
      <c r="J14" s="19"/>
      <c r="K14" s="21"/>
      <c r="L14" s="24"/>
      <c r="M14" s="18">
        <v>255</v>
      </c>
      <c r="N14" s="18">
        <v>0</v>
      </c>
      <c r="O14" s="18">
        <v>0</v>
      </c>
      <c r="P14" s="19">
        <v>48.005142</v>
      </c>
      <c r="Q14" s="20">
        <v>24.174732</v>
      </c>
      <c r="R14" s="21">
        <v>2.3317503</v>
      </c>
      <c r="S14" s="20">
        <v>0.644263803958893</v>
      </c>
      <c r="T14" s="20">
        <v>0.32444241642952</v>
      </c>
      <c r="U14" s="20">
        <v>24.174732208252</v>
      </c>
      <c r="V14" s="19">
        <v>0</v>
      </c>
      <c r="W14" s="21">
        <v>0</v>
      </c>
      <c r="X14" s="24">
        <v>5642.7802734375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4.25" spans="1:48">
      <c r="A15" s="18">
        <v>99</v>
      </c>
      <c r="B15" s="18">
        <v>189</v>
      </c>
      <c r="C15" s="18">
        <v>168</v>
      </c>
      <c r="D15" s="19"/>
      <c r="E15" s="20"/>
      <c r="F15" s="21"/>
      <c r="G15" s="20"/>
      <c r="H15" s="20"/>
      <c r="I15" s="20"/>
      <c r="J15" s="19"/>
      <c r="K15" s="21"/>
      <c r="L15" s="24"/>
      <c r="M15" s="18">
        <v>255</v>
      </c>
      <c r="N15" s="18">
        <v>128</v>
      </c>
      <c r="O15" s="18">
        <v>128</v>
      </c>
      <c r="P15" s="19">
        <v>90.046663</v>
      </c>
      <c r="Q15" s="20">
        <v>63.874287</v>
      </c>
      <c r="R15" s="21">
        <v>33.561929</v>
      </c>
      <c r="S15" s="20">
        <v>0.480292737483978</v>
      </c>
      <c r="T15" s="20">
        <v>0.340693980455399</v>
      </c>
      <c r="U15" s="20">
        <v>63.8742866516113</v>
      </c>
      <c r="V15" s="19">
        <v>0</v>
      </c>
      <c r="W15" s="21">
        <v>0</v>
      </c>
      <c r="X15" s="24">
        <v>1921.12866210937</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4.25" spans="1:48">
      <c r="A16" s="18">
        <v>217</v>
      </c>
      <c r="B16" s="18">
        <v>120</v>
      </c>
      <c r="C16" s="18">
        <v>41</v>
      </c>
      <c r="D16" s="19"/>
      <c r="E16" s="20"/>
      <c r="F16" s="21"/>
      <c r="G16" s="20"/>
      <c r="H16" s="20"/>
      <c r="I16" s="20"/>
      <c r="J16" s="19"/>
      <c r="K16" s="21"/>
      <c r="L16" s="24"/>
      <c r="M16" s="18">
        <v>0</v>
      </c>
      <c r="N16" s="18">
        <v>128</v>
      </c>
      <c r="O16" s="18">
        <v>0</v>
      </c>
      <c r="P16" s="19">
        <v>18.333779</v>
      </c>
      <c r="Q16" s="20">
        <v>38.369293</v>
      </c>
      <c r="R16" s="21">
        <v>5.7729248</v>
      </c>
      <c r="S16" s="20">
        <v>0.29345315694809</v>
      </c>
      <c r="T16" s="20">
        <v>0.614144563674927</v>
      </c>
      <c r="U16" s="20">
        <v>38.3692932128906</v>
      </c>
      <c r="V16" s="19">
        <v>0</v>
      </c>
      <c r="W16" s="21">
        <v>0</v>
      </c>
      <c r="X16" s="24">
        <v>1921.12866210937</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4.25" spans="1:48">
      <c r="A17" s="18">
        <v>74</v>
      </c>
      <c r="B17" s="18">
        <v>92</v>
      </c>
      <c r="C17" s="18">
        <v>163</v>
      </c>
      <c r="D17" s="19"/>
      <c r="E17" s="20"/>
      <c r="F17" s="21"/>
      <c r="G17" s="20"/>
      <c r="H17" s="20"/>
      <c r="I17" s="20"/>
      <c r="J17" s="19"/>
      <c r="K17" s="21"/>
      <c r="L17" s="24"/>
      <c r="M17" s="18">
        <v>64</v>
      </c>
      <c r="N17" s="18">
        <v>192</v>
      </c>
      <c r="O17" s="18">
        <v>64</v>
      </c>
      <c r="P17" s="19">
        <v>42.29488</v>
      </c>
      <c r="Q17" s="20">
        <v>78.451398</v>
      </c>
      <c r="R17" s="21">
        <v>18.9148</v>
      </c>
      <c r="S17" s="20">
        <v>0.302839428186417</v>
      </c>
      <c r="T17" s="20">
        <v>0.561726987361908</v>
      </c>
      <c r="U17" s="20">
        <v>78.4514007568359</v>
      </c>
      <c r="V17" s="19">
        <v>0</v>
      </c>
      <c r="W17" s="21">
        <v>0</v>
      </c>
      <c r="X17" s="24">
        <v>6068.70068359375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4.25" spans="1:48">
      <c r="A18" s="18">
        <v>194</v>
      </c>
      <c r="B18" s="18">
        <v>84</v>
      </c>
      <c r="C18" s="18">
        <v>97</v>
      </c>
      <c r="D18" s="19"/>
      <c r="E18" s="20"/>
      <c r="F18" s="21"/>
      <c r="G18" s="20"/>
      <c r="H18" s="20"/>
      <c r="I18" s="20"/>
      <c r="J18" s="19"/>
      <c r="K18" s="21"/>
      <c r="L18" s="24"/>
      <c r="M18" s="18">
        <v>0</v>
      </c>
      <c r="N18" s="18">
        <v>255</v>
      </c>
      <c r="O18" s="18">
        <v>0</v>
      </c>
      <c r="P18" s="19">
        <v>66.799346</v>
      </c>
      <c r="Q18" s="20">
        <v>133.56137</v>
      </c>
      <c r="R18" s="21">
        <v>22.16035</v>
      </c>
      <c r="S18" s="20">
        <v>0.30019336938858</v>
      </c>
      <c r="T18" s="20">
        <v>0.600219011306763</v>
      </c>
      <c r="U18" s="20">
        <v>133.561370849609</v>
      </c>
      <c r="V18" s="19">
        <v>0</v>
      </c>
      <c r="W18" s="21">
        <v>0</v>
      </c>
      <c r="X18" s="24">
        <v>6062.7587890625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4.25" spans="1:48">
      <c r="A19" s="18">
        <v>92</v>
      </c>
      <c r="B19" s="18">
        <v>61</v>
      </c>
      <c r="C19" s="18">
        <v>107</v>
      </c>
      <c r="D19" s="19"/>
      <c r="E19" s="20"/>
      <c r="F19" s="21"/>
      <c r="G19" s="20"/>
      <c r="H19" s="20"/>
      <c r="I19" s="20"/>
      <c r="J19" s="19"/>
      <c r="K19" s="21"/>
      <c r="L19" s="24"/>
      <c r="M19" s="18">
        <v>128</v>
      </c>
      <c r="N19" s="18">
        <v>255</v>
      </c>
      <c r="O19" s="18">
        <v>128</v>
      </c>
      <c r="P19" s="19">
        <v>87.76008</v>
      </c>
      <c r="Q19" s="20">
        <v>142.47505</v>
      </c>
      <c r="R19" s="21">
        <v>51.998686</v>
      </c>
      <c r="S19" s="20">
        <v>0.310948133468628</v>
      </c>
      <c r="T19" s="20">
        <v>0.504812121391296</v>
      </c>
      <c r="U19" s="20">
        <v>142.475051879883</v>
      </c>
      <c r="V19" s="19">
        <v>0</v>
      </c>
      <c r="W19" s="21">
        <v>0</v>
      </c>
      <c r="X19" s="24">
        <v>5987.22314453125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4.25" spans="1:48">
      <c r="A20" s="18">
        <v>158</v>
      </c>
      <c r="B20" s="18">
        <v>186</v>
      </c>
      <c r="C20" s="18">
        <v>64</v>
      </c>
      <c r="D20" s="19"/>
      <c r="E20" s="20"/>
      <c r="F20" s="21"/>
      <c r="G20" s="20"/>
      <c r="H20" s="20"/>
      <c r="I20" s="20"/>
      <c r="J20" s="19"/>
      <c r="K20" s="21"/>
      <c r="L20" s="24"/>
      <c r="M20" s="18">
        <v>0</v>
      </c>
      <c r="N20" s="18">
        <v>0</v>
      </c>
      <c r="O20" s="18">
        <v>128</v>
      </c>
      <c r="P20" s="19">
        <v>6.7761584</v>
      </c>
      <c r="Q20" s="20">
        <v>2.5330192</v>
      </c>
      <c r="R20" s="21">
        <v>33.556424</v>
      </c>
      <c r="S20" s="20">
        <v>0.158079162240028</v>
      </c>
      <c r="T20" s="20">
        <v>0.0590921193361282</v>
      </c>
      <c r="U20" s="20">
        <v>2.53301930427551</v>
      </c>
      <c r="V20" s="19">
        <v>0</v>
      </c>
      <c r="W20" s="21">
        <v>0</v>
      </c>
      <c r="X20" s="24">
        <v>5987.22314453125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4.25" spans="1:48">
      <c r="A21" s="18">
        <v>230</v>
      </c>
      <c r="B21" s="18">
        <v>161</v>
      </c>
      <c r="C21" s="18">
        <v>46</v>
      </c>
      <c r="D21" s="19"/>
      <c r="E21" s="20"/>
      <c r="F21" s="21"/>
      <c r="G21" s="20"/>
      <c r="H21" s="20"/>
      <c r="I21" s="20"/>
      <c r="J21" s="19"/>
      <c r="K21" s="21"/>
      <c r="L21" s="24"/>
      <c r="M21" s="18">
        <v>64</v>
      </c>
      <c r="N21" s="18">
        <v>64</v>
      </c>
      <c r="O21" s="18">
        <v>192</v>
      </c>
      <c r="P21" s="19">
        <v>21.801818</v>
      </c>
      <c r="Q21" s="20">
        <v>13.556941</v>
      </c>
      <c r="R21" s="21">
        <v>81.563875</v>
      </c>
      <c r="S21" s="20">
        <v>0.186463624238968</v>
      </c>
      <c r="T21" s="20">
        <v>0.115947961807251</v>
      </c>
      <c r="U21" s="20">
        <v>13.5569410324097</v>
      </c>
      <c r="V21" s="19">
        <v>0</v>
      </c>
      <c r="W21" s="21">
        <v>0</v>
      </c>
      <c r="X21" s="24">
        <v>5987.22314453125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4.25" spans="1:48">
      <c r="A22" s="18">
        <v>51</v>
      </c>
      <c r="B22" s="18">
        <v>61</v>
      </c>
      <c r="C22" s="18">
        <v>150</v>
      </c>
      <c r="D22" s="19"/>
      <c r="E22" s="20"/>
      <c r="F22" s="21"/>
      <c r="G22" s="20"/>
      <c r="H22" s="20"/>
      <c r="I22" s="20"/>
      <c r="J22" s="19"/>
      <c r="K22" s="21"/>
      <c r="L22" s="24"/>
      <c r="M22" s="18">
        <v>0</v>
      </c>
      <c r="N22" s="18">
        <v>0</v>
      </c>
      <c r="O22" s="18">
        <v>255</v>
      </c>
      <c r="P22" s="19">
        <v>29.68681</v>
      </c>
      <c r="Q22" s="20">
        <v>11.679376</v>
      </c>
      <c r="R22" s="21">
        <v>147.44404</v>
      </c>
      <c r="S22" s="20">
        <v>0.157230943441391</v>
      </c>
      <c r="T22" s="20">
        <v>0.0618577525019646</v>
      </c>
      <c r="U22" s="20">
        <v>11.6793756484985</v>
      </c>
      <c r="V22" s="19">
        <v>0</v>
      </c>
      <c r="W22" s="21">
        <v>0</v>
      </c>
      <c r="X22" s="24">
        <v>5987.22314453125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4.25" spans="1:48">
      <c r="A23" s="18">
        <v>71</v>
      </c>
      <c r="B23" s="18">
        <v>148</v>
      </c>
      <c r="C23" s="18">
        <v>71</v>
      </c>
      <c r="D23" s="19"/>
      <c r="E23" s="20"/>
      <c r="F23" s="21"/>
      <c r="G23" s="20"/>
      <c r="H23" s="20"/>
      <c r="I23" s="20"/>
      <c r="J23" s="19"/>
      <c r="K23" s="21"/>
      <c r="L23" s="24"/>
      <c r="M23" s="18">
        <v>128</v>
      </c>
      <c r="N23" s="18">
        <v>128</v>
      </c>
      <c r="O23" s="18">
        <v>255</v>
      </c>
      <c r="P23" s="19">
        <v>57.162754</v>
      </c>
      <c r="Q23" s="20">
        <v>45.921994</v>
      </c>
      <c r="R23" s="21">
        <v>150.43569</v>
      </c>
      <c r="S23" s="20">
        <v>0.225475922226906</v>
      </c>
      <c r="T23" s="20">
        <v>0.181137248873711</v>
      </c>
      <c r="U23" s="20">
        <v>45.9219932556152</v>
      </c>
      <c r="V23" s="19">
        <v>0</v>
      </c>
      <c r="W23" s="21">
        <v>0</v>
      </c>
      <c r="X23" s="24">
        <v>5987.22314453125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4.25" spans="1:48">
      <c r="A24" s="18">
        <v>176</v>
      </c>
      <c r="B24" s="18">
        <v>48</v>
      </c>
      <c r="C24" s="18">
        <v>59</v>
      </c>
      <c r="D24" s="19"/>
      <c r="E24" s="20"/>
      <c r="F24" s="21"/>
      <c r="G24" s="20"/>
      <c r="H24" s="20"/>
      <c r="I24" s="20"/>
      <c r="J24" s="19"/>
      <c r="K24" s="21"/>
      <c r="L24" s="24"/>
      <c r="M24" s="18">
        <v>128</v>
      </c>
      <c r="N24" s="18">
        <v>128</v>
      </c>
      <c r="O24" s="18">
        <v>0</v>
      </c>
      <c r="P24" s="19">
        <v>31.985122</v>
      </c>
      <c r="Q24" s="20">
        <v>38.309435</v>
      </c>
      <c r="R24" s="21">
        <v>5.1609813</v>
      </c>
      <c r="S24" s="20">
        <v>0.423893630504608</v>
      </c>
      <c r="T24" s="20">
        <v>0.507708728313446</v>
      </c>
      <c r="U24" s="20">
        <v>38.3094367980957</v>
      </c>
      <c r="V24" s="19">
        <v>0</v>
      </c>
      <c r="W24" s="21">
        <v>0</v>
      </c>
      <c r="X24" s="24">
        <v>3874.37866210938</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4.25" spans="1:48">
      <c r="A25" s="18">
        <v>237</v>
      </c>
      <c r="B25" s="18">
        <v>199</v>
      </c>
      <c r="C25" s="18">
        <v>33</v>
      </c>
      <c r="D25" s="19"/>
      <c r="E25" s="20"/>
      <c r="F25" s="21"/>
      <c r="G25" s="20"/>
      <c r="H25" s="20"/>
      <c r="I25" s="20"/>
      <c r="J25" s="19"/>
      <c r="K25" s="21"/>
      <c r="L25" s="24"/>
      <c r="M25" s="18">
        <v>192</v>
      </c>
      <c r="N25" s="18">
        <v>192</v>
      </c>
      <c r="O25" s="18">
        <v>64</v>
      </c>
      <c r="P25" s="19">
        <v>78.832483</v>
      </c>
      <c r="Q25" s="20">
        <v>94.139976</v>
      </c>
      <c r="R25" s="21">
        <v>19.784388</v>
      </c>
      <c r="S25" s="20">
        <v>0.408973723649979</v>
      </c>
      <c r="T25" s="20">
        <v>0.488387197256088</v>
      </c>
      <c r="U25" s="20">
        <v>94.1399765014648</v>
      </c>
      <c r="V25" s="19">
        <v>0</v>
      </c>
      <c r="W25" s="21">
        <v>0</v>
      </c>
      <c r="X25" s="24">
        <v>4030.17309570313</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4.25" spans="1:48">
      <c r="A26" s="18">
        <v>186</v>
      </c>
      <c r="B26" s="18">
        <v>84</v>
      </c>
      <c r="C26" s="18">
        <v>145</v>
      </c>
      <c r="D26" s="19"/>
      <c r="E26" s="20"/>
      <c r="F26" s="21"/>
      <c r="G26" s="20"/>
      <c r="H26" s="20"/>
      <c r="I26" s="20"/>
      <c r="J26" s="19"/>
      <c r="K26" s="21"/>
      <c r="L26" s="24"/>
      <c r="M26" s="18">
        <v>255</v>
      </c>
      <c r="N26" s="18">
        <v>255</v>
      </c>
      <c r="O26" s="18">
        <v>0</v>
      </c>
      <c r="P26" s="19">
        <v>137.64056</v>
      </c>
      <c r="Q26" s="20">
        <v>167.02638</v>
      </c>
      <c r="R26" s="21">
        <v>25.379821</v>
      </c>
      <c r="S26" s="20">
        <v>0.417033523321152</v>
      </c>
      <c r="T26" s="20">
        <v>0.506068825721741</v>
      </c>
      <c r="U26" s="20">
        <v>167.026382446289</v>
      </c>
      <c r="V26" s="19">
        <v>0</v>
      </c>
      <c r="W26" s="21">
        <v>0</v>
      </c>
      <c r="X26" s="24">
        <v>3975.74291992188</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4.25" spans="1:48">
      <c r="A27" s="18">
        <v>0</v>
      </c>
      <c r="B27" s="18">
        <v>133</v>
      </c>
      <c r="C27" s="18">
        <v>163</v>
      </c>
      <c r="D27" s="19"/>
      <c r="E27" s="20"/>
      <c r="F27" s="21"/>
      <c r="G27" s="20"/>
      <c r="H27" s="20"/>
      <c r="I27" s="20"/>
      <c r="J27" s="19"/>
      <c r="K27" s="21"/>
      <c r="L27" s="24"/>
      <c r="M27" s="18">
        <v>255</v>
      </c>
      <c r="N27" s="18">
        <v>255</v>
      </c>
      <c r="O27" s="18">
        <v>128</v>
      </c>
      <c r="P27" s="19">
        <v>143.19264</v>
      </c>
      <c r="Q27" s="20">
        <v>168.77735</v>
      </c>
      <c r="R27" s="21">
        <v>53.95508</v>
      </c>
      <c r="S27" s="20">
        <v>0.391316831111908</v>
      </c>
      <c r="T27" s="20">
        <v>0.461234718561172</v>
      </c>
      <c r="U27" s="20">
        <v>168.77734375</v>
      </c>
      <c r="V27" s="19">
        <v>0</v>
      </c>
      <c r="W27" s="21">
        <v>0</v>
      </c>
      <c r="X27" s="24">
        <v>4232.35693359375</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4.25" spans="1:48">
      <c r="A28" s="18">
        <v>255</v>
      </c>
      <c r="B28" s="18">
        <v>0</v>
      </c>
      <c r="C28" s="18">
        <v>0</v>
      </c>
      <c r="D28" s="19"/>
      <c r="E28" s="20"/>
      <c r="F28" s="21"/>
      <c r="G28" s="20"/>
      <c r="H28" s="20"/>
      <c r="I28" s="20"/>
      <c r="J28" s="19"/>
      <c r="K28" s="21"/>
      <c r="L28" s="24"/>
      <c r="M28" s="18">
        <v>0</v>
      </c>
      <c r="N28" s="18">
        <v>0</v>
      </c>
      <c r="O28" s="18">
        <v>0</v>
      </c>
      <c r="P28" s="19">
        <v>0.1829736</v>
      </c>
      <c r="Q28" s="20">
        <v>0.1742953</v>
      </c>
      <c r="R28" s="21">
        <v>0.33991</v>
      </c>
      <c r="S28" s="20">
        <v>0.26244854927063</v>
      </c>
      <c r="T28" s="20">
        <v>0.250000834465027</v>
      </c>
      <c r="U28" s="20">
        <v>0.17429530620575</v>
      </c>
      <c r="V28" s="19">
        <v>0</v>
      </c>
      <c r="W28" s="21">
        <v>0</v>
      </c>
      <c r="X28" s="24">
        <v>20775.009765625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4.25" spans="1:48">
      <c r="A29" s="18">
        <v>0</v>
      </c>
      <c r="B29" s="18">
        <v>255</v>
      </c>
      <c r="C29" s="18">
        <v>0</v>
      </c>
      <c r="D29" s="19"/>
      <c r="E29" s="20"/>
      <c r="F29" s="21"/>
      <c r="G29" s="20"/>
      <c r="H29" s="20"/>
      <c r="I29" s="20"/>
      <c r="J29" s="19"/>
      <c r="K29" s="21"/>
      <c r="L29" s="24"/>
      <c r="M29" s="18">
        <v>16</v>
      </c>
      <c r="N29" s="18">
        <v>16</v>
      </c>
      <c r="O29" s="18">
        <v>16</v>
      </c>
      <c r="P29" s="19">
        <v>0.5606032</v>
      </c>
      <c r="Q29" s="20">
        <v>0.5828405</v>
      </c>
      <c r="R29" s="21">
        <v>0.7045132</v>
      </c>
      <c r="S29" s="20">
        <v>0.303363800048828</v>
      </c>
      <c r="T29" s="20">
        <v>0.31539723277092</v>
      </c>
      <c r="U29" s="20">
        <v>0.582840502262115</v>
      </c>
      <c r="V29" s="19">
        <v>0</v>
      </c>
      <c r="W29" s="21">
        <v>0</v>
      </c>
      <c r="X29" s="24">
        <v>7210.82568359375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4.25" spans="1:48">
      <c r="A30" s="18">
        <v>0</v>
      </c>
      <c r="B30" s="18">
        <v>0</v>
      </c>
      <c r="C30" s="18">
        <v>255</v>
      </c>
      <c r="D30" s="19"/>
      <c r="E30" s="20"/>
      <c r="F30" s="21"/>
      <c r="G30" s="20"/>
      <c r="H30" s="20"/>
      <c r="I30" s="20"/>
      <c r="J30" s="19"/>
      <c r="K30" s="21"/>
      <c r="L30" s="24"/>
      <c r="M30" s="18">
        <v>32</v>
      </c>
      <c r="N30" s="18">
        <v>32</v>
      </c>
      <c r="O30" s="18">
        <v>32</v>
      </c>
      <c r="P30" s="19">
        <v>1.8881464</v>
      </c>
      <c r="Q30" s="20">
        <v>2.024688</v>
      </c>
      <c r="R30" s="21">
        <v>1.960979</v>
      </c>
      <c r="S30" s="20">
        <v>0.321451544761658</v>
      </c>
      <c r="T30" s="20">
        <v>0.34469735622406</v>
      </c>
      <c r="U30" s="20">
        <v>2.02468800544739</v>
      </c>
      <c r="V30" s="19">
        <v>0</v>
      </c>
      <c r="W30" s="21">
        <v>0</v>
      </c>
      <c r="X30" s="24">
        <v>5989.5419921875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4.25" spans="1:48">
      <c r="A31" s="18">
        <v>0</v>
      </c>
      <c r="B31" s="18">
        <v>255</v>
      </c>
      <c r="C31" s="18">
        <v>255</v>
      </c>
      <c r="D31" s="19"/>
      <c r="E31" s="20"/>
      <c r="F31" s="21"/>
      <c r="G31" s="20"/>
      <c r="H31" s="20"/>
      <c r="I31" s="20"/>
      <c r="J31" s="19"/>
      <c r="K31" s="21"/>
      <c r="L31" s="24"/>
      <c r="M31" s="18">
        <v>48</v>
      </c>
      <c r="N31" s="18">
        <v>48</v>
      </c>
      <c r="O31" s="18">
        <v>48</v>
      </c>
      <c r="P31" s="19">
        <v>4.3614022</v>
      </c>
      <c r="Q31" s="20">
        <v>4.6581072</v>
      </c>
      <c r="R31" s="21">
        <v>4.3286224</v>
      </c>
      <c r="S31" s="20">
        <v>0.32674252986908</v>
      </c>
      <c r="T31" s="20">
        <v>0.348970711231232</v>
      </c>
      <c r="U31" s="20">
        <v>4.6581072807312</v>
      </c>
      <c r="V31" s="19">
        <v>0</v>
      </c>
      <c r="W31" s="21">
        <v>0</v>
      </c>
      <c r="X31" s="24">
        <v>5745.23095703125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4.25" spans="1:48">
      <c r="A32" s="18">
        <v>255</v>
      </c>
      <c r="B32" s="18">
        <v>0</v>
      </c>
      <c r="C32" s="18">
        <v>255</v>
      </c>
      <c r="D32" s="19"/>
      <c r="E32" s="20"/>
      <c r="F32" s="21"/>
      <c r="G32" s="20"/>
      <c r="H32" s="20"/>
      <c r="I32" s="20"/>
      <c r="J32" s="19"/>
      <c r="K32" s="21"/>
      <c r="L32" s="24"/>
      <c r="M32" s="18">
        <v>64</v>
      </c>
      <c r="N32" s="18">
        <v>64</v>
      </c>
      <c r="O32" s="18">
        <v>64</v>
      </c>
      <c r="P32" s="19">
        <v>8.0139977</v>
      </c>
      <c r="Q32" s="20">
        <v>8.5445345</v>
      </c>
      <c r="R32" s="21">
        <v>7.8876205</v>
      </c>
      <c r="S32" s="20">
        <v>0.32782244682312</v>
      </c>
      <c r="T32" s="20">
        <v>0.349524706602097</v>
      </c>
      <c r="U32" s="20">
        <v>8.54453468322754</v>
      </c>
      <c r="V32" s="19">
        <v>0</v>
      </c>
      <c r="W32" s="21">
        <v>0</v>
      </c>
      <c r="X32" s="24">
        <v>5698.21044921875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4.25" spans="1:48">
      <c r="A33" s="18">
        <v>255</v>
      </c>
      <c r="B33" s="18">
        <v>255</v>
      </c>
      <c r="C33" s="18">
        <v>0</v>
      </c>
      <c r="D33" s="19"/>
      <c r="E33" s="20"/>
      <c r="F33" s="21"/>
      <c r="G33" s="20"/>
      <c r="H33" s="20"/>
      <c r="I33" s="20"/>
      <c r="J33" s="19"/>
      <c r="K33" s="21"/>
      <c r="L33" s="24"/>
      <c r="M33" s="18">
        <v>80</v>
      </c>
      <c r="N33" s="18">
        <v>80</v>
      </c>
      <c r="O33" s="18">
        <v>80</v>
      </c>
      <c r="P33" s="19">
        <v>12.975342</v>
      </c>
      <c r="Q33" s="20">
        <v>13.831602</v>
      </c>
      <c r="R33" s="21">
        <v>12.588968</v>
      </c>
      <c r="S33" s="20">
        <v>0.32935756444931</v>
      </c>
      <c r="T33" s="20">
        <v>0.351092308759689</v>
      </c>
      <c r="U33" s="20">
        <v>13.8316020965576</v>
      </c>
      <c r="V33" s="19">
        <v>0</v>
      </c>
      <c r="W33" s="21">
        <v>0</v>
      </c>
      <c r="X33" s="24">
        <v>5632.0693359375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4.25" spans="1:48">
      <c r="A34" s="18"/>
      <c r="B34" s="18"/>
      <c r="C34" s="18"/>
      <c r="D34" s="19"/>
      <c r="E34" s="20"/>
      <c r="F34" s="21"/>
      <c r="G34" s="20"/>
      <c r="H34" s="20"/>
      <c r="I34" s="20"/>
      <c r="J34" s="19"/>
      <c r="K34" s="21"/>
      <c r="L34" s="24"/>
      <c r="M34" s="18">
        <v>96</v>
      </c>
      <c r="N34" s="18">
        <v>96</v>
      </c>
      <c r="O34" s="18">
        <v>96</v>
      </c>
      <c r="P34" s="19">
        <v>19.279203</v>
      </c>
      <c r="Q34" s="20">
        <v>20.555913</v>
      </c>
      <c r="R34" s="21">
        <v>18.678318</v>
      </c>
      <c r="S34" s="20">
        <v>0.329483360052109</v>
      </c>
      <c r="T34" s="20">
        <v>0.351302444934845</v>
      </c>
      <c r="U34" s="20">
        <v>20.5559139251709</v>
      </c>
      <c r="V34" s="19">
        <v>0</v>
      </c>
      <c r="W34" s="21">
        <v>0</v>
      </c>
      <c r="X34" s="24">
        <v>5626.6962890625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4.25" spans="1:48">
      <c r="A35" s="18"/>
      <c r="B35" s="18"/>
      <c r="C35" s="18"/>
      <c r="D35" s="19"/>
      <c r="E35" s="20"/>
      <c r="F35" s="21"/>
      <c r="G35" s="20"/>
      <c r="H35" s="20"/>
      <c r="I35" s="20"/>
      <c r="J35" s="19"/>
      <c r="K35" s="21"/>
      <c r="L35" s="24"/>
      <c r="M35" s="18">
        <v>112</v>
      </c>
      <c r="N35" s="18">
        <v>112</v>
      </c>
      <c r="O35" s="18">
        <v>112</v>
      </c>
      <c r="P35" s="19">
        <v>27.04956</v>
      </c>
      <c r="Q35" s="20">
        <v>28.789502</v>
      </c>
      <c r="R35" s="21">
        <v>26.334127</v>
      </c>
      <c r="S35" s="20">
        <v>0.329177439212799</v>
      </c>
      <c r="T35" s="20">
        <v>0.350351512432098</v>
      </c>
      <c r="U35" s="20">
        <v>28.7895011901855</v>
      </c>
      <c r="V35" s="19">
        <v>0</v>
      </c>
      <c r="W35" s="21">
        <v>0</v>
      </c>
      <c r="X35" s="24">
        <v>5640.04833984375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4.25" spans="1:48">
      <c r="A36" s="18"/>
      <c r="B36" s="18"/>
      <c r="C36" s="18"/>
      <c r="D36" s="19"/>
      <c r="E36" s="20"/>
      <c r="F36" s="21"/>
      <c r="G36" s="20"/>
      <c r="H36" s="20"/>
      <c r="I36" s="20"/>
      <c r="J36" s="19"/>
      <c r="K36" s="21"/>
      <c r="L36" s="24"/>
      <c r="M36" s="18">
        <v>128</v>
      </c>
      <c r="N36" s="18">
        <v>128</v>
      </c>
      <c r="O36" s="18">
        <v>128</v>
      </c>
      <c r="P36" s="19">
        <v>36.224961</v>
      </c>
      <c r="Q36" s="20">
        <v>38.710403</v>
      </c>
      <c r="R36" s="21">
        <v>35.523949</v>
      </c>
      <c r="S36" s="20">
        <v>0.327948451042175</v>
      </c>
      <c r="T36" s="20">
        <v>0.350449413061142</v>
      </c>
      <c r="U36" s="20">
        <v>38.7104034423828</v>
      </c>
      <c r="V36" s="19">
        <v>0</v>
      </c>
      <c r="W36" s="21">
        <v>0</v>
      </c>
      <c r="X36" s="24">
        <v>5691.97265625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4.25" spans="1:48">
      <c r="A37" s="18"/>
      <c r="B37" s="18"/>
      <c r="C37" s="18"/>
      <c r="D37" s="19"/>
      <c r="E37" s="20"/>
      <c r="F37" s="21"/>
      <c r="G37" s="20"/>
      <c r="H37" s="20"/>
      <c r="I37" s="20"/>
      <c r="J37" s="19"/>
      <c r="K37" s="21"/>
      <c r="L37" s="24"/>
      <c r="M37" s="18">
        <v>144</v>
      </c>
      <c r="N37" s="18">
        <v>144</v>
      </c>
      <c r="O37" s="18">
        <v>144</v>
      </c>
      <c r="P37" s="19">
        <v>46.964935</v>
      </c>
      <c r="Q37" s="20">
        <v>50.33568</v>
      </c>
      <c r="R37" s="21">
        <v>45.927434</v>
      </c>
      <c r="S37" s="20">
        <v>0.327903181314468</v>
      </c>
      <c r="T37" s="20">
        <v>0.351437300443649</v>
      </c>
      <c r="U37" s="20">
        <v>50.3356781005859</v>
      </c>
      <c r="V37" s="19">
        <v>0</v>
      </c>
      <c r="W37" s="21">
        <v>0</v>
      </c>
      <c r="X37" s="24">
        <v>5692.98046875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4.25" spans="1:48">
      <c r="A38" s="18"/>
      <c r="B38" s="18"/>
      <c r="C38" s="18"/>
      <c r="D38" s="19"/>
      <c r="E38" s="20"/>
      <c r="F38" s="21"/>
      <c r="G38" s="20"/>
      <c r="H38" s="20"/>
      <c r="I38" s="20"/>
      <c r="J38" s="19"/>
      <c r="K38" s="21"/>
      <c r="L38" s="24"/>
      <c r="M38" s="18">
        <v>160</v>
      </c>
      <c r="N38" s="18">
        <v>160</v>
      </c>
      <c r="O38" s="18">
        <v>160</v>
      </c>
      <c r="P38" s="19">
        <v>59.185378</v>
      </c>
      <c r="Q38" s="20">
        <v>63.602493</v>
      </c>
      <c r="R38" s="21">
        <v>58.001043</v>
      </c>
      <c r="S38" s="20">
        <v>0.327372819185257</v>
      </c>
      <c r="T38" s="20">
        <v>0.35180526971817</v>
      </c>
      <c r="U38" s="20">
        <v>63.6024932861328</v>
      </c>
      <c r="V38" s="19">
        <v>0</v>
      </c>
      <c r="W38" s="21">
        <v>0</v>
      </c>
      <c r="X38" s="24">
        <v>5714.998046875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4.25" spans="1:48">
      <c r="A39" s="18"/>
      <c r="B39" s="18"/>
      <c r="C39" s="18"/>
      <c r="D39" s="19"/>
      <c r="E39" s="20"/>
      <c r="F39" s="21"/>
      <c r="G39" s="20"/>
      <c r="H39" s="20"/>
      <c r="I39" s="20"/>
      <c r="J39" s="19"/>
      <c r="K39" s="21"/>
      <c r="L39" s="24"/>
      <c r="M39" s="18">
        <v>176</v>
      </c>
      <c r="N39" s="18">
        <v>176</v>
      </c>
      <c r="O39" s="18">
        <v>176</v>
      </c>
      <c r="P39" s="19">
        <v>73.220842</v>
      </c>
      <c r="Q39" s="20">
        <v>78.703006</v>
      </c>
      <c r="R39" s="21">
        <v>71.775243</v>
      </c>
      <c r="S39" s="20">
        <v>0.327318459749222</v>
      </c>
      <c r="T39" s="20">
        <v>0.351825326681137</v>
      </c>
      <c r="U39" s="20">
        <v>78.7030029296875</v>
      </c>
      <c r="V39" s="19">
        <v>0</v>
      </c>
      <c r="W39" s="21">
        <v>0</v>
      </c>
      <c r="X39" s="24">
        <v>5717.27197265625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4.25" spans="1:48">
      <c r="A40" s="18"/>
      <c r="B40" s="18"/>
      <c r="C40" s="18"/>
      <c r="D40" s="19"/>
      <c r="E40" s="20"/>
      <c r="F40" s="21"/>
      <c r="G40" s="20"/>
      <c r="H40" s="20"/>
      <c r="I40" s="20"/>
      <c r="J40" s="19"/>
      <c r="K40" s="21"/>
      <c r="L40" s="24"/>
      <c r="M40" s="18">
        <v>192</v>
      </c>
      <c r="N40" s="18">
        <v>192</v>
      </c>
      <c r="O40" s="18">
        <v>192</v>
      </c>
      <c r="P40" s="19">
        <v>88.75904</v>
      </c>
      <c r="Q40" s="20">
        <v>95.473758</v>
      </c>
      <c r="R40" s="21">
        <v>87.275031</v>
      </c>
      <c r="S40" s="20">
        <v>0.32691153883934</v>
      </c>
      <c r="T40" s="20">
        <v>0.35164275765419</v>
      </c>
      <c r="U40" s="20">
        <v>95.4737548828125</v>
      </c>
      <c r="V40" s="19">
        <v>0</v>
      </c>
      <c r="W40" s="21">
        <v>0</v>
      </c>
      <c r="X40" s="24">
        <v>5734.6923828125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4.25" spans="1:48">
      <c r="A41" s="18"/>
      <c r="B41" s="18"/>
      <c r="C41" s="18"/>
      <c r="D41" s="19"/>
      <c r="E41" s="20"/>
      <c r="F41" s="21"/>
      <c r="G41" s="20"/>
      <c r="H41" s="20"/>
      <c r="I41" s="20"/>
      <c r="J41" s="19"/>
      <c r="K41" s="21"/>
      <c r="L41" s="24"/>
      <c r="M41" s="18">
        <v>208</v>
      </c>
      <c r="N41" s="18">
        <v>208</v>
      </c>
      <c r="O41" s="18">
        <v>208</v>
      </c>
      <c r="P41" s="19">
        <v>106.10117</v>
      </c>
      <c r="Q41" s="20">
        <v>114.24693</v>
      </c>
      <c r="R41" s="21">
        <v>104.45435</v>
      </c>
      <c r="S41" s="20">
        <v>0.326663702726364</v>
      </c>
      <c r="T41" s="20">
        <v>0.351742833852768</v>
      </c>
      <c r="U41" s="20">
        <v>114.246932983398</v>
      </c>
      <c r="V41" s="19">
        <v>0</v>
      </c>
      <c r="W41" s="21">
        <v>0</v>
      </c>
      <c r="X41" s="24">
        <v>5745.07666015625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4.25" spans="1:48">
      <c r="A42" s="18"/>
      <c r="B42" s="18"/>
      <c r="C42" s="18"/>
      <c r="D42" s="19"/>
      <c r="E42" s="20"/>
      <c r="F42" s="21"/>
      <c r="G42" s="20"/>
      <c r="H42" s="20"/>
      <c r="I42" s="20"/>
      <c r="J42" s="19"/>
      <c r="K42" s="21"/>
      <c r="L42" s="24"/>
      <c r="M42" s="18">
        <v>224</v>
      </c>
      <c r="N42" s="18">
        <v>224</v>
      </c>
      <c r="O42" s="18">
        <v>224</v>
      </c>
      <c r="P42" s="19">
        <v>124.57912</v>
      </c>
      <c r="Q42" s="20">
        <v>134.32497</v>
      </c>
      <c r="R42" s="21">
        <v>123.18073</v>
      </c>
      <c r="S42" s="20">
        <v>0.326050966978073</v>
      </c>
      <c r="T42" s="20">
        <v>0.351557999849319</v>
      </c>
      <c r="U42" s="20">
        <v>134.324966430664</v>
      </c>
      <c r="V42" s="19">
        <v>0</v>
      </c>
      <c r="W42" s="21">
        <v>0</v>
      </c>
      <c r="X42" s="24">
        <v>5771.3759765625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4.25" spans="1:48">
      <c r="A43" s="18"/>
      <c r="B43" s="18"/>
      <c r="C43" s="18"/>
      <c r="D43" s="19"/>
      <c r="E43" s="20"/>
      <c r="F43" s="21"/>
      <c r="G43" s="20"/>
      <c r="H43" s="20"/>
      <c r="I43" s="20"/>
      <c r="J43" s="19"/>
      <c r="K43" s="21"/>
      <c r="L43" s="24"/>
      <c r="M43" s="18">
        <v>240</v>
      </c>
      <c r="N43" s="18">
        <v>240</v>
      </c>
      <c r="O43" s="18">
        <v>240</v>
      </c>
      <c r="P43" s="19">
        <v>145.24171</v>
      </c>
      <c r="Q43" s="20">
        <v>156.29635</v>
      </c>
      <c r="R43" s="21">
        <v>144.27287</v>
      </c>
      <c r="S43" s="20">
        <v>0.325792163610458</v>
      </c>
      <c r="T43" s="20">
        <v>0.350588858127594</v>
      </c>
      <c r="U43" s="20">
        <v>156.296356201172</v>
      </c>
      <c r="V43" s="19">
        <v>0</v>
      </c>
      <c r="W43" s="21">
        <v>0</v>
      </c>
      <c r="X43" s="24">
        <v>5783.88623046875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4.25" spans="1:48">
      <c r="A44" s="18"/>
      <c r="B44" s="18"/>
      <c r="C44" s="18"/>
      <c r="D44" s="19"/>
      <c r="E44" s="20"/>
      <c r="F44" s="21"/>
      <c r="G44" s="20"/>
      <c r="H44" s="20"/>
      <c r="I44" s="20"/>
      <c r="J44" s="19"/>
      <c r="K44" s="21"/>
      <c r="L44" s="24"/>
      <c r="M44" s="18">
        <v>255</v>
      </c>
      <c r="N44" s="18">
        <v>255</v>
      </c>
      <c r="O44" s="18">
        <v>255</v>
      </c>
      <c r="P44" s="19">
        <v>164.10276</v>
      </c>
      <c r="Q44" s="20">
        <v>175.73401</v>
      </c>
      <c r="R44" s="21">
        <v>160.12248</v>
      </c>
      <c r="S44" s="20">
        <v>0.328232258558273</v>
      </c>
      <c r="T44" s="20">
        <v>0.351496666669846</v>
      </c>
      <c r="U44" s="20">
        <v>175.734008789062</v>
      </c>
      <c r="V44" s="19">
        <v>0</v>
      </c>
      <c r="W44" s="21">
        <v>0</v>
      </c>
      <c r="X44" s="24">
        <v>5679.0625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4.2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4.2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4.2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4.2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4.2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4.2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4.2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4.2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4.2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4.2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4.2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4.2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4.2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4.2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4.2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4.2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4.2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4.2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4.2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4.2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2"/>
  <cols>
    <col min="1" max="1" width="18.33333333333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2024-08-28T10:19:14Z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