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7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8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9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0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1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1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3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4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5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lyssawicks/Documents/Research/Kit Validation/"/>
    </mc:Choice>
  </mc:AlternateContent>
  <xr:revisionPtr revIDLastSave="0" documentId="13_ncr:1_{FE506D5A-87EB-0F43-8AF9-4A2B57B434A0}" xr6:coauthVersionLast="47" xr6:coauthVersionMax="47" xr10:uidLastSave="{00000000-0000-0000-0000-000000000000}"/>
  <bookViews>
    <workbookView xWindow="0" yWindow="0" windowWidth="28800" windowHeight="18000" xr2:uid="{9E37D0BE-C8F7-0E47-BEDD-AE916A81C28D}"/>
  </bookViews>
  <sheets>
    <sheet name="Data" sheetId="16" r:id="rId1"/>
    <sheet name="MC Only" sheetId="23" r:id="rId2"/>
    <sheet name="SJC Only" sheetId="22" r:id="rId3"/>
    <sheet name="Grid View - Kits - MC SJC" sheetId="26" r:id="rId4"/>
    <sheet name="Grid - LRA Samples" sheetId="24" r:id="rId5"/>
    <sheet name="Metadata" sheetId="3" r:id="rId6"/>
    <sheet name="Thresholds" sheetId="4" r:id="rId7"/>
  </sheets>
  <definedNames>
    <definedName name="_xlchart.v1.0" hidden="1">'Grid View - Kits - MC SJC'!$M$1</definedName>
    <definedName name="_xlchart.v1.1" hidden="1">'Grid View - Kits - MC SJC'!$M$2:$M$121</definedName>
    <definedName name="_xlchart.v1.10" hidden="1">'Grid View - Kits - MC SJC'!$J$1</definedName>
    <definedName name="_xlchart.v1.11" hidden="1">'Grid View - Kits - MC SJC'!$J$2:$J$121</definedName>
    <definedName name="_xlchart.v1.12" hidden="1">'Grid View - Kits - MC SJC'!$I$2:$I$121</definedName>
    <definedName name="_xlchart.v1.13" hidden="1">'Grid View - Kits - MC SJC'!$K$1</definedName>
    <definedName name="_xlchart.v1.14" hidden="1">'Grid View - Kits - MC SJC'!$K$2:$K$121</definedName>
    <definedName name="_xlchart.v1.15" hidden="1">'Grid View - Kits - MC SJC'!$H$2:$H$121</definedName>
    <definedName name="_xlchart.v1.16" hidden="1">'Grid View - Kits - MC SJC'!$G$1</definedName>
    <definedName name="_xlchart.v1.17" hidden="1">'Grid View - Kits - MC SJC'!$G$2:$G$121</definedName>
    <definedName name="_xlchart.v1.18" hidden="1">'Grid - LRA Samples'!$H$2:$H$108</definedName>
    <definedName name="_xlchart.v1.19" hidden="1">'Grid - LRA Samples'!$E$2:$E$108</definedName>
    <definedName name="_xlchart.v1.2" hidden="1">'Grid View - Kits - MC SJC'!$F$1</definedName>
    <definedName name="_xlchart.v1.20" hidden="1">'Grid - LRA Samples'!$F$2:$F$108</definedName>
    <definedName name="_xlchart.v1.21" hidden="1">'Grid - LRA Samples'!$G$2:$G$108</definedName>
    <definedName name="_xlchart.v1.3" hidden="1">'Grid View - Kits - MC SJC'!$F$2:$F$121</definedName>
    <definedName name="_xlchart.v1.4" hidden="1">'Grid View - Kits - MC SJC'!$L$1</definedName>
    <definedName name="_xlchart.v1.5" hidden="1">'Grid View - Kits - MC SJC'!$L$2:$L$121</definedName>
    <definedName name="_xlchart.v1.6" hidden="1">'Grid View - Kits - MC SJC'!$I$2:$I$121</definedName>
    <definedName name="_xlchart.v1.7" hidden="1">'Grid View - Kits - MC SJC'!$E$1</definedName>
    <definedName name="_xlchart.v1.8" hidden="1">'Grid View - Kits - MC SJC'!$E$2:$E$121</definedName>
    <definedName name="_xlchart.v1.9" hidden="1">'Grid View - Kits - MC SJC'!$H$2:$H$121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26" l="1"/>
  <c r="B121" i="26"/>
  <c r="B120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72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2" i="26"/>
  <c r="A908" i="23"/>
  <c r="A894" i="23"/>
  <c r="A871" i="23"/>
  <c r="A859" i="23"/>
  <c r="A847" i="23"/>
  <c r="A835" i="23"/>
  <c r="A823" i="23"/>
  <c r="A806" i="23"/>
  <c r="A794" i="23"/>
  <c r="A782" i="23"/>
  <c r="A770" i="23"/>
  <c r="A757" i="23"/>
  <c r="A744" i="23"/>
  <c r="A732" i="23"/>
  <c r="A719" i="23"/>
  <c r="A706" i="23"/>
  <c r="A692" i="23"/>
  <c r="A680" i="23"/>
  <c r="A668" i="23"/>
  <c r="A651" i="23"/>
  <c r="A639" i="23"/>
  <c r="A622" i="23"/>
  <c r="A609" i="23"/>
  <c r="A593" i="23"/>
  <c r="A574" i="23"/>
  <c r="A562" i="23"/>
  <c r="A550" i="23"/>
  <c r="A538" i="23"/>
  <c r="A499" i="23"/>
  <c r="A479" i="23"/>
  <c r="A464" i="23"/>
  <c r="A452" i="23"/>
  <c r="A421" i="23"/>
  <c r="A408" i="23"/>
  <c r="A396" i="23"/>
  <c r="A382" i="23"/>
  <c r="A366" i="23"/>
  <c r="A354" i="23"/>
  <c r="A342" i="23"/>
  <c r="A329" i="23"/>
  <c r="A317" i="23"/>
  <c r="A305" i="23"/>
  <c r="A293" i="23"/>
  <c r="A281" i="23"/>
  <c r="A269" i="23"/>
  <c r="A251" i="23"/>
  <c r="A239" i="23"/>
  <c r="A227" i="23"/>
  <c r="A215" i="23"/>
  <c r="A203" i="23"/>
  <c r="A191" i="23"/>
  <c r="A179" i="23"/>
  <c r="A163" i="23"/>
  <c r="A151" i="23"/>
  <c r="A139" i="23"/>
  <c r="A126" i="23"/>
  <c r="A114" i="23"/>
  <c r="A102" i="23"/>
  <c r="A90" i="23"/>
  <c r="A78" i="23"/>
  <c r="A66" i="23"/>
  <c r="A54" i="23"/>
  <c r="A42" i="23"/>
  <c r="A747" i="22"/>
  <c r="A733" i="22"/>
  <c r="A722" i="22"/>
  <c r="A710" i="22"/>
  <c r="A698" i="22"/>
  <c r="A684" i="22"/>
  <c r="A605" i="22"/>
  <c r="A593" i="22"/>
  <c r="A580" i="22"/>
  <c r="A568" i="22"/>
  <c r="A557" i="22"/>
  <c r="A545" i="22"/>
  <c r="A526" i="22"/>
  <c r="A500" i="22"/>
  <c r="A488" i="22"/>
  <c r="A465" i="22"/>
  <c r="A454" i="22"/>
  <c r="A431" i="22"/>
  <c r="A419" i="22"/>
  <c r="A407" i="22"/>
  <c r="A395" i="22"/>
  <c r="A376" i="22"/>
  <c r="A360" i="22"/>
  <c r="A342" i="22"/>
  <c r="A320" i="22"/>
  <c r="A307" i="22"/>
  <c r="A292" i="22"/>
  <c r="A255" i="22"/>
  <c r="A243" i="22"/>
  <c r="A230" i="22"/>
  <c r="A219" i="22"/>
  <c r="A207" i="22"/>
  <c r="A188" i="22"/>
  <c r="A152" i="22"/>
  <c r="A140" i="22"/>
  <c r="A120" i="22"/>
  <c r="A108" i="22"/>
  <c r="A96" i="22"/>
  <c r="A84" i="22"/>
  <c r="A72" i="22"/>
  <c r="A56" i="22"/>
  <c r="A41" i="22"/>
  <c r="AL15" i="16" l="1"/>
  <c r="AM15" i="16" s="1"/>
  <c r="J128" i="26" l="1"/>
  <c r="H128" i="26"/>
  <c r="E128" i="26"/>
  <c r="F126" i="26"/>
  <c r="G126" i="26"/>
  <c r="E126" i="26"/>
  <c r="E125" i="26"/>
  <c r="L125" i="26"/>
  <c r="K125" i="26"/>
  <c r="J125" i="26"/>
  <c r="I125" i="26"/>
  <c r="H125" i="26"/>
  <c r="J118" i="26"/>
  <c r="H118" i="26"/>
  <c r="E118" i="26"/>
  <c r="L115" i="26"/>
  <c r="K115" i="26"/>
  <c r="J115" i="26"/>
  <c r="I115" i="26"/>
  <c r="I117" i="26" s="1"/>
  <c r="H115" i="26"/>
  <c r="H117" i="26" s="1"/>
  <c r="F116" i="26"/>
  <c r="G116" i="26"/>
  <c r="E116" i="26"/>
  <c r="E115" i="26"/>
  <c r="L67" i="26"/>
  <c r="K67" i="26"/>
  <c r="J67" i="26"/>
  <c r="I67" i="26"/>
  <c r="H67" i="26"/>
  <c r="F68" i="26"/>
  <c r="G68" i="26"/>
  <c r="E68" i="26"/>
  <c r="F125" i="26"/>
  <c r="G125" i="26"/>
  <c r="F124" i="26"/>
  <c r="G124" i="26"/>
  <c r="H124" i="26"/>
  <c r="I124" i="26"/>
  <c r="J124" i="26"/>
  <c r="K124" i="26"/>
  <c r="L124" i="26"/>
  <c r="M124" i="26"/>
  <c r="E124" i="26"/>
  <c r="F115" i="26"/>
  <c r="G115" i="26"/>
  <c r="F114" i="26"/>
  <c r="G114" i="26"/>
  <c r="H114" i="26"/>
  <c r="I114" i="26"/>
  <c r="J114" i="26"/>
  <c r="K114" i="26"/>
  <c r="L114" i="26"/>
  <c r="M114" i="26"/>
  <c r="E114" i="26"/>
  <c r="G117" i="26"/>
  <c r="F117" i="26"/>
  <c r="F67" i="26"/>
  <c r="F69" i="26" s="1"/>
  <c r="G67" i="26"/>
  <c r="G69" i="26" s="1"/>
  <c r="F66" i="26"/>
  <c r="G66" i="26"/>
  <c r="H66" i="26"/>
  <c r="I66" i="26"/>
  <c r="J66" i="26"/>
  <c r="K66" i="26"/>
  <c r="L66" i="26"/>
  <c r="M66" i="26"/>
  <c r="E67" i="26"/>
  <c r="E70" i="26" s="1"/>
  <c r="E66" i="26"/>
  <c r="J70" i="26" l="1"/>
  <c r="H70" i="26"/>
  <c r="H69" i="26"/>
  <c r="I69" i="26"/>
  <c r="J117" i="26"/>
  <c r="K117" i="26"/>
  <c r="L117" i="26"/>
  <c r="E117" i="26"/>
  <c r="J69" i="26"/>
  <c r="L69" i="26"/>
  <c r="K69" i="26"/>
  <c r="E69" i="26"/>
  <c r="R1654" i="16" l="1"/>
  <c r="I127" i="26" l="1"/>
  <c r="E127" i="26"/>
  <c r="F127" i="26"/>
  <c r="G127" i="26"/>
  <c r="H127" i="26"/>
  <c r="J127" i="26"/>
  <c r="K127" i="26"/>
  <c r="L127" i="26"/>
  <c r="H110" i="24" l="1"/>
  <c r="G110" i="24"/>
  <c r="AL1447" i="16"/>
  <c r="AK1447" i="16"/>
  <c r="AJ1447" i="16"/>
  <c r="AI1447" i="16"/>
  <c r="AL986" i="16"/>
  <c r="AK986" i="16"/>
  <c r="AJ986" i="16"/>
  <c r="AI986" i="16"/>
  <c r="AL846" i="16"/>
  <c r="AK846" i="16"/>
  <c r="AJ846" i="16"/>
  <c r="AI846" i="16"/>
  <c r="AL1653" i="16"/>
  <c r="AK1653" i="16"/>
  <c r="AJ1653" i="16"/>
  <c r="AI1653" i="16"/>
  <c r="AL1637" i="16"/>
  <c r="AK1637" i="16"/>
  <c r="AJ1637" i="16"/>
  <c r="AI1637" i="16"/>
  <c r="AL1623" i="16"/>
  <c r="AK1623" i="16"/>
  <c r="AJ1623" i="16"/>
  <c r="AI1623" i="16"/>
  <c r="AL1612" i="16"/>
  <c r="AK1612" i="16"/>
  <c r="AJ1612" i="16"/>
  <c r="AI1612" i="16"/>
  <c r="AL1600" i="16"/>
  <c r="AK1600" i="16"/>
  <c r="AJ1600" i="16"/>
  <c r="AI1600" i="16"/>
  <c r="AL1588" i="16"/>
  <c r="AK1588" i="16"/>
  <c r="AJ1588" i="16"/>
  <c r="AI1588" i="16"/>
  <c r="AL1574" i="16"/>
  <c r="AK1574" i="16"/>
  <c r="AJ1574" i="16"/>
  <c r="AI1574" i="16"/>
  <c r="AL1495" i="16"/>
  <c r="AK1495" i="16"/>
  <c r="AJ1495" i="16"/>
  <c r="AI1495" i="16"/>
  <c r="O1502" i="16"/>
  <c r="N1502" i="16"/>
  <c r="F1502" i="16"/>
  <c r="AL1483" i="16"/>
  <c r="AK1483" i="16"/>
  <c r="AJ1483" i="16"/>
  <c r="AI1483" i="16"/>
  <c r="AL1470" i="16"/>
  <c r="AK1470" i="16"/>
  <c r="AJ1470" i="16"/>
  <c r="AI1470" i="16"/>
  <c r="AL1458" i="16"/>
  <c r="AK1458" i="16"/>
  <c r="AJ1458" i="16"/>
  <c r="AI1458" i="16"/>
  <c r="AL1435" i="16"/>
  <c r="AK1435" i="16"/>
  <c r="AJ1435" i="16"/>
  <c r="AI1435" i="16"/>
  <c r="AL1416" i="16"/>
  <c r="AK1416" i="16"/>
  <c r="AJ1416" i="16"/>
  <c r="AI1416" i="16"/>
  <c r="AL1390" i="16"/>
  <c r="AK1390" i="16"/>
  <c r="AJ1390" i="16"/>
  <c r="AI1390" i="16"/>
  <c r="AL1378" i="16"/>
  <c r="AK1378" i="16"/>
  <c r="AJ1378" i="16"/>
  <c r="AI1378" i="16"/>
  <c r="AL1366" i="16"/>
  <c r="AK1366" i="16"/>
  <c r="AJ1366" i="16"/>
  <c r="AI1366" i="16"/>
  <c r="AL1343" i="16"/>
  <c r="AK1343" i="16"/>
  <c r="AJ1343" i="16"/>
  <c r="AI1343" i="16"/>
  <c r="AL1331" i="16"/>
  <c r="AK1331" i="16"/>
  <c r="AJ1331" i="16"/>
  <c r="AI1331" i="16"/>
  <c r="AL1319" i="16"/>
  <c r="AK1319" i="16"/>
  <c r="AJ1319" i="16"/>
  <c r="AI1319" i="16"/>
  <c r="AL1307" i="16"/>
  <c r="AK1307" i="16"/>
  <c r="AJ1307" i="16"/>
  <c r="AI1307" i="16"/>
  <c r="AL1295" i="16"/>
  <c r="AK1295" i="16"/>
  <c r="AJ1295" i="16"/>
  <c r="AI1295" i="16"/>
  <c r="AL1283" i="16"/>
  <c r="AK1283" i="16"/>
  <c r="AJ1283" i="16"/>
  <c r="AI1283" i="16"/>
  <c r="AL1268" i="16"/>
  <c r="AK1268" i="16"/>
  <c r="AJ1268" i="16"/>
  <c r="AI1268" i="16"/>
  <c r="AL1255" i="16"/>
  <c r="AK1255" i="16"/>
  <c r="AJ1255" i="16"/>
  <c r="AI1255" i="16"/>
  <c r="AL1233" i="16"/>
  <c r="AK1233" i="16"/>
  <c r="AJ1233" i="16"/>
  <c r="AI1233" i="16"/>
  <c r="AL1222" i="16"/>
  <c r="AK1222" i="16"/>
  <c r="AJ1222" i="16"/>
  <c r="AI1222" i="16"/>
  <c r="AL1208" i="16"/>
  <c r="AK1208" i="16"/>
  <c r="AJ1208" i="16"/>
  <c r="AI1208" i="16"/>
  <c r="AL1188" i="16"/>
  <c r="AK1188" i="16"/>
  <c r="AJ1188" i="16"/>
  <c r="AI1188" i="16"/>
  <c r="AL1165" i="16"/>
  <c r="AK1165" i="16"/>
  <c r="AJ1165" i="16"/>
  <c r="AI1165" i="16"/>
  <c r="AL1153" i="16"/>
  <c r="AK1153" i="16"/>
  <c r="AJ1153" i="16"/>
  <c r="AI1153" i="16"/>
  <c r="AL1141" i="16"/>
  <c r="AK1141" i="16"/>
  <c r="AJ1141" i="16"/>
  <c r="AI1141" i="16"/>
  <c r="AL1129" i="16"/>
  <c r="AK1129" i="16"/>
  <c r="AJ1129" i="16"/>
  <c r="AI1129" i="16"/>
  <c r="AL1117" i="16"/>
  <c r="AK1117" i="16"/>
  <c r="AJ1117" i="16"/>
  <c r="AI1117" i="16"/>
  <c r="AL1104" i="16"/>
  <c r="AK1104" i="16"/>
  <c r="AJ1104" i="16"/>
  <c r="AI1104" i="16"/>
  <c r="AL1092" i="16"/>
  <c r="AK1092" i="16"/>
  <c r="AJ1092" i="16"/>
  <c r="AI1092" i="16"/>
  <c r="AL1080" i="16"/>
  <c r="AK1080" i="16"/>
  <c r="AJ1080" i="16"/>
  <c r="AI1080" i="16"/>
  <c r="AL1068" i="16"/>
  <c r="AK1068" i="16"/>
  <c r="AJ1068" i="16"/>
  <c r="AI1068" i="16"/>
  <c r="AL1049" i="16"/>
  <c r="AK1049" i="16"/>
  <c r="AJ1049" i="16"/>
  <c r="AI1049" i="16"/>
  <c r="AL1037" i="16"/>
  <c r="AK1037" i="16"/>
  <c r="AJ1037" i="16"/>
  <c r="AI1037" i="16"/>
  <c r="AL1024" i="16"/>
  <c r="AK1024" i="16"/>
  <c r="AJ1024" i="16"/>
  <c r="AI1024" i="16"/>
  <c r="AL1010" i="16"/>
  <c r="AK1010" i="16"/>
  <c r="AJ1010" i="16"/>
  <c r="AI1010" i="16"/>
  <c r="AL998" i="16"/>
  <c r="AK998" i="16"/>
  <c r="AJ998" i="16"/>
  <c r="AI998" i="16"/>
  <c r="AL970" i="16"/>
  <c r="AK970" i="16"/>
  <c r="AJ970" i="16"/>
  <c r="AI970" i="16"/>
  <c r="AL952" i="16"/>
  <c r="AK952" i="16"/>
  <c r="AJ952" i="16"/>
  <c r="AI952" i="16"/>
  <c r="AL936" i="16"/>
  <c r="AK936" i="16"/>
  <c r="AJ936" i="16"/>
  <c r="AI936" i="16"/>
  <c r="AL924" i="16"/>
  <c r="AK924" i="16"/>
  <c r="AJ924" i="16"/>
  <c r="AI924" i="16"/>
  <c r="AL907" i="16"/>
  <c r="AK907" i="16"/>
  <c r="AJ907" i="16"/>
  <c r="AI907" i="16"/>
  <c r="AL894" i="16"/>
  <c r="AK894" i="16"/>
  <c r="AJ894" i="16"/>
  <c r="AI894" i="16"/>
  <c r="AL873" i="16"/>
  <c r="AK873" i="16"/>
  <c r="AJ873" i="16"/>
  <c r="AI873" i="16"/>
  <c r="AL858" i="16"/>
  <c r="AK858" i="16"/>
  <c r="AJ858" i="16"/>
  <c r="AI858" i="16"/>
  <c r="AL831" i="16"/>
  <c r="AK831" i="16"/>
  <c r="AJ831" i="16"/>
  <c r="AI831" i="16"/>
  <c r="AL794" i="16"/>
  <c r="AK794" i="16"/>
  <c r="AJ794" i="16"/>
  <c r="AI794" i="16"/>
  <c r="AL776" i="16"/>
  <c r="AK776" i="16"/>
  <c r="AJ776" i="16"/>
  <c r="AI776" i="16"/>
  <c r="AL764" i="16"/>
  <c r="AK764" i="16"/>
  <c r="AJ764" i="16"/>
  <c r="AI764" i="16"/>
  <c r="AL752" i="16"/>
  <c r="AK752" i="16"/>
  <c r="AJ752" i="16"/>
  <c r="AI752" i="16"/>
  <c r="AL740" i="16"/>
  <c r="AK740" i="16"/>
  <c r="AJ740" i="16"/>
  <c r="AI740" i="16"/>
  <c r="AL701" i="16"/>
  <c r="AK701" i="16"/>
  <c r="AJ701" i="16"/>
  <c r="AI701" i="16"/>
  <c r="AL681" i="16"/>
  <c r="AK681" i="16"/>
  <c r="AJ681" i="16"/>
  <c r="AI681" i="16"/>
  <c r="AL666" i="16"/>
  <c r="AK666" i="16"/>
  <c r="AJ666" i="16"/>
  <c r="AI666" i="16"/>
  <c r="AL654" i="16"/>
  <c r="AK654" i="16"/>
  <c r="AJ654" i="16"/>
  <c r="AI654" i="16"/>
  <c r="AL623" i="16"/>
  <c r="AK623" i="16"/>
  <c r="AJ623" i="16"/>
  <c r="AI623" i="16"/>
  <c r="AL610" i="16"/>
  <c r="AK610" i="16"/>
  <c r="AJ610" i="16"/>
  <c r="AI610" i="16"/>
  <c r="AL598" i="16"/>
  <c r="AK598" i="16"/>
  <c r="AJ598" i="16"/>
  <c r="AI598" i="16"/>
  <c r="AL584" i="16"/>
  <c r="AK584" i="16"/>
  <c r="AJ584" i="16"/>
  <c r="AI584" i="16"/>
  <c r="AL568" i="16"/>
  <c r="AK568" i="16"/>
  <c r="AJ568" i="16"/>
  <c r="AI568" i="16"/>
  <c r="AL556" i="16"/>
  <c r="AK556" i="16"/>
  <c r="AJ556" i="16"/>
  <c r="AI556" i="16"/>
  <c r="AL544" i="16"/>
  <c r="AK544" i="16"/>
  <c r="AJ544" i="16"/>
  <c r="AI544" i="16"/>
  <c r="AL531" i="16"/>
  <c r="AK531" i="16"/>
  <c r="AJ531" i="16"/>
  <c r="AI531" i="16"/>
  <c r="AL519" i="16"/>
  <c r="AK519" i="16"/>
  <c r="AJ519" i="16"/>
  <c r="AI519" i="16"/>
  <c r="AL507" i="16"/>
  <c r="AK507" i="16"/>
  <c r="AJ507" i="16"/>
  <c r="AI507" i="16"/>
  <c r="AL483" i="16"/>
  <c r="AK483" i="16"/>
  <c r="AJ483" i="16"/>
  <c r="AI483" i="16"/>
  <c r="AL495" i="16"/>
  <c r="AK495" i="16"/>
  <c r="AJ495" i="16"/>
  <c r="AI495" i="16"/>
  <c r="AL471" i="16"/>
  <c r="AK471" i="16"/>
  <c r="AJ471" i="16"/>
  <c r="AI471" i="16"/>
  <c r="AL453" i="16"/>
  <c r="AK453" i="16"/>
  <c r="AJ453" i="16"/>
  <c r="AI453" i="16"/>
  <c r="AL441" i="16"/>
  <c r="AK441" i="16"/>
  <c r="AJ441" i="16"/>
  <c r="AI441" i="16"/>
  <c r="AL429" i="16"/>
  <c r="AK429" i="16"/>
  <c r="AJ429" i="16"/>
  <c r="AI429" i="16"/>
  <c r="AL417" i="16"/>
  <c r="AK417" i="16"/>
  <c r="AJ417" i="16"/>
  <c r="AI417" i="16"/>
  <c r="AL405" i="16"/>
  <c r="AK405" i="16"/>
  <c r="AJ405" i="16"/>
  <c r="AI405" i="16"/>
  <c r="AL393" i="16"/>
  <c r="AK393" i="16"/>
  <c r="AJ393" i="16"/>
  <c r="AI393" i="16"/>
  <c r="AL381" i="16"/>
  <c r="AK381" i="16"/>
  <c r="AJ381" i="16"/>
  <c r="AI381" i="16"/>
  <c r="AL365" i="16"/>
  <c r="AK365" i="16"/>
  <c r="AJ365" i="16"/>
  <c r="AI365" i="16"/>
  <c r="AL353" i="16"/>
  <c r="AK353" i="16"/>
  <c r="AJ353" i="16"/>
  <c r="AI353" i="16"/>
  <c r="AL341" i="16"/>
  <c r="AK341" i="16"/>
  <c r="AJ341" i="16"/>
  <c r="AI341" i="16"/>
  <c r="AL328" i="16"/>
  <c r="AK328" i="16"/>
  <c r="AJ328" i="16"/>
  <c r="AI328" i="16"/>
  <c r="AL316" i="16"/>
  <c r="AK316" i="16"/>
  <c r="AJ316" i="16"/>
  <c r="AI316" i="16"/>
  <c r="AL304" i="16"/>
  <c r="AK304" i="16"/>
  <c r="AJ304" i="16"/>
  <c r="AI304" i="16"/>
  <c r="AL292" i="16"/>
  <c r="AK292" i="16"/>
  <c r="AJ292" i="16"/>
  <c r="AI292" i="16"/>
  <c r="AL280" i="16"/>
  <c r="AK280" i="16"/>
  <c r="AJ280" i="16"/>
  <c r="AI280" i="16"/>
  <c r="AL268" i="16"/>
  <c r="AK268" i="16"/>
  <c r="AJ268" i="16"/>
  <c r="AI268" i="16"/>
  <c r="AL256" i="16"/>
  <c r="AK256" i="16"/>
  <c r="AJ256" i="16"/>
  <c r="AI256" i="16"/>
  <c r="AL245" i="16"/>
  <c r="AK245" i="16"/>
  <c r="AJ245" i="16"/>
  <c r="AI245" i="16"/>
  <c r="AL232" i="16"/>
  <c r="AK232" i="16"/>
  <c r="AJ232" i="16"/>
  <c r="AI232" i="16"/>
  <c r="AL221" i="16"/>
  <c r="AK221" i="16"/>
  <c r="AJ221" i="16"/>
  <c r="AI221" i="16"/>
  <c r="AL209" i="16"/>
  <c r="AK209" i="16"/>
  <c r="AJ209" i="16"/>
  <c r="AI209" i="16"/>
  <c r="AL190" i="16"/>
  <c r="AK190" i="16"/>
  <c r="AJ190" i="16"/>
  <c r="AI190" i="16"/>
  <c r="AL154" i="16"/>
  <c r="AK154" i="16"/>
  <c r="AJ154" i="16"/>
  <c r="AI154" i="16"/>
  <c r="AL142" i="16"/>
  <c r="AK142" i="16"/>
  <c r="AJ142" i="16"/>
  <c r="AI142" i="16"/>
  <c r="AL122" i="16"/>
  <c r="AK122" i="16"/>
  <c r="AJ122" i="16"/>
  <c r="AI122" i="16"/>
  <c r="AI110" i="16"/>
  <c r="AL110" i="16"/>
  <c r="AK110" i="16"/>
  <c r="AJ110" i="16"/>
  <c r="AL44" i="16"/>
  <c r="H2" i="24" s="1"/>
  <c r="G2" i="24"/>
  <c r="F2" i="24"/>
  <c r="E2" i="24"/>
  <c r="AL98" i="16"/>
  <c r="AK98" i="16"/>
  <c r="AJ98" i="16"/>
  <c r="AI98" i="16"/>
  <c r="AL86" i="16"/>
  <c r="AK86" i="16"/>
  <c r="AJ86" i="16"/>
  <c r="AI86" i="16"/>
  <c r="AL74" i="16"/>
  <c r="AK74" i="16"/>
  <c r="AJ74" i="16"/>
  <c r="AI74" i="16"/>
  <c r="AL58" i="16"/>
  <c r="AK58" i="16"/>
  <c r="AI58" i="16"/>
  <c r="AK44" i="16"/>
  <c r="AJ44" i="16"/>
  <c r="AI44" i="16"/>
  <c r="F116" i="24" l="1"/>
  <c r="F117" i="24" s="1"/>
  <c r="F112" i="24"/>
  <c r="F114" i="24"/>
  <c r="G116" i="24"/>
  <c r="G117" i="24" s="1"/>
  <c r="G112" i="24"/>
  <c r="G114" i="24"/>
  <c r="H114" i="24"/>
  <c r="H112" i="24"/>
  <c r="H116" i="24"/>
  <c r="H117" i="24" s="1"/>
  <c r="E114" i="24"/>
  <c r="E116" i="24"/>
  <c r="E117" i="24" s="1"/>
  <c r="E112" i="24"/>
  <c r="Y28" i="23"/>
  <c r="Y27" i="23"/>
  <c r="Y26" i="23"/>
  <c r="Y25" i="23"/>
  <c r="Y23" i="23"/>
  <c r="Y22" i="23"/>
  <c r="Y21" i="23"/>
  <c r="Y20" i="23"/>
  <c r="Y18" i="23"/>
  <c r="Y17" i="23"/>
  <c r="Y16" i="23"/>
  <c r="Y15" i="23"/>
  <c r="O918" i="23"/>
  <c r="N918" i="23"/>
  <c r="O917" i="23"/>
  <c r="W916" i="23" s="1"/>
  <c r="X916" i="23" s="1"/>
  <c r="N917" i="23"/>
  <c r="O916" i="23"/>
  <c r="N916" i="23"/>
  <c r="X915" i="23"/>
  <c r="O915" i="23"/>
  <c r="N915" i="23"/>
  <c r="O914" i="23"/>
  <c r="W912" i="23" s="1"/>
  <c r="X912" i="23" s="1"/>
  <c r="N914" i="23"/>
  <c r="F914" i="23"/>
  <c r="O913" i="23"/>
  <c r="W913" i="23" s="1"/>
  <c r="X913" i="23" s="1"/>
  <c r="N913" i="23"/>
  <c r="F913" i="23"/>
  <c r="R912" i="23" s="1"/>
  <c r="V917" i="23" s="1"/>
  <c r="O912" i="23"/>
  <c r="N912" i="23"/>
  <c r="F912" i="23"/>
  <c r="R911" i="23"/>
  <c r="V914" i="23" s="1"/>
  <c r="O911" i="23"/>
  <c r="N911" i="23"/>
  <c r="F911" i="23"/>
  <c r="R910" i="23" s="1"/>
  <c r="X910" i="23"/>
  <c r="O910" i="23"/>
  <c r="N910" i="23"/>
  <c r="F910" i="23"/>
  <c r="O904" i="23"/>
  <c r="N904" i="23"/>
  <c r="O903" i="23"/>
  <c r="W902" i="23" s="1"/>
  <c r="N903" i="23"/>
  <c r="X902" i="23"/>
  <c r="O902" i="23"/>
  <c r="N902" i="23"/>
  <c r="X901" i="23"/>
  <c r="O901" i="23"/>
  <c r="N901" i="23"/>
  <c r="O900" i="23"/>
  <c r="N900" i="23"/>
  <c r="O899" i="23"/>
  <c r="W899" i="23" s="1"/>
  <c r="X899" i="23" s="1"/>
  <c r="N899" i="23"/>
  <c r="F899" i="23"/>
  <c r="R898" i="23" s="1"/>
  <c r="V903" i="23" s="1"/>
  <c r="O898" i="23"/>
  <c r="N898" i="23"/>
  <c r="F898" i="23"/>
  <c r="R897" i="23"/>
  <c r="V900" i="23" s="1"/>
  <c r="O897" i="23"/>
  <c r="N897" i="23"/>
  <c r="F897" i="23"/>
  <c r="R896" i="23" s="1"/>
  <c r="AA895" i="23" s="1"/>
  <c r="X896" i="23"/>
  <c r="O896" i="23"/>
  <c r="N896" i="23"/>
  <c r="F896" i="23"/>
  <c r="AB895" i="23"/>
  <c r="F892" i="23"/>
  <c r="F891" i="23"/>
  <c r="R875" i="23" s="1"/>
  <c r="V880" i="23" s="1"/>
  <c r="F890" i="23"/>
  <c r="F889" i="23"/>
  <c r="F888" i="23"/>
  <c r="F887" i="23"/>
  <c r="F886" i="23"/>
  <c r="F885" i="23"/>
  <c r="F884" i="23"/>
  <c r="F883" i="23"/>
  <c r="F882" i="23"/>
  <c r="O881" i="23"/>
  <c r="N881" i="23"/>
  <c r="F881" i="23"/>
  <c r="O880" i="23"/>
  <c r="W879" i="23" s="1"/>
  <c r="X879" i="23" s="1"/>
  <c r="N880" i="23"/>
  <c r="F880" i="23"/>
  <c r="O879" i="23"/>
  <c r="N879" i="23"/>
  <c r="F879" i="23"/>
  <c r="X878" i="23"/>
  <c r="O878" i="23"/>
  <c r="N878" i="23"/>
  <c r="F878" i="23"/>
  <c r="O877" i="23"/>
  <c r="W875" i="23" s="1"/>
  <c r="X875" i="23" s="1"/>
  <c r="N877" i="23"/>
  <c r="F877" i="23"/>
  <c r="O876" i="23"/>
  <c r="W876" i="23" s="1"/>
  <c r="X876" i="23" s="1"/>
  <c r="N876" i="23"/>
  <c r="F876" i="23"/>
  <c r="R873" i="23" s="1"/>
  <c r="O875" i="23"/>
  <c r="N875" i="23"/>
  <c r="F875" i="23"/>
  <c r="R874" i="23"/>
  <c r="V877" i="23" s="1"/>
  <c r="O874" i="23"/>
  <c r="N874" i="23"/>
  <c r="F874" i="23"/>
  <c r="X873" i="23"/>
  <c r="O873" i="23"/>
  <c r="N873" i="23"/>
  <c r="F873" i="23"/>
  <c r="O869" i="23"/>
  <c r="N869" i="23"/>
  <c r="O868" i="23"/>
  <c r="W867" i="23" s="1"/>
  <c r="N868" i="23"/>
  <c r="X867" i="23"/>
  <c r="O867" i="23"/>
  <c r="N867" i="23"/>
  <c r="X866" i="23"/>
  <c r="O866" i="23"/>
  <c r="N866" i="23"/>
  <c r="O865" i="23"/>
  <c r="W863" i="23" s="1"/>
  <c r="X863" i="23" s="1"/>
  <c r="N865" i="23"/>
  <c r="F865" i="23"/>
  <c r="O864" i="23"/>
  <c r="N864" i="23"/>
  <c r="F864" i="23"/>
  <c r="R863" i="23" s="1"/>
  <c r="AC860" i="23" s="1"/>
  <c r="O863" i="23"/>
  <c r="N863" i="23"/>
  <c r="F863" i="23"/>
  <c r="R862" i="23"/>
  <c r="V865" i="23" s="1"/>
  <c r="O862" i="23"/>
  <c r="N862" i="23"/>
  <c r="X861" i="23"/>
  <c r="R861" i="23"/>
  <c r="O861" i="23"/>
  <c r="N861" i="23"/>
  <c r="F861" i="23"/>
  <c r="AB860" i="23"/>
  <c r="O857" i="23"/>
  <c r="N857" i="23"/>
  <c r="O856" i="23"/>
  <c r="W855" i="23" s="1"/>
  <c r="N856" i="23"/>
  <c r="X855" i="23"/>
  <c r="O855" i="23"/>
  <c r="N855" i="23"/>
  <c r="X854" i="23"/>
  <c r="O854" i="23"/>
  <c r="N854" i="23"/>
  <c r="O853" i="23"/>
  <c r="W851" i="23" s="1"/>
  <c r="X851" i="23" s="1"/>
  <c r="N853" i="23"/>
  <c r="F853" i="23"/>
  <c r="R851" i="23" s="1"/>
  <c r="AC848" i="23" s="1"/>
  <c r="O852" i="23"/>
  <c r="N852" i="23"/>
  <c r="F852" i="23"/>
  <c r="O851" i="23"/>
  <c r="N851" i="23"/>
  <c r="F851" i="23"/>
  <c r="R850" i="23"/>
  <c r="V853" i="23" s="1"/>
  <c r="O850" i="23"/>
  <c r="N850" i="23"/>
  <c r="F850" i="23"/>
  <c r="R849" i="23" s="1"/>
  <c r="X849" i="23"/>
  <c r="O849" i="23"/>
  <c r="N849" i="23"/>
  <c r="F849" i="23"/>
  <c r="AB848" i="23"/>
  <c r="O845" i="23"/>
  <c r="N845" i="23"/>
  <c r="O844" i="23"/>
  <c r="W843" i="23" s="1"/>
  <c r="N844" i="23"/>
  <c r="X843" i="23"/>
  <c r="O843" i="23"/>
  <c r="N843" i="23"/>
  <c r="X842" i="23"/>
  <c r="O842" i="23"/>
  <c r="N842" i="23"/>
  <c r="O841" i="23"/>
  <c r="W839" i="23" s="1"/>
  <c r="X839" i="23" s="1"/>
  <c r="N841" i="23"/>
  <c r="F841" i="23"/>
  <c r="O840" i="23"/>
  <c r="W840" i="23" s="1"/>
  <c r="X840" i="23" s="1"/>
  <c r="N840" i="23"/>
  <c r="F840" i="23"/>
  <c r="R839" i="23" s="1"/>
  <c r="O839" i="23"/>
  <c r="N839" i="23"/>
  <c r="F839" i="23"/>
  <c r="R838" i="23"/>
  <c r="O838" i="23"/>
  <c r="N838" i="23"/>
  <c r="X837" i="23"/>
  <c r="R837" i="23"/>
  <c r="V838" i="23" s="1"/>
  <c r="O837" i="23"/>
  <c r="N837" i="23"/>
  <c r="F837" i="23"/>
  <c r="O833" i="23"/>
  <c r="N833" i="23"/>
  <c r="O832" i="23"/>
  <c r="W831" i="23" s="1"/>
  <c r="N832" i="23"/>
  <c r="X831" i="23"/>
  <c r="O831" i="23"/>
  <c r="N831" i="23"/>
  <c r="X830" i="23"/>
  <c r="O830" i="23"/>
  <c r="N830" i="23"/>
  <c r="O829" i="23"/>
  <c r="W827" i="23" s="1"/>
  <c r="X827" i="23" s="1"/>
  <c r="N829" i="23"/>
  <c r="O828" i="23"/>
  <c r="W828" i="23" s="1"/>
  <c r="X828" i="23" s="1"/>
  <c r="N828" i="23"/>
  <c r="F828" i="23"/>
  <c r="R827" i="23" s="1"/>
  <c r="V832" i="23" s="1"/>
  <c r="O827" i="23"/>
  <c r="N827" i="23"/>
  <c r="F827" i="23"/>
  <c r="R826" i="23"/>
  <c r="V829" i="23" s="1"/>
  <c r="O826" i="23"/>
  <c r="N826" i="23"/>
  <c r="X825" i="23"/>
  <c r="R825" i="23"/>
  <c r="V826" i="23" s="1"/>
  <c r="O825" i="23"/>
  <c r="N825" i="23"/>
  <c r="F825" i="23"/>
  <c r="O816" i="23"/>
  <c r="N816" i="23"/>
  <c r="V815" i="23"/>
  <c r="O815" i="23"/>
  <c r="W814" i="23" s="1"/>
  <c r="X814" i="23" s="1"/>
  <c r="N815" i="23"/>
  <c r="O814" i="23"/>
  <c r="N814" i="23"/>
  <c r="X813" i="23"/>
  <c r="O813" i="23"/>
  <c r="N813" i="23"/>
  <c r="O812" i="23"/>
  <c r="W810" i="23" s="1"/>
  <c r="X810" i="23" s="1"/>
  <c r="N812" i="23"/>
  <c r="O811" i="23"/>
  <c r="W811" i="23" s="1"/>
  <c r="X811" i="23" s="1"/>
  <c r="N811" i="23"/>
  <c r="F811" i="23"/>
  <c r="O810" i="23"/>
  <c r="N810" i="23"/>
  <c r="F810" i="23"/>
  <c r="R808" i="23" s="1"/>
  <c r="R809" i="23"/>
  <c r="V812" i="23" s="1"/>
  <c r="O809" i="23"/>
  <c r="N809" i="23"/>
  <c r="F809" i="23"/>
  <c r="X808" i="23"/>
  <c r="O808" i="23"/>
  <c r="N808" i="23"/>
  <c r="F808" i="23"/>
  <c r="AC807" i="23"/>
  <c r="O804" i="23"/>
  <c r="N804" i="23"/>
  <c r="F804" i="23"/>
  <c r="O803" i="23"/>
  <c r="W802" i="23" s="1"/>
  <c r="X802" i="23" s="1"/>
  <c r="N803" i="23"/>
  <c r="F803" i="23"/>
  <c r="O802" i="23"/>
  <c r="N802" i="23"/>
  <c r="F802" i="23"/>
  <c r="X801" i="23"/>
  <c r="O801" i="23"/>
  <c r="N801" i="23"/>
  <c r="F801" i="23"/>
  <c r="O800" i="23"/>
  <c r="W798" i="23" s="1"/>
  <c r="X798" i="23" s="1"/>
  <c r="N800" i="23"/>
  <c r="F800" i="23"/>
  <c r="O799" i="23"/>
  <c r="N799" i="23"/>
  <c r="F799" i="23"/>
  <c r="R798" i="23"/>
  <c r="AC795" i="23" s="1"/>
  <c r="O798" i="23"/>
  <c r="N798" i="23"/>
  <c r="F798" i="23"/>
  <c r="R797" i="23"/>
  <c r="V800" i="23" s="1"/>
  <c r="O797" i="23"/>
  <c r="N797" i="23"/>
  <c r="F797" i="23"/>
  <c r="X796" i="23"/>
  <c r="R796" i="23"/>
  <c r="O796" i="23"/>
  <c r="N796" i="23"/>
  <c r="F796" i="23"/>
  <c r="O792" i="23"/>
  <c r="N792" i="23"/>
  <c r="O791" i="23"/>
  <c r="W790" i="23" s="1"/>
  <c r="N791" i="23"/>
  <c r="X790" i="23"/>
  <c r="O790" i="23"/>
  <c r="N790" i="23"/>
  <c r="X789" i="23"/>
  <c r="O789" i="23"/>
  <c r="N789" i="23"/>
  <c r="O788" i="23"/>
  <c r="W786" i="23" s="1"/>
  <c r="X786" i="23" s="1"/>
  <c r="N788" i="23"/>
  <c r="O787" i="23"/>
  <c r="W787" i="23" s="1"/>
  <c r="X787" i="23" s="1"/>
  <c r="N787" i="23"/>
  <c r="F787" i="23"/>
  <c r="R786" i="23"/>
  <c r="AC783" i="23" s="1"/>
  <c r="O786" i="23"/>
  <c r="N786" i="23"/>
  <c r="F786" i="23"/>
  <c r="R785" i="23"/>
  <c r="O785" i="23"/>
  <c r="N785" i="23"/>
  <c r="F785" i="23"/>
  <c r="X784" i="23"/>
  <c r="R784" i="23"/>
  <c r="V785" i="23" s="1"/>
  <c r="O784" i="23"/>
  <c r="N784" i="23"/>
  <c r="F784" i="23"/>
  <c r="O780" i="23"/>
  <c r="N780" i="23"/>
  <c r="O779" i="23"/>
  <c r="W778" i="23" s="1"/>
  <c r="N779" i="23"/>
  <c r="X778" i="23"/>
  <c r="O778" i="23"/>
  <c r="N778" i="23"/>
  <c r="X777" i="23"/>
  <c r="O777" i="23"/>
  <c r="N777" i="23"/>
  <c r="O776" i="23"/>
  <c r="W774" i="23" s="1"/>
  <c r="X774" i="23" s="1"/>
  <c r="N776" i="23"/>
  <c r="O775" i="23"/>
  <c r="W775" i="23" s="1"/>
  <c r="X775" i="23" s="1"/>
  <c r="N775" i="23"/>
  <c r="F775" i="23"/>
  <c r="R774" i="23"/>
  <c r="AC771" i="23" s="1"/>
  <c r="O774" i="23"/>
  <c r="N774" i="23"/>
  <c r="F774" i="23"/>
  <c r="R773" i="23"/>
  <c r="AB771" i="23" s="1"/>
  <c r="O773" i="23"/>
  <c r="N773" i="23"/>
  <c r="F773" i="23"/>
  <c r="X772" i="23"/>
  <c r="R772" i="23"/>
  <c r="V773" i="23" s="1"/>
  <c r="O772" i="23"/>
  <c r="N772" i="23"/>
  <c r="F772" i="23"/>
  <c r="O767" i="23"/>
  <c r="N767" i="23"/>
  <c r="O766" i="23"/>
  <c r="W765" i="23" s="1"/>
  <c r="N766" i="23"/>
  <c r="X765" i="23"/>
  <c r="O765" i="23"/>
  <c r="N765" i="23"/>
  <c r="X764" i="23"/>
  <c r="O764" i="23"/>
  <c r="N764" i="23"/>
  <c r="V763" i="23"/>
  <c r="O763" i="23"/>
  <c r="W761" i="23" s="1"/>
  <c r="X761" i="23" s="1"/>
  <c r="N763" i="23"/>
  <c r="O762" i="23"/>
  <c r="N762" i="23"/>
  <c r="F762" i="23"/>
  <c r="R761" i="23" s="1"/>
  <c r="V766" i="23" s="1"/>
  <c r="O761" i="23"/>
  <c r="N761" i="23"/>
  <c r="F761" i="23"/>
  <c r="O760" i="23"/>
  <c r="N760" i="23"/>
  <c r="F760" i="23"/>
  <c r="R759" i="23" s="1"/>
  <c r="X759" i="23"/>
  <c r="O759" i="23"/>
  <c r="N759" i="23"/>
  <c r="F759" i="23"/>
  <c r="AB758" i="23"/>
  <c r="O754" i="23"/>
  <c r="N754" i="23"/>
  <c r="O753" i="23"/>
  <c r="W752" i="23" s="1"/>
  <c r="N753" i="23"/>
  <c r="X752" i="23"/>
  <c r="O752" i="23"/>
  <c r="N752" i="23"/>
  <c r="X751" i="23"/>
  <c r="O751" i="23"/>
  <c r="N751" i="23"/>
  <c r="V750" i="23"/>
  <c r="O750" i="23"/>
  <c r="W748" i="23" s="1"/>
  <c r="X748" i="23" s="1"/>
  <c r="N750" i="23"/>
  <c r="O749" i="23"/>
  <c r="N749" i="23"/>
  <c r="F749" i="23"/>
  <c r="R748" i="23" s="1"/>
  <c r="V753" i="23" s="1"/>
  <c r="O748" i="23"/>
  <c r="N748" i="23"/>
  <c r="F748" i="23"/>
  <c r="O747" i="23"/>
  <c r="N747" i="23"/>
  <c r="F747" i="23"/>
  <c r="R746" i="23" s="1"/>
  <c r="X746" i="23"/>
  <c r="O746" i="23"/>
  <c r="N746" i="23"/>
  <c r="F746" i="23"/>
  <c r="AB745" i="23"/>
  <c r="O742" i="23"/>
  <c r="N742" i="23"/>
  <c r="O741" i="23"/>
  <c r="W740" i="23" s="1"/>
  <c r="N741" i="23"/>
  <c r="X740" i="23"/>
  <c r="O740" i="23"/>
  <c r="N740" i="23"/>
  <c r="X739" i="23"/>
  <c r="O739" i="23"/>
  <c r="N739" i="23"/>
  <c r="V738" i="23"/>
  <c r="O738" i="23"/>
  <c r="W736" i="23" s="1"/>
  <c r="X736" i="23" s="1"/>
  <c r="N738" i="23"/>
  <c r="O737" i="23"/>
  <c r="N737" i="23"/>
  <c r="F737" i="23"/>
  <c r="R736" i="23" s="1"/>
  <c r="O736" i="23"/>
  <c r="N736" i="23"/>
  <c r="F736" i="23"/>
  <c r="O735" i="23"/>
  <c r="N735" i="23"/>
  <c r="X734" i="23"/>
  <c r="R734" i="23"/>
  <c r="O734" i="23"/>
  <c r="N734" i="23"/>
  <c r="F734" i="23"/>
  <c r="AB733" i="23"/>
  <c r="O729" i="23"/>
  <c r="N729" i="23"/>
  <c r="O728" i="23"/>
  <c r="W727" i="23" s="1"/>
  <c r="X727" i="23" s="1"/>
  <c r="N728" i="23"/>
  <c r="O727" i="23"/>
  <c r="N727" i="23"/>
  <c r="X726" i="23"/>
  <c r="O726" i="23"/>
  <c r="N726" i="23"/>
  <c r="V725" i="23"/>
  <c r="O725" i="23"/>
  <c r="W723" i="23" s="1"/>
  <c r="X723" i="23" s="1"/>
  <c r="N725" i="23"/>
  <c r="F725" i="23"/>
  <c r="O724" i="23"/>
  <c r="W724" i="23" s="1"/>
  <c r="X724" i="23" s="1"/>
  <c r="N724" i="23"/>
  <c r="F724" i="23"/>
  <c r="R723" i="23" s="1"/>
  <c r="AC720" i="23" s="1"/>
  <c r="O723" i="23"/>
  <c r="N723" i="23"/>
  <c r="F723" i="23"/>
  <c r="O722" i="23"/>
  <c r="N722" i="23"/>
  <c r="F722" i="23"/>
  <c r="R721" i="23" s="1"/>
  <c r="X721" i="23"/>
  <c r="O721" i="23"/>
  <c r="N721" i="23"/>
  <c r="F721" i="23"/>
  <c r="AB720" i="23"/>
  <c r="O716" i="23"/>
  <c r="N716" i="23"/>
  <c r="O715" i="23"/>
  <c r="W714" i="23" s="1"/>
  <c r="X714" i="23" s="1"/>
  <c r="N715" i="23"/>
  <c r="O714" i="23"/>
  <c r="N714" i="23"/>
  <c r="F714" i="23"/>
  <c r="X713" i="23"/>
  <c r="O713" i="23"/>
  <c r="N713" i="23"/>
  <c r="F713" i="23"/>
  <c r="V712" i="23"/>
  <c r="O712" i="23"/>
  <c r="W710" i="23" s="1"/>
  <c r="X710" i="23" s="1"/>
  <c r="N712" i="23"/>
  <c r="F712" i="23"/>
  <c r="O711" i="23"/>
  <c r="N711" i="23"/>
  <c r="F711" i="23"/>
  <c r="R710" i="23"/>
  <c r="AC707" i="23" s="1"/>
  <c r="O710" i="23"/>
  <c r="N710" i="23"/>
  <c r="O709" i="23"/>
  <c r="N709" i="23"/>
  <c r="F709" i="23"/>
  <c r="X708" i="23"/>
  <c r="R708" i="23"/>
  <c r="O708" i="23"/>
  <c r="N708" i="23"/>
  <c r="F708" i="23"/>
  <c r="AB707" i="23"/>
  <c r="F704" i="23"/>
  <c r="F703" i="23"/>
  <c r="R696" i="23" s="1"/>
  <c r="O702" i="23"/>
  <c r="N702" i="23"/>
  <c r="F702" i="23"/>
  <c r="O701" i="23"/>
  <c r="W700" i="23" s="1"/>
  <c r="X700" i="23" s="1"/>
  <c r="N701" i="23"/>
  <c r="F701" i="23"/>
  <c r="O700" i="23"/>
  <c r="N700" i="23"/>
  <c r="F700" i="23"/>
  <c r="R694" i="23" s="1"/>
  <c r="V695" i="23" s="1"/>
  <c r="X699" i="23"/>
  <c r="O699" i="23"/>
  <c r="N699" i="23"/>
  <c r="F699" i="23"/>
  <c r="V698" i="23"/>
  <c r="O698" i="23"/>
  <c r="W696" i="23" s="1"/>
  <c r="X696" i="23" s="1"/>
  <c r="N698" i="23"/>
  <c r="F698" i="23"/>
  <c r="O697" i="23"/>
  <c r="N697" i="23"/>
  <c r="F697" i="23"/>
  <c r="O696" i="23"/>
  <c r="N696" i="23"/>
  <c r="F696" i="23"/>
  <c r="O695" i="23"/>
  <c r="N695" i="23"/>
  <c r="F695" i="23"/>
  <c r="X694" i="23"/>
  <c r="O694" i="23"/>
  <c r="N694" i="23"/>
  <c r="F694" i="23"/>
  <c r="AB693" i="23"/>
  <c r="O690" i="23"/>
  <c r="N690" i="23"/>
  <c r="O689" i="23"/>
  <c r="W688" i="23" s="1"/>
  <c r="X688" i="23" s="1"/>
  <c r="N689" i="23"/>
  <c r="O688" i="23"/>
  <c r="N688" i="23"/>
  <c r="X687" i="23"/>
  <c r="O687" i="23"/>
  <c r="N687" i="23"/>
  <c r="F687" i="23"/>
  <c r="V686" i="23"/>
  <c r="O686" i="23"/>
  <c r="W684" i="23" s="1"/>
  <c r="X684" i="23" s="1"/>
  <c r="N686" i="23"/>
  <c r="F686" i="23"/>
  <c r="R684" i="23" s="1"/>
  <c r="AC681" i="23" s="1"/>
  <c r="O685" i="23"/>
  <c r="N685" i="23"/>
  <c r="F685" i="23"/>
  <c r="O684" i="23"/>
  <c r="N684" i="23"/>
  <c r="O683" i="23"/>
  <c r="N683" i="23"/>
  <c r="F683" i="23"/>
  <c r="X682" i="23"/>
  <c r="R682" i="23"/>
  <c r="O682" i="23"/>
  <c r="N682" i="23"/>
  <c r="F682" i="23"/>
  <c r="AB681" i="23"/>
  <c r="O678" i="23"/>
  <c r="N678" i="23"/>
  <c r="O677" i="23"/>
  <c r="W676" i="23" s="1"/>
  <c r="X676" i="23" s="1"/>
  <c r="N677" i="23"/>
  <c r="O676" i="23"/>
  <c r="N676" i="23"/>
  <c r="X675" i="23"/>
  <c r="O675" i="23"/>
  <c r="N675" i="23"/>
  <c r="F675" i="23"/>
  <c r="O674" i="23"/>
  <c r="W672" i="23" s="1"/>
  <c r="X672" i="23" s="1"/>
  <c r="N674" i="23"/>
  <c r="F674" i="23"/>
  <c r="O673" i="23"/>
  <c r="N673" i="23"/>
  <c r="F673" i="23"/>
  <c r="R672" i="23" s="1"/>
  <c r="V677" i="23" s="1"/>
  <c r="O672" i="23"/>
  <c r="N672" i="23"/>
  <c r="F672" i="23"/>
  <c r="R671" i="23"/>
  <c r="V674" i="23" s="1"/>
  <c r="O671" i="23"/>
  <c r="N671" i="23"/>
  <c r="X670" i="23"/>
  <c r="R670" i="23"/>
  <c r="O670" i="23"/>
  <c r="N670" i="23"/>
  <c r="F670" i="23"/>
  <c r="AB669" i="23"/>
  <c r="F664" i="23"/>
  <c r="F663" i="23"/>
  <c r="R655" i="23" s="1"/>
  <c r="F662" i="23"/>
  <c r="O661" i="23"/>
  <c r="N661" i="23"/>
  <c r="F661" i="23"/>
  <c r="R653" i="23" s="1"/>
  <c r="AA652" i="23" s="1"/>
  <c r="O660" i="23"/>
  <c r="W659" i="23" s="1"/>
  <c r="X659" i="23" s="1"/>
  <c r="N660" i="23"/>
  <c r="F660" i="23"/>
  <c r="O659" i="23"/>
  <c r="N659" i="23"/>
  <c r="F659" i="23"/>
  <c r="X658" i="23"/>
  <c r="O658" i="23"/>
  <c r="N658" i="23"/>
  <c r="F658" i="23"/>
  <c r="O657" i="23"/>
  <c r="W655" i="23" s="1"/>
  <c r="X655" i="23" s="1"/>
  <c r="N657" i="23"/>
  <c r="F657" i="23"/>
  <c r="O656" i="23"/>
  <c r="N656" i="23"/>
  <c r="F656" i="23"/>
  <c r="O655" i="23"/>
  <c r="N655" i="23"/>
  <c r="F655" i="23"/>
  <c r="R654" i="23"/>
  <c r="V657" i="23" s="1"/>
  <c r="O654" i="23"/>
  <c r="N654" i="23"/>
  <c r="F654" i="23"/>
  <c r="X653" i="23"/>
  <c r="O653" i="23"/>
  <c r="N653" i="23"/>
  <c r="F653" i="23"/>
  <c r="AB652" i="23"/>
  <c r="O649" i="23"/>
  <c r="N649" i="23"/>
  <c r="V648" i="23"/>
  <c r="O648" i="23"/>
  <c r="W647" i="23" s="1"/>
  <c r="X647" i="23" s="1"/>
  <c r="N648" i="23"/>
  <c r="O647" i="23"/>
  <c r="N647" i="23"/>
  <c r="X646" i="23"/>
  <c r="O646" i="23"/>
  <c r="N646" i="23"/>
  <c r="W645" i="23"/>
  <c r="O645" i="23"/>
  <c r="W643" i="23" s="1"/>
  <c r="X643" i="23" s="1"/>
  <c r="N645" i="23"/>
  <c r="F645" i="23"/>
  <c r="O644" i="23"/>
  <c r="W644" i="23" s="1"/>
  <c r="X644" i="23" s="1"/>
  <c r="N644" i="23"/>
  <c r="F644" i="23"/>
  <c r="O643" i="23"/>
  <c r="N643" i="23"/>
  <c r="F643" i="23"/>
  <c r="R642" i="23"/>
  <c r="AB640" i="23" s="1"/>
  <c r="O642" i="23"/>
  <c r="N642" i="23"/>
  <c r="F642" i="23"/>
  <c r="R641" i="23" s="1"/>
  <c r="X641" i="23"/>
  <c r="O641" i="23"/>
  <c r="N641" i="23"/>
  <c r="F641" i="23"/>
  <c r="AE640" i="23"/>
  <c r="AC640" i="23"/>
  <c r="F637" i="23"/>
  <c r="F636" i="23"/>
  <c r="F635" i="23"/>
  <c r="F634" i="23"/>
  <c r="F633" i="23"/>
  <c r="O632" i="23"/>
  <c r="N632" i="23"/>
  <c r="F632" i="23"/>
  <c r="O631" i="23"/>
  <c r="W630" i="23" s="1"/>
  <c r="X630" i="23" s="1"/>
  <c r="N631" i="23"/>
  <c r="F631" i="23"/>
  <c r="O630" i="23"/>
  <c r="N630" i="23"/>
  <c r="F630" i="23"/>
  <c r="X629" i="23"/>
  <c r="O629" i="23"/>
  <c r="N629" i="23"/>
  <c r="F629" i="23"/>
  <c r="O628" i="23"/>
  <c r="W626" i="23" s="1"/>
  <c r="X626" i="23" s="1"/>
  <c r="N628" i="23"/>
  <c r="F628" i="23"/>
  <c r="O627" i="23"/>
  <c r="N627" i="23"/>
  <c r="F627" i="23"/>
  <c r="O626" i="23"/>
  <c r="N626" i="23"/>
  <c r="F626" i="23"/>
  <c r="R624" i="23" s="1"/>
  <c r="V625" i="23" s="1"/>
  <c r="R625" i="23"/>
  <c r="O625" i="23"/>
  <c r="N625" i="23"/>
  <c r="F625" i="23"/>
  <c r="X624" i="23"/>
  <c r="O624" i="23"/>
  <c r="N624" i="23"/>
  <c r="F624" i="23"/>
  <c r="AC623" i="23"/>
  <c r="F620" i="23"/>
  <c r="O619" i="23"/>
  <c r="N619" i="23"/>
  <c r="F619" i="23"/>
  <c r="O618" i="23"/>
  <c r="W617" i="23" s="1"/>
  <c r="X617" i="23" s="1"/>
  <c r="N618" i="23"/>
  <c r="F618" i="23"/>
  <c r="O617" i="23"/>
  <c r="N617" i="23"/>
  <c r="F617" i="23"/>
  <c r="X616" i="23"/>
  <c r="O616" i="23"/>
  <c r="N616" i="23"/>
  <c r="F616" i="23"/>
  <c r="O615" i="23"/>
  <c r="W613" i="23" s="1"/>
  <c r="X613" i="23" s="1"/>
  <c r="N615" i="23"/>
  <c r="F615" i="23"/>
  <c r="O614" i="23"/>
  <c r="N614" i="23"/>
  <c r="F614" i="23"/>
  <c r="O613" i="23"/>
  <c r="N613" i="23"/>
  <c r="F613" i="23"/>
  <c r="R612" i="23"/>
  <c r="O612" i="23"/>
  <c r="N612" i="23"/>
  <c r="F612" i="23"/>
  <c r="R611" i="23" s="1"/>
  <c r="X611" i="23"/>
  <c r="O611" i="23"/>
  <c r="N611" i="23"/>
  <c r="F611" i="23"/>
  <c r="AC610" i="23"/>
  <c r="F605" i="23"/>
  <c r="F604" i="23"/>
  <c r="O603" i="23"/>
  <c r="N603" i="23"/>
  <c r="F603" i="23"/>
  <c r="O602" i="23"/>
  <c r="W601" i="23" s="1"/>
  <c r="X601" i="23" s="1"/>
  <c r="N602" i="23"/>
  <c r="F602" i="23"/>
  <c r="O601" i="23"/>
  <c r="N601" i="23"/>
  <c r="F601" i="23"/>
  <c r="X600" i="23"/>
  <c r="O600" i="23"/>
  <c r="N600" i="23"/>
  <c r="F600" i="23"/>
  <c r="O599" i="23"/>
  <c r="W597" i="23" s="1"/>
  <c r="X597" i="23" s="1"/>
  <c r="N599" i="23"/>
  <c r="F599" i="23"/>
  <c r="O598" i="23"/>
  <c r="N598" i="23"/>
  <c r="F598" i="23"/>
  <c r="R597" i="23"/>
  <c r="AC594" i="23" s="1"/>
  <c r="O597" i="23"/>
  <c r="N597" i="23"/>
  <c r="F597" i="23"/>
  <c r="R595" i="23" s="1"/>
  <c r="R596" i="23"/>
  <c r="O596" i="23"/>
  <c r="N596" i="23"/>
  <c r="F596" i="23"/>
  <c r="X595" i="23"/>
  <c r="O595" i="23"/>
  <c r="N595" i="23"/>
  <c r="F595" i="23"/>
  <c r="F590" i="23"/>
  <c r="R578" i="23" s="1"/>
  <c r="AC575" i="23" s="1"/>
  <c r="F589" i="23"/>
  <c r="F588" i="23"/>
  <c r="F587" i="23"/>
  <c r="F586" i="23"/>
  <c r="F585" i="23"/>
  <c r="O584" i="23"/>
  <c r="N584" i="23"/>
  <c r="F584" i="23"/>
  <c r="O583" i="23"/>
  <c r="W582" i="23" s="1"/>
  <c r="N583" i="23"/>
  <c r="F583" i="23"/>
  <c r="X582" i="23"/>
  <c r="O582" i="23"/>
  <c r="N582" i="23"/>
  <c r="F582" i="23"/>
  <c r="X581" i="23"/>
  <c r="O581" i="23"/>
  <c r="N581" i="23"/>
  <c r="F581" i="23"/>
  <c r="O580" i="23"/>
  <c r="W578" i="23" s="1"/>
  <c r="X578" i="23" s="1"/>
  <c r="N580" i="23"/>
  <c r="F580" i="23"/>
  <c r="O579" i="23"/>
  <c r="N579" i="23"/>
  <c r="F579" i="23"/>
  <c r="R576" i="23" s="1"/>
  <c r="V577" i="23" s="1"/>
  <c r="O578" i="23"/>
  <c r="N578" i="23"/>
  <c r="F578" i="23"/>
  <c r="R577" i="23"/>
  <c r="O577" i="23"/>
  <c r="N577" i="23"/>
  <c r="F577" i="23"/>
  <c r="X576" i="23"/>
  <c r="O576" i="23"/>
  <c r="N576" i="23"/>
  <c r="F576" i="23"/>
  <c r="O572" i="23"/>
  <c r="N572" i="23"/>
  <c r="O571" i="23"/>
  <c r="W570" i="23" s="1"/>
  <c r="X570" i="23" s="1"/>
  <c r="N571" i="23"/>
  <c r="O570" i="23"/>
  <c r="N570" i="23"/>
  <c r="X569" i="23"/>
  <c r="O569" i="23"/>
  <c r="N569" i="23"/>
  <c r="O568" i="23"/>
  <c r="W566" i="23" s="1"/>
  <c r="X566" i="23" s="1"/>
  <c r="N568" i="23"/>
  <c r="F568" i="23"/>
  <c r="O567" i="23"/>
  <c r="W567" i="23" s="1"/>
  <c r="X567" i="23" s="1"/>
  <c r="N567" i="23"/>
  <c r="F567" i="23"/>
  <c r="R566" i="23" s="1"/>
  <c r="O566" i="23"/>
  <c r="N566" i="23"/>
  <c r="F566" i="23"/>
  <c r="R565" i="23"/>
  <c r="V568" i="23" s="1"/>
  <c r="O565" i="23"/>
  <c r="N565" i="23"/>
  <c r="F565" i="23"/>
  <c r="R564" i="23" s="1"/>
  <c r="X564" i="23"/>
  <c r="O564" i="23"/>
  <c r="N564" i="23"/>
  <c r="F564" i="23"/>
  <c r="O560" i="23"/>
  <c r="N560" i="23"/>
  <c r="O559" i="23"/>
  <c r="W558" i="23" s="1"/>
  <c r="X558" i="23" s="1"/>
  <c r="N559" i="23"/>
  <c r="O558" i="23"/>
  <c r="N558" i="23"/>
  <c r="X557" i="23"/>
  <c r="O557" i="23"/>
  <c r="N557" i="23"/>
  <c r="O556" i="23"/>
  <c r="W554" i="23" s="1"/>
  <c r="X554" i="23" s="1"/>
  <c r="N556" i="23"/>
  <c r="F556" i="23"/>
  <c r="O555" i="23"/>
  <c r="W555" i="23" s="1"/>
  <c r="X555" i="23" s="1"/>
  <c r="N555" i="23"/>
  <c r="F555" i="23"/>
  <c r="R554" i="23" s="1"/>
  <c r="O554" i="23"/>
  <c r="N554" i="23"/>
  <c r="F554" i="23"/>
  <c r="R553" i="23"/>
  <c r="O553" i="23"/>
  <c r="N553" i="23"/>
  <c r="X552" i="23"/>
  <c r="R552" i="23"/>
  <c r="AA551" i="23" s="1"/>
  <c r="O552" i="23"/>
  <c r="N552" i="23"/>
  <c r="F552" i="23"/>
  <c r="O548" i="23"/>
  <c r="N548" i="23"/>
  <c r="O547" i="23"/>
  <c r="W546" i="23" s="1"/>
  <c r="X546" i="23" s="1"/>
  <c r="N547" i="23"/>
  <c r="O546" i="23"/>
  <c r="N546" i="23"/>
  <c r="X545" i="23"/>
  <c r="O545" i="23"/>
  <c r="N545" i="23"/>
  <c r="O544" i="23"/>
  <c r="N544" i="23"/>
  <c r="O543" i="23"/>
  <c r="W543" i="23" s="1"/>
  <c r="X543" i="23" s="1"/>
  <c r="N543" i="23"/>
  <c r="F543" i="23"/>
  <c r="R542" i="23" s="1"/>
  <c r="O542" i="23"/>
  <c r="N542" i="23"/>
  <c r="F542" i="23"/>
  <c r="R541" i="23"/>
  <c r="V544" i="23" s="1"/>
  <c r="O541" i="23"/>
  <c r="N541" i="23"/>
  <c r="F541" i="23"/>
  <c r="R540" i="23" s="1"/>
  <c r="AA539" i="23" s="1"/>
  <c r="X540" i="23"/>
  <c r="O540" i="23"/>
  <c r="N540" i="23"/>
  <c r="F540" i="23"/>
  <c r="F535" i="23"/>
  <c r="F534" i="23"/>
  <c r="R503" i="23" s="1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R501" i="23" s="1"/>
  <c r="F511" i="23"/>
  <c r="F510" i="23"/>
  <c r="O509" i="23"/>
  <c r="N509" i="23"/>
  <c r="F509" i="23"/>
  <c r="O508" i="23"/>
  <c r="N508" i="23"/>
  <c r="F508" i="23"/>
  <c r="O507" i="23"/>
  <c r="N507" i="23"/>
  <c r="F507" i="23"/>
  <c r="O506" i="23"/>
  <c r="N506" i="23"/>
  <c r="F506" i="23"/>
  <c r="O505" i="23"/>
  <c r="N505" i="23"/>
  <c r="F505" i="23"/>
  <c r="O504" i="23"/>
  <c r="N504" i="23"/>
  <c r="F504" i="23"/>
  <c r="X503" i="23"/>
  <c r="O503" i="23"/>
  <c r="N503" i="23"/>
  <c r="F503" i="23"/>
  <c r="R502" i="23"/>
  <c r="V505" i="23" s="1"/>
  <c r="O502" i="23"/>
  <c r="N502" i="23"/>
  <c r="F502" i="23"/>
  <c r="X501" i="23"/>
  <c r="O501" i="23"/>
  <c r="N501" i="23"/>
  <c r="F501" i="23"/>
  <c r="AB500" i="23"/>
  <c r="F495" i="23"/>
  <c r="R483" i="23" s="1"/>
  <c r="AC480" i="23" s="1"/>
  <c r="F494" i="23"/>
  <c r="F493" i="23"/>
  <c r="F492" i="23"/>
  <c r="F491" i="23"/>
  <c r="F490" i="23"/>
  <c r="O489" i="23"/>
  <c r="N489" i="23"/>
  <c r="F489" i="23"/>
  <c r="O488" i="23"/>
  <c r="W487" i="23" s="1"/>
  <c r="N488" i="23"/>
  <c r="F488" i="23"/>
  <c r="X487" i="23"/>
  <c r="O487" i="23"/>
  <c r="N487" i="23"/>
  <c r="F487" i="23"/>
  <c r="R481" i="23" s="1"/>
  <c r="X486" i="23"/>
  <c r="O486" i="23"/>
  <c r="N486" i="23"/>
  <c r="F486" i="23"/>
  <c r="O485" i="23"/>
  <c r="N485" i="23"/>
  <c r="F485" i="23"/>
  <c r="O484" i="23"/>
  <c r="W484" i="23" s="1"/>
  <c r="X484" i="23" s="1"/>
  <c r="N484" i="23"/>
  <c r="F484" i="23"/>
  <c r="O483" i="23"/>
  <c r="N483" i="23"/>
  <c r="F483" i="23"/>
  <c r="R482" i="23"/>
  <c r="O482" i="23"/>
  <c r="N482" i="23"/>
  <c r="F482" i="23"/>
  <c r="X481" i="23"/>
  <c r="O481" i="23"/>
  <c r="N481" i="23"/>
  <c r="F481" i="23"/>
  <c r="F476" i="23"/>
  <c r="F475" i="23"/>
  <c r="O474" i="23"/>
  <c r="N474" i="23"/>
  <c r="F474" i="23"/>
  <c r="V473" i="23"/>
  <c r="O473" i="23"/>
  <c r="W472" i="23" s="1"/>
  <c r="X472" i="23" s="1"/>
  <c r="N473" i="23"/>
  <c r="F473" i="23"/>
  <c r="O472" i="23"/>
  <c r="N472" i="23"/>
  <c r="F472" i="23"/>
  <c r="X471" i="23"/>
  <c r="O471" i="23"/>
  <c r="N471" i="23"/>
  <c r="F471" i="23"/>
  <c r="O470" i="23"/>
  <c r="W468" i="23" s="1"/>
  <c r="X468" i="23" s="1"/>
  <c r="N470" i="23"/>
  <c r="F470" i="23"/>
  <c r="O469" i="23"/>
  <c r="W469" i="23" s="1"/>
  <c r="X469" i="23" s="1"/>
  <c r="N469" i="23"/>
  <c r="F469" i="23"/>
  <c r="O468" i="23"/>
  <c r="N468" i="23"/>
  <c r="F468" i="23"/>
  <c r="R466" i="23" s="1"/>
  <c r="R467" i="23"/>
  <c r="AB465" i="23" s="1"/>
  <c r="O467" i="23"/>
  <c r="N467" i="23"/>
  <c r="F467" i="23"/>
  <c r="X466" i="23"/>
  <c r="O466" i="23"/>
  <c r="N466" i="23"/>
  <c r="F466" i="23"/>
  <c r="AC465" i="23"/>
  <c r="O462" i="23"/>
  <c r="N462" i="23"/>
  <c r="O461" i="23"/>
  <c r="W460" i="23" s="1"/>
  <c r="N461" i="23"/>
  <c r="X460" i="23"/>
  <c r="O460" i="23"/>
  <c r="N460" i="23"/>
  <c r="X459" i="23"/>
  <c r="O459" i="23"/>
  <c r="N459" i="23"/>
  <c r="O458" i="23"/>
  <c r="W456" i="23" s="1"/>
  <c r="X456" i="23" s="1"/>
  <c r="N458" i="23"/>
  <c r="O457" i="23"/>
  <c r="N457" i="23"/>
  <c r="F457" i="23"/>
  <c r="R456" i="23" s="1"/>
  <c r="O456" i="23"/>
  <c r="N456" i="23"/>
  <c r="F456" i="23"/>
  <c r="R455" i="23"/>
  <c r="O455" i="23"/>
  <c r="N455" i="23"/>
  <c r="F455" i="23"/>
  <c r="R454" i="23" s="1"/>
  <c r="AA453" i="23" s="1"/>
  <c r="X454" i="23"/>
  <c r="O454" i="23"/>
  <c r="N454" i="23"/>
  <c r="F454" i="23"/>
  <c r="F449" i="23"/>
  <c r="F448" i="23"/>
  <c r="F447" i="23"/>
  <c r="F446" i="23"/>
  <c r="F445" i="23"/>
  <c r="F444" i="23"/>
  <c r="F443" i="23"/>
  <c r="F442" i="23"/>
  <c r="R425" i="23" s="1"/>
  <c r="AC422" i="23" s="1"/>
  <c r="F441" i="23"/>
  <c r="F440" i="23"/>
  <c r="F439" i="23"/>
  <c r="F438" i="23"/>
  <c r="F437" i="23"/>
  <c r="F436" i="23"/>
  <c r="F435" i="23"/>
  <c r="R423" i="23" s="1"/>
  <c r="F434" i="23"/>
  <c r="F433" i="23"/>
  <c r="F432" i="23"/>
  <c r="O431" i="23"/>
  <c r="N431" i="23"/>
  <c r="F431" i="23"/>
  <c r="O430" i="23"/>
  <c r="W429" i="23" s="1"/>
  <c r="X429" i="23" s="1"/>
  <c r="N430" i="23"/>
  <c r="F430" i="23"/>
  <c r="O429" i="23"/>
  <c r="N429" i="23"/>
  <c r="F429" i="23"/>
  <c r="X428" i="23"/>
  <c r="O428" i="23"/>
  <c r="N428" i="23"/>
  <c r="F428" i="23"/>
  <c r="O427" i="23"/>
  <c r="W425" i="23" s="1"/>
  <c r="X425" i="23" s="1"/>
  <c r="N427" i="23"/>
  <c r="F427" i="23"/>
  <c r="O426" i="23"/>
  <c r="W426" i="23" s="1"/>
  <c r="X426" i="23" s="1"/>
  <c r="N426" i="23"/>
  <c r="F426" i="23"/>
  <c r="O425" i="23"/>
  <c r="N425" i="23"/>
  <c r="F425" i="23"/>
  <c r="R424" i="23"/>
  <c r="O424" i="23"/>
  <c r="N424" i="23"/>
  <c r="F424" i="23"/>
  <c r="X423" i="23"/>
  <c r="O423" i="23"/>
  <c r="N423" i="23"/>
  <c r="F423" i="23"/>
  <c r="O418" i="23"/>
  <c r="N418" i="23"/>
  <c r="F418" i="23"/>
  <c r="V417" i="23"/>
  <c r="O417" i="23"/>
  <c r="W416" i="23" s="1"/>
  <c r="X416" i="23" s="1"/>
  <c r="N417" i="23"/>
  <c r="F417" i="23"/>
  <c r="O416" i="23"/>
  <c r="N416" i="23"/>
  <c r="F416" i="23"/>
  <c r="X415" i="23"/>
  <c r="O415" i="23"/>
  <c r="N415" i="23"/>
  <c r="F415" i="23"/>
  <c r="O414" i="23"/>
  <c r="N414" i="23"/>
  <c r="F414" i="23"/>
  <c r="O413" i="23"/>
  <c r="W413" i="23" s="1"/>
  <c r="X413" i="23" s="1"/>
  <c r="N413" i="23"/>
  <c r="F413" i="23"/>
  <c r="O412" i="23"/>
  <c r="N412" i="23"/>
  <c r="F412" i="23"/>
  <c r="R411" i="23"/>
  <c r="O411" i="23"/>
  <c r="N411" i="23"/>
  <c r="F411" i="23"/>
  <c r="R410" i="23" s="1"/>
  <c r="AA409" i="23" s="1"/>
  <c r="X410" i="23"/>
  <c r="O410" i="23"/>
  <c r="N410" i="23"/>
  <c r="F410" i="23"/>
  <c r="AC409" i="23"/>
  <c r="O406" i="23"/>
  <c r="N406" i="23"/>
  <c r="V405" i="23"/>
  <c r="O405" i="23"/>
  <c r="W404" i="23" s="1"/>
  <c r="X404" i="23" s="1"/>
  <c r="N405" i="23"/>
  <c r="O404" i="23"/>
  <c r="N404" i="23"/>
  <c r="X403" i="23"/>
  <c r="O403" i="23"/>
  <c r="N403" i="23"/>
  <c r="O402" i="23"/>
  <c r="N402" i="23"/>
  <c r="F402" i="23"/>
  <c r="O401" i="23"/>
  <c r="W401" i="23" s="1"/>
  <c r="X401" i="23" s="1"/>
  <c r="N401" i="23"/>
  <c r="F401" i="23"/>
  <c r="O400" i="23"/>
  <c r="N400" i="23"/>
  <c r="F400" i="23"/>
  <c r="R399" i="23"/>
  <c r="O399" i="23"/>
  <c r="N399" i="23"/>
  <c r="F399" i="23"/>
  <c r="R398" i="23" s="1"/>
  <c r="AA397" i="23" s="1"/>
  <c r="X398" i="23"/>
  <c r="O398" i="23"/>
  <c r="N398" i="23"/>
  <c r="F398" i="23"/>
  <c r="AC397" i="23"/>
  <c r="F393" i="23"/>
  <c r="O392" i="23"/>
  <c r="N392" i="23"/>
  <c r="F392" i="23"/>
  <c r="O391" i="23"/>
  <c r="W390" i="23" s="1"/>
  <c r="N391" i="23"/>
  <c r="F391" i="23"/>
  <c r="O390" i="23"/>
  <c r="N390" i="23"/>
  <c r="F390" i="23"/>
  <c r="X389" i="23"/>
  <c r="O389" i="23"/>
  <c r="N389" i="23"/>
  <c r="F389" i="23"/>
  <c r="V388" i="23"/>
  <c r="O388" i="23"/>
  <c r="W386" i="23" s="1"/>
  <c r="X386" i="23" s="1"/>
  <c r="N388" i="23"/>
  <c r="F388" i="23"/>
  <c r="O387" i="23"/>
  <c r="W387" i="23" s="1"/>
  <c r="X387" i="23" s="1"/>
  <c r="N387" i="23"/>
  <c r="F387" i="23"/>
  <c r="R386" i="23" s="1"/>
  <c r="O386" i="23"/>
  <c r="N386" i="23"/>
  <c r="F386" i="23"/>
  <c r="O385" i="23"/>
  <c r="N385" i="23"/>
  <c r="F385" i="23"/>
  <c r="R384" i="23" s="1"/>
  <c r="V385" i="23" s="1"/>
  <c r="X384" i="23"/>
  <c r="O384" i="23"/>
  <c r="N384" i="23"/>
  <c r="F384" i="23"/>
  <c r="AB383" i="23"/>
  <c r="F379" i="23"/>
  <c r="R370" i="23" s="1"/>
  <c r="F378" i="23"/>
  <c r="F377" i="23"/>
  <c r="O376" i="23"/>
  <c r="N376" i="23"/>
  <c r="F376" i="23"/>
  <c r="O375" i="23"/>
  <c r="W374" i="23" s="1"/>
  <c r="X374" i="23" s="1"/>
  <c r="N375" i="23"/>
  <c r="F375" i="23"/>
  <c r="O374" i="23"/>
  <c r="N374" i="23"/>
  <c r="F374" i="23"/>
  <c r="X373" i="23"/>
  <c r="O373" i="23"/>
  <c r="N373" i="23"/>
  <c r="F373" i="23"/>
  <c r="O372" i="23"/>
  <c r="W370" i="23" s="1"/>
  <c r="X370" i="23" s="1"/>
  <c r="N372" i="23"/>
  <c r="F372" i="23"/>
  <c r="O371" i="23"/>
  <c r="N371" i="23"/>
  <c r="F371" i="23"/>
  <c r="O370" i="23"/>
  <c r="N370" i="23"/>
  <c r="F370" i="23"/>
  <c r="R368" i="23" s="1"/>
  <c r="R369" i="23"/>
  <c r="AB367" i="23" s="1"/>
  <c r="O369" i="23"/>
  <c r="N369" i="23"/>
  <c r="F369" i="23"/>
  <c r="X368" i="23"/>
  <c r="O368" i="23"/>
  <c r="N368" i="23"/>
  <c r="F368" i="23"/>
  <c r="O364" i="23"/>
  <c r="N364" i="23"/>
  <c r="O363" i="23"/>
  <c r="W362" i="23" s="1"/>
  <c r="N363" i="23"/>
  <c r="X362" i="23"/>
  <c r="O362" i="23"/>
  <c r="N362" i="23"/>
  <c r="X361" i="23"/>
  <c r="O361" i="23"/>
  <c r="N361" i="23"/>
  <c r="O360" i="23"/>
  <c r="W358" i="23" s="1"/>
  <c r="N360" i="23"/>
  <c r="O359" i="23"/>
  <c r="W359" i="23" s="1"/>
  <c r="X359" i="23" s="1"/>
  <c r="N359" i="23"/>
  <c r="F359" i="23"/>
  <c r="R358" i="23" s="1"/>
  <c r="X358" i="23"/>
  <c r="O358" i="23"/>
  <c r="N358" i="23"/>
  <c r="F358" i="23"/>
  <c r="R357" i="23"/>
  <c r="O357" i="23"/>
  <c r="N357" i="23"/>
  <c r="F357" i="23"/>
  <c r="R356" i="23" s="1"/>
  <c r="X356" i="23"/>
  <c r="O356" i="23"/>
  <c r="N356" i="23"/>
  <c r="F356" i="23"/>
  <c r="O352" i="23"/>
  <c r="N352" i="23"/>
  <c r="O351" i="23"/>
  <c r="W350" i="23" s="1"/>
  <c r="N351" i="23"/>
  <c r="X350" i="23"/>
  <c r="O350" i="23"/>
  <c r="N350" i="23"/>
  <c r="X349" i="23"/>
  <c r="O349" i="23"/>
  <c r="N349" i="23"/>
  <c r="O348" i="23"/>
  <c r="W346" i="23" s="1"/>
  <c r="X346" i="23" s="1"/>
  <c r="N348" i="23"/>
  <c r="O347" i="23"/>
  <c r="W347" i="23" s="1"/>
  <c r="X347" i="23" s="1"/>
  <c r="N347" i="23"/>
  <c r="O346" i="23"/>
  <c r="N346" i="23"/>
  <c r="F346" i="23"/>
  <c r="R346" i="23" s="1"/>
  <c r="R345" i="23"/>
  <c r="O345" i="23"/>
  <c r="N345" i="23"/>
  <c r="F345" i="23"/>
  <c r="X344" i="23"/>
  <c r="R344" i="23"/>
  <c r="V345" i="23" s="1"/>
  <c r="X345" i="23" s="1"/>
  <c r="O344" i="23"/>
  <c r="N344" i="23"/>
  <c r="F344" i="23"/>
  <c r="O339" i="23"/>
  <c r="N339" i="23"/>
  <c r="F339" i="23"/>
  <c r="R333" i="23" s="1"/>
  <c r="AC330" i="23" s="1"/>
  <c r="O338" i="23"/>
  <c r="W337" i="23" s="1"/>
  <c r="X337" i="23" s="1"/>
  <c r="N338" i="23"/>
  <c r="F338" i="23"/>
  <c r="O337" i="23"/>
  <c r="N337" i="23"/>
  <c r="F337" i="23"/>
  <c r="R331" i="23" s="1"/>
  <c r="AA330" i="23" s="1"/>
  <c r="X336" i="23"/>
  <c r="O336" i="23"/>
  <c r="N336" i="23"/>
  <c r="F336" i="23"/>
  <c r="O335" i="23"/>
  <c r="W333" i="23" s="1"/>
  <c r="X333" i="23" s="1"/>
  <c r="N335" i="23"/>
  <c r="F335" i="23"/>
  <c r="O334" i="23"/>
  <c r="W334" i="23" s="1"/>
  <c r="X334" i="23" s="1"/>
  <c r="N334" i="23"/>
  <c r="F334" i="23"/>
  <c r="O333" i="23"/>
  <c r="N333" i="23"/>
  <c r="F333" i="23"/>
  <c r="R332" i="23"/>
  <c r="V335" i="23" s="1"/>
  <c r="O332" i="23"/>
  <c r="N332" i="23"/>
  <c r="F332" i="23"/>
  <c r="X331" i="23"/>
  <c r="O331" i="23"/>
  <c r="N331" i="23"/>
  <c r="F331" i="23"/>
  <c r="AB330" i="23"/>
  <c r="O327" i="23"/>
  <c r="N327" i="23"/>
  <c r="O326" i="23"/>
  <c r="W325" i="23" s="1"/>
  <c r="X325" i="23" s="1"/>
  <c r="N326" i="23"/>
  <c r="O325" i="23"/>
  <c r="N325" i="23"/>
  <c r="X324" i="23"/>
  <c r="O324" i="23"/>
  <c r="N324" i="23"/>
  <c r="O323" i="23"/>
  <c r="N323" i="23"/>
  <c r="O322" i="23"/>
  <c r="W322" i="23" s="1"/>
  <c r="X322" i="23" s="1"/>
  <c r="N322" i="23"/>
  <c r="F322" i="23"/>
  <c r="R321" i="23" s="1"/>
  <c r="V326" i="23" s="1"/>
  <c r="O321" i="23"/>
  <c r="N321" i="23"/>
  <c r="F321" i="23"/>
  <c r="R320" i="23"/>
  <c r="V323" i="23" s="1"/>
  <c r="O320" i="23"/>
  <c r="N320" i="23"/>
  <c r="F320" i="23"/>
  <c r="R319" i="23" s="1"/>
  <c r="V320" i="23" s="1"/>
  <c r="X319" i="23"/>
  <c r="O319" i="23"/>
  <c r="N319" i="23"/>
  <c r="F319" i="23"/>
  <c r="AB318" i="23"/>
  <c r="O315" i="23"/>
  <c r="N315" i="23"/>
  <c r="O314" i="23"/>
  <c r="W313" i="23" s="1"/>
  <c r="X313" i="23" s="1"/>
  <c r="N314" i="23"/>
  <c r="O313" i="23"/>
  <c r="N313" i="23"/>
  <c r="X312" i="23"/>
  <c r="O312" i="23"/>
  <c r="N312" i="23"/>
  <c r="F312" i="23"/>
  <c r="V311" i="23"/>
  <c r="O311" i="23"/>
  <c r="W309" i="23" s="1"/>
  <c r="X309" i="23" s="1"/>
  <c r="N311" i="23"/>
  <c r="F311" i="23"/>
  <c r="O310" i="23"/>
  <c r="N310" i="23"/>
  <c r="F310" i="23"/>
  <c r="R309" i="23"/>
  <c r="V314" i="23" s="1"/>
  <c r="O309" i="23"/>
  <c r="N309" i="23"/>
  <c r="F309" i="23"/>
  <c r="O308" i="23"/>
  <c r="N308" i="23"/>
  <c r="F308" i="23"/>
  <c r="R307" i="23" s="1"/>
  <c r="AA306" i="23" s="1"/>
  <c r="X307" i="23"/>
  <c r="O307" i="23"/>
  <c r="N307" i="23"/>
  <c r="F307" i="23"/>
  <c r="AB306" i="23"/>
  <c r="O303" i="23"/>
  <c r="N303" i="23"/>
  <c r="O302" i="23"/>
  <c r="W301" i="23" s="1"/>
  <c r="N302" i="23"/>
  <c r="X301" i="23"/>
  <c r="O301" i="23"/>
  <c r="N301" i="23"/>
  <c r="X300" i="23"/>
  <c r="O300" i="23"/>
  <c r="N300" i="23"/>
  <c r="O299" i="23"/>
  <c r="W297" i="23" s="1"/>
  <c r="X297" i="23" s="1"/>
  <c r="N299" i="23"/>
  <c r="O298" i="23"/>
  <c r="N298" i="23"/>
  <c r="F298" i="23"/>
  <c r="R297" i="23" s="1"/>
  <c r="V302" i="23" s="1"/>
  <c r="O297" i="23"/>
  <c r="N297" i="23"/>
  <c r="F297" i="23"/>
  <c r="R296" i="23"/>
  <c r="AB294" i="23" s="1"/>
  <c r="O296" i="23"/>
  <c r="N296" i="23"/>
  <c r="F296" i="23"/>
  <c r="R295" i="23" s="1"/>
  <c r="X295" i="23"/>
  <c r="O295" i="23"/>
  <c r="N295" i="23"/>
  <c r="F295" i="23"/>
  <c r="O291" i="23"/>
  <c r="N291" i="23"/>
  <c r="O290" i="23"/>
  <c r="W289" i="23" s="1"/>
  <c r="N290" i="23"/>
  <c r="X289" i="23"/>
  <c r="O289" i="23"/>
  <c r="N289" i="23"/>
  <c r="X288" i="23"/>
  <c r="O288" i="23"/>
  <c r="N288" i="23"/>
  <c r="F288" i="23"/>
  <c r="R285" i="23" s="1"/>
  <c r="O287" i="23"/>
  <c r="W285" i="23" s="1"/>
  <c r="X285" i="23" s="1"/>
  <c r="N287" i="23"/>
  <c r="F287" i="23"/>
  <c r="O286" i="23"/>
  <c r="N286" i="23"/>
  <c r="F286" i="23"/>
  <c r="O285" i="23"/>
  <c r="N285" i="23"/>
  <c r="F285" i="23"/>
  <c r="R283" i="23" s="1"/>
  <c r="R284" i="23"/>
  <c r="AB282" i="23" s="1"/>
  <c r="O284" i="23"/>
  <c r="N284" i="23"/>
  <c r="F284" i="23"/>
  <c r="X283" i="23"/>
  <c r="O283" i="23"/>
  <c r="N283" i="23"/>
  <c r="F283" i="23"/>
  <c r="O279" i="23"/>
  <c r="N279" i="23"/>
  <c r="O278" i="23"/>
  <c r="W277" i="23" s="1"/>
  <c r="N278" i="23"/>
  <c r="X277" i="23"/>
  <c r="O277" i="23"/>
  <c r="N277" i="23"/>
  <c r="X276" i="23"/>
  <c r="O276" i="23"/>
  <c r="N276" i="23"/>
  <c r="O275" i="23"/>
  <c r="W273" i="23" s="1"/>
  <c r="X273" i="23" s="1"/>
  <c r="N275" i="23"/>
  <c r="O274" i="23"/>
  <c r="W274" i="23" s="1"/>
  <c r="X274" i="23" s="1"/>
  <c r="N274" i="23"/>
  <c r="F274" i="23"/>
  <c r="R273" i="23" s="1"/>
  <c r="V278" i="23" s="1"/>
  <c r="O273" i="23"/>
  <c r="N273" i="23"/>
  <c r="F273" i="23"/>
  <c r="R272" i="23"/>
  <c r="AB270" i="23" s="1"/>
  <c r="O272" i="23"/>
  <c r="N272" i="23"/>
  <c r="F272" i="23"/>
  <c r="R271" i="23" s="1"/>
  <c r="X271" i="23"/>
  <c r="O271" i="23"/>
  <c r="N271" i="23"/>
  <c r="F271" i="23"/>
  <c r="F266" i="23"/>
  <c r="F265" i="23"/>
  <c r="F264" i="23"/>
  <c r="F263" i="23"/>
  <c r="F262" i="23"/>
  <c r="O261" i="23"/>
  <c r="N261" i="23"/>
  <c r="F261" i="23"/>
  <c r="V260" i="23"/>
  <c r="O260" i="23"/>
  <c r="W259" i="23" s="1"/>
  <c r="N260" i="23"/>
  <c r="F260" i="23"/>
  <c r="X259" i="23"/>
  <c r="O259" i="23"/>
  <c r="N259" i="23"/>
  <c r="F259" i="23"/>
  <c r="X258" i="23"/>
  <c r="O258" i="23"/>
  <c r="N258" i="23"/>
  <c r="F258" i="23"/>
  <c r="O257" i="23"/>
  <c r="N257" i="23"/>
  <c r="F257" i="23"/>
  <c r="O256" i="23"/>
  <c r="W256" i="23" s="1"/>
  <c r="X256" i="23" s="1"/>
  <c r="N256" i="23"/>
  <c r="F256" i="23"/>
  <c r="O255" i="23"/>
  <c r="N255" i="23"/>
  <c r="F255" i="23"/>
  <c r="R254" i="23"/>
  <c r="V257" i="23" s="1"/>
  <c r="O254" i="23"/>
  <c r="N254" i="23"/>
  <c r="F254" i="23"/>
  <c r="R253" i="23" s="1"/>
  <c r="X253" i="23"/>
  <c r="O253" i="23"/>
  <c r="N253" i="23"/>
  <c r="F253" i="23"/>
  <c r="AC252" i="23"/>
  <c r="O249" i="23"/>
  <c r="N249" i="23"/>
  <c r="O248" i="23"/>
  <c r="W247" i="23" s="1"/>
  <c r="N248" i="23"/>
  <c r="X247" i="23"/>
  <c r="O247" i="23"/>
  <c r="N247" i="23"/>
  <c r="X246" i="23"/>
  <c r="O246" i="23"/>
  <c r="N246" i="23"/>
  <c r="O245" i="23"/>
  <c r="N245" i="23"/>
  <c r="O244" i="23"/>
  <c r="W244" i="23" s="1"/>
  <c r="X244" i="23" s="1"/>
  <c r="N244" i="23"/>
  <c r="O243" i="23"/>
  <c r="N243" i="23"/>
  <c r="F243" i="23"/>
  <c r="R243" i="23" s="1"/>
  <c r="AC240" i="23" s="1"/>
  <c r="R242" i="23"/>
  <c r="AB240" i="23" s="1"/>
  <c r="O242" i="23"/>
  <c r="N242" i="23"/>
  <c r="F242" i="23"/>
  <c r="X241" i="23"/>
  <c r="R241" i="23"/>
  <c r="V242" i="23" s="1"/>
  <c r="X242" i="23" s="1"/>
  <c r="O241" i="23"/>
  <c r="N241" i="23"/>
  <c r="F241" i="23"/>
  <c r="O237" i="23"/>
  <c r="N237" i="23"/>
  <c r="V236" i="23"/>
  <c r="O236" i="23"/>
  <c r="W235" i="23" s="1"/>
  <c r="N236" i="23"/>
  <c r="F236" i="23"/>
  <c r="O235" i="23"/>
  <c r="N235" i="23"/>
  <c r="F235" i="23"/>
  <c r="X234" i="23"/>
  <c r="O234" i="23"/>
  <c r="N234" i="23"/>
  <c r="F234" i="23"/>
  <c r="O233" i="23"/>
  <c r="W231" i="23" s="1"/>
  <c r="X231" i="23" s="1"/>
  <c r="N233" i="23"/>
  <c r="F233" i="23"/>
  <c r="O232" i="23"/>
  <c r="W232" i="23" s="1"/>
  <c r="X232" i="23" s="1"/>
  <c r="N232" i="23"/>
  <c r="F232" i="23"/>
  <c r="O231" i="23"/>
  <c r="N231" i="23"/>
  <c r="F231" i="23"/>
  <c r="R230" i="23"/>
  <c r="V233" i="23" s="1"/>
  <c r="O230" i="23"/>
  <c r="N230" i="23"/>
  <c r="F230" i="23"/>
  <c r="R229" i="23" s="1"/>
  <c r="X229" i="23"/>
  <c r="O229" i="23"/>
  <c r="N229" i="23"/>
  <c r="F229" i="23"/>
  <c r="AC228" i="23"/>
  <c r="O225" i="23"/>
  <c r="N225" i="23"/>
  <c r="O224" i="23"/>
  <c r="W223" i="23" s="1"/>
  <c r="N224" i="23"/>
  <c r="X223" i="23"/>
  <c r="O223" i="23"/>
  <c r="N223" i="23"/>
  <c r="X222" i="23"/>
  <c r="O222" i="23"/>
  <c r="N222" i="23"/>
  <c r="O221" i="23"/>
  <c r="W219" i="23" s="1"/>
  <c r="X219" i="23" s="1"/>
  <c r="N221" i="23"/>
  <c r="O220" i="23"/>
  <c r="N220" i="23"/>
  <c r="F220" i="23"/>
  <c r="R219" i="23" s="1"/>
  <c r="V224" i="23" s="1"/>
  <c r="O219" i="23"/>
  <c r="N219" i="23"/>
  <c r="F219" i="23"/>
  <c r="R218" i="23"/>
  <c r="V221" i="23" s="1"/>
  <c r="O218" i="23"/>
  <c r="N218" i="23"/>
  <c r="F218" i="23"/>
  <c r="R217" i="23" s="1"/>
  <c r="X217" i="23"/>
  <c r="O217" i="23"/>
  <c r="N217" i="23"/>
  <c r="F217" i="23"/>
  <c r="O213" i="23"/>
  <c r="N213" i="23"/>
  <c r="O212" i="23"/>
  <c r="W211" i="23" s="1"/>
  <c r="N212" i="23"/>
  <c r="X211" i="23"/>
  <c r="O211" i="23"/>
  <c r="N211" i="23"/>
  <c r="X210" i="23"/>
  <c r="O210" i="23"/>
  <c r="N210" i="23"/>
  <c r="O209" i="23"/>
  <c r="W207" i="23" s="1"/>
  <c r="X207" i="23" s="1"/>
  <c r="N209" i="23"/>
  <c r="O208" i="23"/>
  <c r="W208" i="23" s="1"/>
  <c r="X208" i="23" s="1"/>
  <c r="N208" i="23"/>
  <c r="F208" i="23"/>
  <c r="R207" i="23" s="1"/>
  <c r="V212" i="23" s="1"/>
  <c r="O207" i="23"/>
  <c r="N207" i="23"/>
  <c r="F207" i="23"/>
  <c r="R206" i="23"/>
  <c r="AB204" i="23" s="1"/>
  <c r="O206" i="23"/>
  <c r="N206" i="23"/>
  <c r="F206" i="23"/>
  <c r="R205" i="23" s="1"/>
  <c r="AA204" i="23" s="1"/>
  <c r="X205" i="23"/>
  <c r="O205" i="23"/>
  <c r="N205" i="23"/>
  <c r="F205" i="23"/>
  <c r="O201" i="23"/>
  <c r="N201" i="23"/>
  <c r="O200" i="23"/>
  <c r="W199" i="23" s="1"/>
  <c r="X199" i="23" s="1"/>
  <c r="N200" i="23"/>
  <c r="O199" i="23"/>
  <c r="N199" i="23"/>
  <c r="X198" i="23"/>
  <c r="O198" i="23"/>
  <c r="N198" i="23"/>
  <c r="O197" i="23"/>
  <c r="N197" i="23"/>
  <c r="X196" i="23"/>
  <c r="O196" i="23"/>
  <c r="N196" i="23"/>
  <c r="F196" i="23"/>
  <c r="R195" i="23" s="1"/>
  <c r="X195" i="23"/>
  <c r="O195" i="23"/>
  <c r="N195" i="23"/>
  <c r="F195" i="23"/>
  <c r="R194" i="23"/>
  <c r="V197" i="23" s="1"/>
  <c r="X197" i="23" s="1"/>
  <c r="O194" i="23"/>
  <c r="N194" i="23"/>
  <c r="F194" i="23"/>
  <c r="R193" i="23" s="1"/>
  <c r="V194" i="23" s="1"/>
  <c r="X193" i="23"/>
  <c r="O193" i="23"/>
  <c r="N193" i="23"/>
  <c r="F193" i="23"/>
  <c r="O189" i="23"/>
  <c r="N189" i="23"/>
  <c r="O188" i="23"/>
  <c r="W187" i="23" s="1"/>
  <c r="X187" i="23" s="1"/>
  <c r="N188" i="23"/>
  <c r="O187" i="23"/>
  <c r="N187" i="23"/>
  <c r="X186" i="23"/>
  <c r="O186" i="23"/>
  <c r="N186" i="23"/>
  <c r="O185" i="23"/>
  <c r="W183" i="23" s="1"/>
  <c r="X183" i="23" s="1"/>
  <c r="N185" i="23"/>
  <c r="O184" i="23"/>
  <c r="N184" i="23"/>
  <c r="F184" i="23"/>
  <c r="R183" i="23" s="1"/>
  <c r="O183" i="23"/>
  <c r="N183" i="23"/>
  <c r="F183" i="23"/>
  <c r="R182" i="23"/>
  <c r="V185" i="23" s="1"/>
  <c r="O182" i="23"/>
  <c r="N182" i="23"/>
  <c r="F182" i="23"/>
  <c r="R181" i="23" s="1"/>
  <c r="V182" i="23" s="1"/>
  <c r="X181" i="23"/>
  <c r="O181" i="23"/>
  <c r="N181" i="23"/>
  <c r="F181" i="23"/>
  <c r="F176" i="23"/>
  <c r="F175" i="23"/>
  <c r="F174" i="23"/>
  <c r="O173" i="23"/>
  <c r="N173" i="23"/>
  <c r="F173" i="23"/>
  <c r="O172" i="23"/>
  <c r="W171" i="23" s="1"/>
  <c r="X171" i="23" s="1"/>
  <c r="N172" i="23"/>
  <c r="F172" i="23"/>
  <c r="O171" i="23"/>
  <c r="N171" i="23"/>
  <c r="F171" i="23"/>
  <c r="R167" i="23" s="1"/>
  <c r="V172" i="23" s="1"/>
  <c r="X170" i="23"/>
  <c r="O170" i="23"/>
  <c r="N170" i="23"/>
  <c r="F170" i="23"/>
  <c r="O169" i="23"/>
  <c r="W167" i="23" s="1"/>
  <c r="X167" i="23" s="1"/>
  <c r="N169" i="23"/>
  <c r="F169" i="23"/>
  <c r="O168" i="23"/>
  <c r="N168" i="23"/>
  <c r="F168" i="23"/>
  <c r="O167" i="23"/>
  <c r="N167" i="23"/>
  <c r="F167" i="23"/>
  <c r="R166" i="23"/>
  <c r="V169" i="23" s="1"/>
  <c r="O166" i="23"/>
  <c r="N166" i="23"/>
  <c r="F166" i="23"/>
  <c r="X165" i="23"/>
  <c r="R165" i="23"/>
  <c r="O165" i="23"/>
  <c r="N165" i="23"/>
  <c r="F165" i="23"/>
  <c r="O161" i="23"/>
  <c r="N161" i="23"/>
  <c r="O160" i="23"/>
  <c r="W159" i="23" s="1"/>
  <c r="N160" i="23"/>
  <c r="X159" i="23"/>
  <c r="O159" i="23"/>
  <c r="N159" i="23"/>
  <c r="X158" i="23"/>
  <c r="O158" i="23"/>
  <c r="N158" i="23"/>
  <c r="O157" i="23"/>
  <c r="W155" i="23" s="1"/>
  <c r="X155" i="23" s="1"/>
  <c r="N157" i="23"/>
  <c r="O156" i="23"/>
  <c r="N156" i="23"/>
  <c r="F156" i="23"/>
  <c r="R155" i="23" s="1"/>
  <c r="AC152" i="23" s="1"/>
  <c r="O155" i="23"/>
  <c r="N155" i="23"/>
  <c r="F155" i="23"/>
  <c r="R154" i="23"/>
  <c r="O154" i="23"/>
  <c r="N154" i="23"/>
  <c r="F154" i="23"/>
  <c r="R153" i="23" s="1"/>
  <c r="X153" i="23"/>
  <c r="O153" i="23"/>
  <c r="N153" i="23"/>
  <c r="F153" i="23"/>
  <c r="O149" i="23"/>
  <c r="N149" i="23"/>
  <c r="O148" i="23"/>
  <c r="W147" i="23" s="1"/>
  <c r="N148" i="23"/>
  <c r="X147" i="23"/>
  <c r="O147" i="23"/>
  <c r="N147" i="23"/>
  <c r="X146" i="23"/>
  <c r="O146" i="23"/>
  <c r="N146" i="23"/>
  <c r="O145" i="23"/>
  <c r="N145" i="23"/>
  <c r="O144" i="23"/>
  <c r="W144" i="23" s="1"/>
  <c r="X144" i="23" s="1"/>
  <c r="N144" i="23"/>
  <c r="F144" i="23"/>
  <c r="R143" i="23" s="1"/>
  <c r="V148" i="23" s="1"/>
  <c r="O143" i="23"/>
  <c r="N143" i="23"/>
  <c r="F143" i="23"/>
  <c r="R142" i="23"/>
  <c r="V145" i="23" s="1"/>
  <c r="O142" i="23"/>
  <c r="N142" i="23"/>
  <c r="F142" i="23"/>
  <c r="R141" i="23" s="1"/>
  <c r="V142" i="23" s="1"/>
  <c r="X141" i="23"/>
  <c r="O141" i="23"/>
  <c r="N141" i="23"/>
  <c r="F141" i="23"/>
  <c r="AB140" i="23"/>
  <c r="O136" i="23"/>
  <c r="N136" i="23"/>
  <c r="F136" i="23"/>
  <c r="O135" i="23"/>
  <c r="W134" i="23" s="1"/>
  <c r="X134" i="23" s="1"/>
  <c r="N135" i="23"/>
  <c r="F135" i="23"/>
  <c r="O134" i="23"/>
  <c r="N134" i="23"/>
  <c r="F134" i="23"/>
  <c r="X133" i="23"/>
  <c r="O133" i="23"/>
  <c r="N133" i="23"/>
  <c r="F133" i="23"/>
  <c r="O132" i="23"/>
  <c r="W130" i="23" s="1"/>
  <c r="N132" i="23"/>
  <c r="F132" i="23"/>
  <c r="O131" i="23"/>
  <c r="W131" i="23" s="1"/>
  <c r="N131" i="23"/>
  <c r="F131" i="23"/>
  <c r="X130" i="23"/>
  <c r="O130" i="23"/>
  <c r="N130" i="23"/>
  <c r="F130" i="23"/>
  <c r="R130" i="23" s="1"/>
  <c r="R129" i="23"/>
  <c r="AB127" i="23" s="1"/>
  <c r="O129" i="23"/>
  <c r="N129" i="23"/>
  <c r="F129" i="23"/>
  <c r="R128" i="23" s="1"/>
  <c r="X128" i="23"/>
  <c r="O128" i="23"/>
  <c r="N128" i="23"/>
  <c r="F128" i="23"/>
  <c r="O124" i="23"/>
  <c r="N124" i="23"/>
  <c r="O123" i="23"/>
  <c r="W122" i="23" s="1"/>
  <c r="N123" i="23"/>
  <c r="X122" i="23"/>
  <c r="O122" i="23"/>
  <c r="N122" i="23"/>
  <c r="X121" i="23"/>
  <c r="O121" i="23"/>
  <c r="N121" i="23"/>
  <c r="O120" i="23"/>
  <c r="W118" i="23" s="1"/>
  <c r="X118" i="23" s="1"/>
  <c r="N120" i="23"/>
  <c r="O119" i="23"/>
  <c r="F119" i="23"/>
  <c r="R118" i="23" s="1"/>
  <c r="AC115" i="23" s="1"/>
  <c r="O118" i="23"/>
  <c r="N118" i="23"/>
  <c r="F118" i="23"/>
  <c r="R117" i="23"/>
  <c r="O117" i="23"/>
  <c r="N117" i="23"/>
  <c r="F117" i="23"/>
  <c r="R116" i="23" s="1"/>
  <c r="X116" i="23"/>
  <c r="O116" i="23"/>
  <c r="N116" i="23"/>
  <c r="F116" i="23"/>
  <c r="O112" i="23"/>
  <c r="O111" i="23"/>
  <c r="X110" i="23"/>
  <c r="O110" i="23"/>
  <c r="X109" i="23"/>
  <c r="O109" i="23"/>
  <c r="O108" i="23"/>
  <c r="X107" i="23"/>
  <c r="O107" i="23"/>
  <c r="F107" i="23"/>
  <c r="R106" i="23" s="1"/>
  <c r="V111" i="23" s="1"/>
  <c r="X106" i="23"/>
  <c r="O106" i="23"/>
  <c r="F106" i="23"/>
  <c r="R105" i="23"/>
  <c r="V108" i="23" s="1"/>
  <c r="O105" i="23"/>
  <c r="F105" i="23"/>
  <c r="R104" i="23" s="1"/>
  <c r="V105" i="23" s="1"/>
  <c r="X104" i="23"/>
  <c r="O104" i="23"/>
  <c r="F104" i="23"/>
  <c r="O100" i="23"/>
  <c r="O99" i="23"/>
  <c r="X98" i="23"/>
  <c r="O98" i="23"/>
  <c r="X97" i="23"/>
  <c r="O97" i="23"/>
  <c r="O96" i="23"/>
  <c r="X95" i="23"/>
  <c r="O95" i="23"/>
  <c r="F95" i="23"/>
  <c r="R94" i="23" s="1"/>
  <c r="X94" i="23"/>
  <c r="O94" i="23"/>
  <c r="F94" i="23"/>
  <c r="R93" i="23"/>
  <c r="AB91" i="23" s="1"/>
  <c r="O93" i="23"/>
  <c r="F93" i="23"/>
  <c r="R92" i="23" s="1"/>
  <c r="V93" i="23" s="1"/>
  <c r="X92" i="23"/>
  <c r="O92" i="23"/>
  <c r="F92" i="23"/>
  <c r="O88" i="23"/>
  <c r="O87" i="23"/>
  <c r="X86" i="23"/>
  <c r="O86" i="23"/>
  <c r="X85" i="23"/>
  <c r="O85" i="23"/>
  <c r="O84" i="23"/>
  <c r="X83" i="23"/>
  <c r="O83" i="23"/>
  <c r="F83" i="23"/>
  <c r="R82" i="23" s="1"/>
  <c r="X82" i="23"/>
  <c r="O82" i="23"/>
  <c r="F82" i="23"/>
  <c r="R81" i="23"/>
  <c r="V84" i="23" s="1"/>
  <c r="O81" i="23"/>
  <c r="F81" i="23"/>
  <c r="R80" i="23" s="1"/>
  <c r="V81" i="23" s="1"/>
  <c r="X80" i="23"/>
  <c r="O80" i="23"/>
  <c r="F80" i="23"/>
  <c r="O76" i="23"/>
  <c r="O75" i="23"/>
  <c r="X74" i="23"/>
  <c r="O74" i="23"/>
  <c r="X73" i="23"/>
  <c r="O73" i="23"/>
  <c r="O72" i="23"/>
  <c r="F72" i="23"/>
  <c r="X71" i="23"/>
  <c r="O71" i="23"/>
  <c r="F71" i="23"/>
  <c r="R70" i="23" s="1"/>
  <c r="X70" i="23"/>
  <c r="O70" i="23"/>
  <c r="F70" i="23"/>
  <c r="R69" i="23"/>
  <c r="AB67" i="23" s="1"/>
  <c r="O69" i="23"/>
  <c r="F69" i="23"/>
  <c r="R68" i="23" s="1"/>
  <c r="X68" i="23"/>
  <c r="O68" i="23"/>
  <c r="F68" i="23"/>
  <c r="O64" i="23"/>
  <c r="O63" i="23"/>
  <c r="X62" i="23"/>
  <c r="O62" i="23"/>
  <c r="X61" i="23"/>
  <c r="O61" i="23"/>
  <c r="O60" i="23"/>
  <c r="X59" i="23"/>
  <c r="O59" i="23"/>
  <c r="F59" i="23"/>
  <c r="R58" i="23" s="1"/>
  <c r="V63" i="23" s="1"/>
  <c r="X58" i="23"/>
  <c r="O58" i="23"/>
  <c r="F58" i="23"/>
  <c r="R57" i="23"/>
  <c r="V60" i="23" s="1"/>
  <c r="O57" i="23"/>
  <c r="F57" i="23"/>
  <c r="R56" i="23" s="1"/>
  <c r="X56" i="23"/>
  <c r="O56" i="23"/>
  <c r="F56" i="23"/>
  <c r="O51" i="23"/>
  <c r="X50" i="23"/>
  <c r="O50" i="23"/>
  <c r="X49" i="23"/>
  <c r="O49" i="23"/>
  <c r="O48" i="23"/>
  <c r="X47" i="23"/>
  <c r="O47" i="23"/>
  <c r="F47" i="23"/>
  <c r="R46" i="23" s="1"/>
  <c r="V51" i="23" s="1"/>
  <c r="X51" i="23" s="1"/>
  <c r="X46" i="23"/>
  <c r="O46" i="23"/>
  <c r="F46" i="23"/>
  <c r="R45" i="23"/>
  <c r="V48" i="23" s="1"/>
  <c r="O45" i="23"/>
  <c r="F45" i="23"/>
  <c r="R44" i="23" s="1"/>
  <c r="AA43" i="23" s="1"/>
  <c r="X44" i="23"/>
  <c r="O44" i="23"/>
  <c r="F44" i="23"/>
  <c r="D35" i="23"/>
  <c r="C35" i="23"/>
  <c r="B35" i="23"/>
  <c r="D24" i="23"/>
  <c r="C24" i="23"/>
  <c r="B24" i="23"/>
  <c r="D23" i="23"/>
  <c r="C23" i="23"/>
  <c r="B23" i="23"/>
  <c r="D21" i="23"/>
  <c r="C21" i="23"/>
  <c r="B21" i="23"/>
  <c r="D20" i="23"/>
  <c r="C20" i="23"/>
  <c r="B20" i="23"/>
  <c r="I9" i="23"/>
  <c r="H9" i="23"/>
  <c r="C9" i="23"/>
  <c r="B9" i="23"/>
  <c r="F142" i="22"/>
  <c r="O142" i="22"/>
  <c r="X142" i="22"/>
  <c r="F143" i="22"/>
  <c r="R142" i="22" s="1"/>
  <c r="O143" i="22"/>
  <c r="R143" i="22"/>
  <c r="V146" i="22" s="1"/>
  <c r="F144" i="22"/>
  <c r="O144" i="22"/>
  <c r="X144" i="22"/>
  <c r="F145" i="22"/>
  <c r="R144" i="22" s="1"/>
  <c r="V149" i="22" s="1"/>
  <c r="X149" i="22" s="1"/>
  <c r="O145" i="22"/>
  <c r="X145" i="22"/>
  <c r="O146" i="22"/>
  <c r="O147" i="22"/>
  <c r="X147" i="22"/>
  <c r="O148" i="22"/>
  <c r="X148" i="22"/>
  <c r="O149" i="22"/>
  <c r="AB308" i="22"/>
  <c r="F760" i="22"/>
  <c r="F759" i="22"/>
  <c r="R751" i="22" s="1"/>
  <c r="F758" i="22"/>
  <c r="F757" i="22"/>
  <c r="O756" i="22"/>
  <c r="N756" i="22"/>
  <c r="F756" i="22"/>
  <c r="X755" i="22"/>
  <c r="O755" i="22"/>
  <c r="N755" i="22"/>
  <c r="F755" i="22"/>
  <c r="X754" i="22"/>
  <c r="O754" i="22"/>
  <c r="N754" i="22"/>
  <c r="F754" i="22"/>
  <c r="O753" i="22"/>
  <c r="N753" i="22"/>
  <c r="F753" i="22"/>
  <c r="X752" i="22"/>
  <c r="O752" i="22"/>
  <c r="N752" i="22"/>
  <c r="F752" i="22"/>
  <c r="X751" i="22"/>
  <c r="O751" i="22"/>
  <c r="N751" i="22"/>
  <c r="F751" i="22"/>
  <c r="R750" i="22"/>
  <c r="O750" i="22"/>
  <c r="N750" i="22"/>
  <c r="F750" i="22"/>
  <c r="X749" i="22"/>
  <c r="R749" i="22"/>
  <c r="V750" i="22" s="1"/>
  <c r="X750" i="22" s="1"/>
  <c r="O749" i="22"/>
  <c r="N749" i="22"/>
  <c r="F749" i="22"/>
  <c r="AD748" i="22"/>
  <c r="F744" i="22"/>
  <c r="F743" i="22"/>
  <c r="R737" i="22" s="1"/>
  <c r="O742" i="22"/>
  <c r="N742" i="22"/>
  <c r="F742" i="22"/>
  <c r="X741" i="22"/>
  <c r="O741" i="22"/>
  <c r="N741" i="22"/>
  <c r="F741" i="22"/>
  <c r="X740" i="22"/>
  <c r="O740" i="22"/>
  <c r="N740" i="22"/>
  <c r="F740" i="22"/>
  <c r="O739" i="22"/>
  <c r="N739" i="22"/>
  <c r="F739" i="22"/>
  <c r="X738" i="22"/>
  <c r="O738" i="22"/>
  <c r="N738" i="22"/>
  <c r="F738" i="22"/>
  <c r="X737" i="22"/>
  <c r="O737" i="22"/>
  <c r="N737" i="22"/>
  <c r="F737" i="22"/>
  <c r="R736" i="22"/>
  <c r="V739" i="22" s="1"/>
  <c r="O736" i="22"/>
  <c r="N736" i="22"/>
  <c r="F736" i="22"/>
  <c r="R735" i="22" s="1"/>
  <c r="X735" i="22"/>
  <c r="O735" i="22"/>
  <c r="N735" i="22"/>
  <c r="F735" i="22"/>
  <c r="O731" i="22"/>
  <c r="N731" i="22"/>
  <c r="X730" i="22"/>
  <c r="O730" i="22"/>
  <c r="N730" i="22"/>
  <c r="X729" i="22"/>
  <c r="O729" i="22"/>
  <c r="N729" i="22"/>
  <c r="O728" i="22"/>
  <c r="N728" i="22"/>
  <c r="X727" i="22"/>
  <c r="O727" i="22"/>
  <c r="N727" i="22"/>
  <c r="F727" i="22"/>
  <c r="X726" i="22"/>
  <c r="O726" i="22"/>
  <c r="N726" i="22"/>
  <c r="F726" i="22"/>
  <c r="R726" i="22" s="1"/>
  <c r="V731" i="22" s="1"/>
  <c r="R725" i="22"/>
  <c r="V728" i="22" s="1"/>
  <c r="O725" i="22"/>
  <c r="N725" i="22"/>
  <c r="F725" i="22"/>
  <c r="X724" i="22"/>
  <c r="R724" i="22"/>
  <c r="O724" i="22"/>
  <c r="N724" i="22"/>
  <c r="F724" i="22"/>
  <c r="AD723" i="22"/>
  <c r="O719" i="22"/>
  <c r="N719" i="22"/>
  <c r="X718" i="22"/>
  <c r="O718" i="22"/>
  <c r="N718" i="22"/>
  <c r="X717" i="22"/>
  <c r="O717" i="22"/>
  <c r="N717" i="22"/>
  <c r="F717" i="22"/>
  <c r="O716" i="22"/>
  <c r="N716" i="22"/>
  <c r="F716" i="22"/>
  <c r="R714" i="22" s="1"/>
  <c r="X715" i="22"/>
  <c r="O715" i="22"/>
  <c r="N715" i="22"/>
  <c r="F715" i="22"/>
  <c r="X714" i="22"/>
  <c r="O714" i="22"/>
  <c r="N714" i="22"/>
  <c r="R713" i="22"/>
  <c r="AB711" i="22" s="1"/>
  <c r="O713" i="22"/>
  <c r="N713" i="22"/>
  <c r="F713" i="22"/>
  <c r="R712" i="22" s="1"/>
  <c r="X712" i="22"/>
  <c r="O712" i="22"/>
  <c r="N712" i="22"/>
  <c r="F712" i="22"/>
  <c r="O707" i="22"/>
  <c r="N707" i="22"/>
  <c r="F707" i="22"/>
  <c r="X706" i="22"/>
  <c r="O706" i="22"/>
  <c r="N706" i="22"/>
  <c r="F706" i="22"/>
  <c r="R702" i="22" s="1"/>
  <c r="V707" i="22" s="1"/>
  <c r="X705" i="22"/>
  <c r="O705" i="22"/>
  <c r="N705" i="22"/>
  <c r="F705" i="22"/>
  <c r="O704" i="22"/>
  <c r="N704" i="22"/>
  <c r="F704" i="22"/>
  <c r="X703" i="22"/>
  <c r="O703" i="22"/>
  <c r="N703" i="22"/>
  <c r="F703" i="22"/>
  <c r="X702" i="22"/>
  <c r="O702" i="22"/>
  <c r="N702" i="22"/>
  <c r="F702" i="22"/>
  <c r="W701" i="22"/>
  <c r="R701" i="22"/>
  <c r="V704" i="22" s="1"/>
  <c r="O701" i="22"/>
  <c r="N701" i="22"/>
  <c r="F701" i="22"/>
  <c r="X700" i="22"/>
  <c r="R700" i="22"/>
  <c r="O700" i="22"/>
  <c r="N700" i="22"/>
  <c r="F700" i="22"/>
  <c r="AD699" i="22"/>
  <c r="F695" i="22"/>
  <c r="R688" i="22" s="1"/>
  <c r="F694" i="22"/>
  <c r="O693" i="22"/>
  <c r="N693" i="22"/>
  <c r="F693" i="22"/>
  <c r="X692" i="22"/>
  <c r="O692" i="22"/>
  <c r="N692" i="22"/>
  <c r="F692" i="22"/>
  <c r="X691" i="22"/>
  <c r="O691" i="22"/>
  <c r="N691" i="22"/>
  <c r="F691" i="22"/>
  <c r="O690" i="22"/>
  <c r="N690" i="22"/>
  <c r="F690" i="22"/>
  <c r="X689" i="22"/>
  <c r="O689" i="22"/>
  <c r="N689" i="22"/>
  <c r="F689" i="22"/>
  <c r="X688" i="22"/>
  <c r="O688" i="22"/>
  <c r="N688" i="22"/>
  <c r="F688" i="22"/>
  <c r="R687" i="22"/>
  <c r="AB685" i="22" s="1"/>
  <c r="O687" i="22"/>
  <c r="N687" i="22"/>
  <c r="F687" i="22"/>
  <c r="R686" i="22" s="1"/>
  <c r="X686" i="22"/>
  <c r="O686" i="22"/>
  <c r="N686" i="22"/>
  <c r="F686" i="22"/>
  <c r="F681" i="22"/>
  <c r="F680" i="22"/>
  <c r="F679" i="22"/>
  <c r="F678" i="22"/>
  <c r="F677" i="22"/>
  <c r="F676" i="22"/>
  <c r="F675" i="22"/>
  <c r="F674" i="22"/>
  <c r="F673" i="22"/>
  <c r="F672" i="22"/>
  <c r="F671" i="22"/>
  <c r="F670" i="22"/>
  <c r="F669" i="22"/>
  <c r="F668" i="22"/>
  <c r="F667" i="22"/>
  <c r="F666" i="22"/>
  <c r="F665" i="22"/>
  <c r="F664" i="22"/>
  <c r="F663" i="22"/>
  <c r="F662" i="22"/>
  <c r="F661" i="22"/>
  <c r="F660" i="22"/>
  <c r="F659" i="22"/>
  <c r="F658" i="22"/>
  <c r="F657" i="22"/>
  <c r="F656" i="22"/>
  <c r="F655" i="22"/>
  <c r="F654" i="22"/>
  <c r="F653" i="22"/>
  <c r="F652" i="22"/>
  <c r="F651" i="22"/>
  <c r="F650" i="22"/>
  <c r="F649" i="22"/>
  <c r="F648" i="22"/>
  <c r="F647" i="22"/>
  <c r="F646" i="22"/>
  <c r="F645" i="22"/>
  <c r="F644" i="22"/>
  <c r="F643" i="22"/>
  <c r="F642" i="22"/>
  <c r="F641" i="22"/>
  <c r="F640" i="22"/>
  <c r="F639" i="22"/>
  <c r="F638" i="22"/>
  <c r="F637" i="22"/>
  <c r="F636" i="22"/>
  <c r="F635" i="22"/>
  <c r="F634" i="22"/>
  <c r="F633" i="22"/>
  <c r="F632" i="22"/>
  <c r="F631" i="22"/>
  <c r="F630" i="22"/>
  <c r="F629" i="22"/>
  <c r="F628" i="22"/>
  <c r="F627" i="22"/>
  <c r="F626" i="22"/>
  <c r="F625" i="22"/>
  <c r="F624" i="22"/>
  <c r="F623" i="22"/>
  <c r="F622" i="22"/>
  <c r="R607" i="22" s="1"/>
  <c r="F621" i="22"/>
  <c r="F620" i="22"/>
  <c r="F619" i="22"/>
  <c r="F618" i="22"/>
  <c r="F617" i="22"/>
  <c r="F616" i="22"/>
  <c r="F615" i="22"/>
  <c r="V614" i="22"/>
  <c r="O614" i="22"/>
  <c r="N614" i="22"/>
  <c r="F614" i="22"/>
  <c r="X613" i="22"/>
  <c r="O613" i="22"/>
  <c r="N613" i="22"/>
  <c r="F613" i="22"/>
  <c r="X612" i="22"/>
  <c r="O612" i="22"/>
  <c r="N612" i="22"/>
  <c r="F612" i="22"/>
  <c r="O611" i="22"/>
  <c r="N611" i="22"/>
  <c r="F611" i="22"/>
  <c r="X610" i="22"/>
  <c r="O610" i="22"/>
  <c r="N610" i="22"/>
  <c r="F610" i="22"/>
  <c r="X609" i="22"/>
  <c r="O609" i="22"/>
  <c r="N609" i="22"/>
  <c r="F609" i="22"/>
  <c r="R608" i="22"/>
  <c r="AB606" i="22" s="1"/>
  <c r="O608" i="22"/>
  <c r="N608" i="22"/>
  <c r="F608" i="22"/>
  <c r="X607" i="22"/>
  <c r="O607" i="22"/>
  <c r="N607" i="22"/>
  <c r="F607" i="22"/>
  <c r="AC606" i="22"/>
  <c r="O602" i="22"/>
  <c r="N602" i="22"/>
  <c r="F602" i="22"/>
  <c r="X601" i="22"/>
  <c r="O601" i="22"/>
  <c r="N601" i="22"/>
  <c r="F601" i="22"/>
  <c r="R597" i="22" s="1"/>
  <c r="V602" i="22" s="1"/>
  <c r="X600" i="22"/>
  <c r="O600" i="22"/>
  <c r="N600" i="22"/>
  <c r="F600" i="22"/>
  <c r="O599" i="22"/>
  <c r="N599" i="22"/>
  <c r="F599" i="22"/>
  <c r="X598" i="22"/>
  <c r="O598" i="22"/>
  <c r="N598" i="22"/>
  <c r="F598" i="22"/>
  <c r="X597" i="22"/>
  <c r="O597" i="22"/>
  <c r="N597" i="22"/>
  <c r="F597" i="22"/>
  <c r="R596" i="22"/>
  <c r="AB594" i="22" s="1"/>
  <c r="O596" i="22"/>
  <c r="N596" i="22"/>
  <c r="F596" i="22"/>
  <c r="R595" i="22" s="1"/>
  <c r="X595" i="22"/>
  <c r="O595" i="22"/>
  <c r="N595" i="22"/>
  <c r="F595" i="22"/>
  <c r="O589" i="22"/>
  <c r="N589" i="22"/>
  <c r="X588" i="22"/>
  <c r="O588" i="22"/>
  <c r="N588" i="22"/>
  <c r="X587" i="22"/>
  <c r="O587" i="22"/>
  <c r="N587" i="22"/>
  <c r="O586" i="22"/>
  <c r="N586" i="22"/>
  <c r="F586" i="22"/>
  <c r="X585" i="22"/>
  <c r="O585" i="22"/>
  <c r="N585" i="22"/>
  <c r="F585" i="22"/>
  <c r="R584" i="22" s="1"/>
  <c r="X584" i="22"/>
  <c r="O584" i="22"/>
  <c r="N584" i="22"/>
  <c r="F584" i="22"/>
  <c r="R583" i="22"/>
  <c r="V586" i="22" s="1"/>
  <c r="O583" i="22"/>
  <c r="N583" i="22"/>
  <c r="F583" i="22"/>
  <c r="R582" i="22" s="1"/>
  <c r="V583" i="22" s="1"/>
  <c r="X582" i="22"/>
  <c r="O582" i="22"/>
  <c r="N582" i="22"/>
  <c r="F582" i="22"/>
  <c r="O577" i="22"/>
  <c r="N577" i="22"/>
  <c r="X576" i="22"/>
  <c r="O576" i="22"/>
  <c r="N576" i="22"/>
  <c r="F576" i="22"/>
  <c r="X575" i="22"/>
  <c r="O575" i="22"/>
  <c r="N575" i="22"/>
  <c r="F575" i="22"/>
  <c r="R572" i="22" s="1"/>
  <c r="V574" i="22"/>
  <c r="O574" i="22"/>
  <c r="N574" i="22"/>
  <c r="F574" i="22"/>
  <c r="X573" i="22"/>
  <c r="O573" i="22"/>
  <c r="N573" i="22"/>
  <c r="F573" i="22"/>
  <c r="X572" i="22"/>
  <c r="O572" i="22"/>
  <c r="N572" i="22"/>
  <c r="F572" i="22"/>
  <c r="R570" i="22" s="1"/>
  <c r="O571" i="22"/>
  <c r="N571" i="22"/>
  <c r="F571" i="22"/>
  <c r="X570" i="22"/>
  <c r="O570" i="22"/>
  <c r="N570" i="22"/>
  <c r="F570" i="22"/>
  <c r="AB569" i="22"/>
  <c r="O566" i="22"/>
  <c r="N566" i="22"/>
  <c r="X565" i="22"/>
  <c r="O565" i="22"/>
  <c r="N565" i="22"/>
  <c r="X564" i="22"/>
  <c r="O564" i="22"/>
  <c r="N564" i="22"/>
  <c r="O563" i="22"/>
  <c r="N563" i="22"/>
  <c r="F563" i="22"/>
  <c r="R561" i="22" s="1"/>
  <c r="X562" i="22"/>
  <c r="O562" i="22"/>
  <c r="N562" i="22"/>
  <c r="F562" i="22"/>
  <c r="X561" i="22"/>
  <c r="O561" i="22"/>
  <c r="N561" i="22"/>
  <c r="F561" i="22"/>
  <c r="R560" i="22"/>
  <c r="V563" i="22" s="1"/>
  <c r="O560" i="22"/>
  <c r="N560" i="22"/>
  <c r="X559" i="22"/>
  <c r="R559" i="22"/>
  <c r="O559" i="22"/>
  <c r="N559" i="22"/>
  <c r="F559" i="22"/>
  <c r="AB558" i="22"/>
  <c r="O554" i="22"/>
  <c r="N554" i="22"/>
  <c r="F554" i="22"/>
  <c r="X553" i="22"/>
  <c r="O553" i="22"/>
  <c r="N553" i="22"/>
  <c r="F553" i="22"/>
  <c r="R549" i="22" s="1"/>
  <c r="X552" i="22"/>
  <c r="O552" i="22"/>
  <c r="N552" i="22"/>
  <c r="F552" i="22"/>
  <c r="V551" i="22"/>
  <c r="O551" i="22"/>
  <c r="N551" i="22"/>
  <c r="F551" i="22"/>
  <c r="X550" i="22"/>
  <c r="O550" i="22"/>
  <c r="N550" i="22"/>
  <c r="F550" i="22"/>
  <c r="X549" i="22"/>
  <c r="O549" i="22"/>
  <c r="N549" i="22"/>
  <c r="F549" i="22"/>
  <c r="O548" i="22"/>
  <c r="N548" i="22"/>
  <c r="F548" i="22"/>
  <c r="R547" i="22" s="1"/>
  <c r="X547" i="22"/>
  <c r="O547" i="22"/>
  <c r="N547" i="22"/>
  <c r="F547" i="22"/>
  <c r="AB546" i="22"/>
  <c r="F542" i="22"/>
  <c r="F541" i="22"/>
  <c r="R530" i="22" s="1"/>
  <c r="F540" i="22"/>
  <c r="F539" i="22"/>
  <c r="F538" i="22"/>
  <c r="F537" i="22"/>
  <c r="F536" i="22"/>
  <c r="O535" i="22"/>
  <c r="N535" i="22"/>
  <c r="F535" i="22"/>
  <c r="X534" i="22"/>
  <c r="O534" i="22"/>
  <c r="N534" i="22"/>
  <c r="F534" i="22"/>
  <c r="X533" i="22"/>
  <c r="O533" i="22"/>
  <c r="N533" i="22"/>
  <c r="F533" i="22"/>
  <c r="O532" i="22"/>
  <c r="W531" i="22" s="1"/>
  <c r="X531" i="22" s="1"/>
  <c r="N532" i="22"/>
  <c r="F532" i="22"/>
  <c r="O531" i="22"/>
  <c r="N531" i="22"/>
  <c r="F531" i="22"/>
  <c r="O530" i="22"/>
  <c r="N530" i="22"/>
  <c r="F530" i="22"/>
  <c r="R528" i="22" s="1"/>
  <c r="V529" i="22" s="1"/>
  <c r="R529" i="22"/>
  <c r="AB527" i="22" s="1"/>
  <c r="O529" i="22"/>
  <c r="W528" i="22" s="1"/>
  <c r="N529" i="22"/>
  <c r="F529" i="22"/>
  <c r="X528" i="22"/>
  <c r="O528" i="22"/>
  <c r="N528" i="22"/>
  <c r="F528" i="22"/>
  <c r="F523" i="22"/>
  <c r="F522" i="22"/>
  <c r="F521" i="22"/>
  <c r="R504" i="22" s="1"/>
  <c r="F520" i="22"/>
  <c r="F519" i="22"/>
  <c r="F518" i="22"/>
  <c r="F517" i="22"/>
  <c r="F516" i="22"/>
  <c r="F515" i="22"/>
  <c r="F514" i="22"/>
  <c r="F513" i="22"/>
  <c r="F512" i="22"/>
  <c r="F511" i="22"/>
  <c r="F510" i="22"/>
  <c r="O509" i="22"/>
  <c r="N509" i="22"/>
  <c r="F509" i="22"/>
  <c r="V502" i="22" s="1"/>
  <c r="X508" i="22"/>
  <c r="O508" i="22"/>
  <c r="N508" i="22"/>
  <c r="F508" i="22"/>
  <c r="X507" i="22"/>
  <c r="O507" i="22"/>
  <c r="N507" i="22"/>
  <c r="F507" i="22"/>
  <c r="O506" i="22"/>
  <c r="N506" i="22"/>
  <c r="F506" i="22"/>
  <c r="X505" i="22"/>
  <c r="O505" i="22"/>
  <c r="N505" i="22"/>
  <c r="F505" i="22"/>
  <c r="X504" i="22"/>
  <c r="O504" i="22"/>
  <c r="N504" i="22"/>
  <c r="F504" i="22"/>
  <c r="V503" i="22"/>
  <c r="R503" i="22"/>
  <c r="AB501" i="22" s="1"/>
  <c r="O503" i="22"/>
  <c r="W502" i="22" s="1"/>
  <c r="N503" i="22"/>
  <c r="F503" i="22"/>
  <c r="O502" i="22"/>
  <c r="N502" i="22"/>
  <c r="F502" i="22"/>
  <c r="AA501" i="22"/>
  <c r="O497" i="22"/>
  <c r="N497" i="22"/>
  <c r="X496" i="22"/>
  <c r="O496" i="22"/>
  <c r="N496" i="22"/>
  <c r="X495" i="22"/>
  <c r="O495" i="22"/>
  <c r="N495" i="22"/>
  <c r="V494" i="22"/>
  <c r="O494" i="22"/>
  <c r="N494" i="22"/>
  <c r="F494" i="22"/>
  <c r="R492" i="22" s="1"/>
  <c r="V497" i="22" s="1"/>
  <c r="X493" i="22"/>
  <c r="O493" i="22"/>
  <c r="N493" i="22"/>
  <c r="F493" i="22"/>
  <c r="X492" i="22"/>
  <c r="O492" i="22"/>
  <c r="N492" i="22"/>
  <c r="F492" i="22"/>
  <c r="O491" i="22"/>
  <c r="N491" i="22"/>
  <c r="F491" i="22"/>
  <c r="R490" i="22" s="1"/>
  <c r="V491" i="22" s="1"/>
  <c r="X490" i="22"/>
  <c r="O490" i="22"/>
  <c r="N490" i="22"/>
  <c r="F490" i="22"/>
  <c r="AB489" i="22"/>
  <c r="F485" i="22"/>
  <c r="F484" i="22"/>
  <c r="F483" i="22"/>
  <c r="R469" i="22" s="1"/>
  <c r="F482" i="22"/>
  <c r="F481" i="22"/>
  <c r="F480" i="22"/>
  <c r="F479" i="22"/>
  <c r="F478" i="22"/>
  <c r="F477" i="22"/>
  <c r="F476" i="22"/>
  <c r="F475" i="22"/>
  <c r="O474" i="22"/>
  <c r="N474" i="22"/>
  <c r="F474" i="22"/>
  <c r="X473" i="22"/>
  <c r="O473" i="22"/>
  <c r="N473" i="22"/>
  <c r="F473" i="22"/>
  <c r="X472" i="22"/>
  <c r="O472" i="22"/>
  <c r="N472" i="22"/>
  <c r="F472" i="22"/>
  <c r="O471" i="22"/>
  <c r="N471" i="22"/>
  <c r="F471" i="22"/>
  <c r="X470" i="22"/>
  <c r="O470" i="22"/>
  <c r="N470" i="22"/>
  <c r="F470" i="22"/>
  <c r="X469" i="22"/>
  <c r="O469" i="22"/>
  <c r="N469" i="22"/>
  <c r="F469" i="22"/>
  <c r="V468" i="22"/>
  <c r="R468" i="22"/>
  <c r="O468" i="22"/>
  <c r="N468" i="22"/>
  <c r="F468" i="22"/>
  <c r="X467" i="22"/>
  <c r="O467" i="22"/>
  <c r="N467" i="22"/>
  <c r="F467" i="22"/>
  <c r="AA466" i="22"/>
  <c r="O463" i="22"/>
  <c r="N463" i="22"/>
  <c r="X462" i="22"/>
  <c r="O462" i="22"/>
  <c r="N462" i="22"/>
  <c r="X461" i="22"/>
  <c r="O461" i="22"/>
  <c r="N461" i="22"/>
  <c r="O460" i="22"/>
  <c r="N460" i="22"/>
  <c r="X459" i="22"/>
  <c r="O459" i="22"/>
  <c r="N459" i="22"/>
  <c r="F459" i="22"/>
  <c r="R458" i="22" s="1"/>
  <c r="V463" i="22" s="1"/>
  <c r="X458" i="22"/>
  <c r="O458" i="22"/>
  <c r="N458" i="22"/>
  <c r="F458" i="22"/>
  <c r="R457" i="22"/>
  <c r="AB455" i="22" s="1"/>
  <c r="O457" i="22"/>
  <c r="N457" i="22"/>
  <c r="F457" i="22"/>
  <c r="R456" i="22" s="1"/>
  <c r="X456" i="22"/>
  <c r="O456" i="22"/>
  <c r="N456" i="22"/>
  <c r="F456" i="22"/>
  <c r="F451" i="22"/>
  <c r="F450" i="22"/>
  <c r="R435" i="22" s="1"/>
  <c r="AC432" i="22" s="1"/>
  <c r="F449" i="22"/>
  <c r="F448" i="22"/>
  <c r="F447" i="22"/>
  <c r="F446" i="22"/>
  <c r="F445" i="22"/>
  <c r="F444" i="22"/>
  <c r="F443" i="22"/>
  <c r="F442" i="22"/>
  <c r="F441" i="22"/>
  <c r="O440" i="22"/>
  <c r="N440" i="22"/>
  <c r="F440" i="22"/>
  <c r="X439" i="22"/>
  <c r="O439" i="22"/>
  <c r="N439" i="22"/>
  <c r="F439" i="22"/>
  <c r="X438" i="22"/>
  <c r="O438" i="22"/>
  <c r="N438" i="22"/>
  <c r="F438" i="22"/>
  <c r="O437" i="22"/>
  <c r="N437" i="22"/>
  <c r="F437" i="22"/>
  <c r="X436" i="22"/>
  <c r="O436" i="22"/>
  <c r="N436" i="22"/>
  <c r="F436" i="22"/>
  <c r="X435" i="22"/>
  <c r="O435" i="22"/>
  <c r="N435" i="22"/>
  <c r="F435" i="22"/>
  <c r="R434" i="22"/>
  <c r="AB432" i="22" s="1"/>
  <c r="O434" i="22"/>
  <c r="N434" i="22"/>
  <c r="F434" i="22"/>
  <c r="R433" i="22" s="1"/>
  <c r="O433" i="22"/>
  <c r="W433" i="22" s="1"/>
  <c r="N433" i="22"/>
  <c r="F433" i="22"/>
  <c r="O428" i="22"/>
  <c r="N428" i="22"/>
  <c r="X427" i="22"/>
  <c r="O427" i="22"/>
  <c r="N427" i="22"/>
  <c r="X426" i="22"/>
  <c r="O426" i="22"/>
  <c r="N426" i="22"/>
  <c r="F426" i="22"/>
  <c r="O425" i="22"/>
  <c r="N425" i="22"/>
  <c r="F425" i="22"/>
  <c r="X424" i="22"/>
  <c r="O424" i="22"/>
  <c r="N424" i="22"/>
  <c r="F424" i="22"/>
  <c r="R423" i="22" s="1"/>
  <c r="V428" i="22" s="1"/>
  <c r="X423" i="22"/>
  <c r="O423" i="22"/>
  <c r="N423" i="22"/>
  <c r="F423" i="22"/>
  <c r="R422" i="22"/>
  <c r="O422" i="22"/>
  <c r="N422" i="22"/>
  <c r="X421" i="22"/>
  <c r="R421" i="22"/>
  <c r="O421" i="22"/>
  <c r="N421" i="22"/>
  <c r="F421" i="22"/>
  <c r="O416" i="22"/>
  <c r="N416" i="22"/>
  <c r="X415" i="22"/>
  <c r="O415" i="22"/>
  <c r="N415" i="22"/>
  <c r="X414" i="22"/>
  <c r="O414" i="22"/>
  <c r="N414" i="22"/>
  <c r="O413" i="22"/>
  <c r="N413" i="22"/>
  <c r="F413" i="22"/>
  <c r="R411" i="22" s="1"/>
  <c r="X412" i="22"/>
  <c r="O412" i="22"/>
  <c r="N412" i="22"/>
  <c r="F412" i="22"/>
  <c r="X411" i="22"/>
  <c r="O411" i="22"/>
  <c r="N411" i="22"/>
  <c r="F411" i="22"/>
  <c r="R410" i="22"/>
  <c r="O410" i="22"/>
  <c r="N410" i="22"/>
  <c r="X409" i="22"/>
  <c r="R409" i="22"/>
  <c r="V410" i="22" s="1"/>
  <c r="O409" i="22"/>
  <c r="N409" i="22"/>
  <c r="F409" i="22"/>
  <c r="AB408" i="22"/>
  <c r="O404" i="22"/>
  <c r="N404" i="22"/>
  <c r="F404" i="22"/>
  <c r="X403" i="22"/>
  <c r="O403" i="22"/>
  <c r="N403" i="22"/>
  <c r="F403" i="22"/>
  <c r="R399" i="22" s="1"/>
  <c r="X402" i="22"/>
  <c r="O402" i="22"/>
  <c r="N402" i="22"/>
  <c r="F402" i="22"/>
  <c r="V401" i="22"/>
  <c r="O401" i="22"/>
  <c r="N401" i="22"/>
  <c r="F401" i="22"/>
  <c r="X400" i="22"/>
  <c r="O400" i="22"/>
  <c r="N400" i="22"/>
  <c r="F400" i="22"/>
  <c r="X399" i="22"/>
  <c r="O399" i="22"/>
  <c r="N399" i="22"/>
  <c r="F399" i="22"/>
  <c r="O398" i="22"/>
  <c r="N398" i="22"/>
  <c r="F398" i="22"/>
  <c r="R397" i="22" s="1"/>
  <c r="X397" i="22"/>
  <c r="O397" i="22"/>
  <c r="N397" i="22"/>
  <c r="F397" i="22"/>
  <c r="AB396" i="22"/>
  <c r="F393" i="22"/>
  <c r="F392" i="22"/>
  <c r="F391" i="22"/>
  <c r="R380" i="22" s="1"/>
  <c r="F390" i="22"/>
  <c r="F389" i="22"/>
  <c r="F388" i="22"/>
  <c r="F387" i="22"/>
  <c r="F386" i="22"/>
  <c r="O385" i="22"/>
  <c r="N385" i="22"/>
  <c r="F385" i="22"/>
  <c r="R378" i="22" s="1"/>
  <c r="X384" i="22"/>
  <c r="O384" i="22"/>
  <c r="N384" i="22"/>
  <c r="F384" i="22"/>
  <c r="X383" i="22"/>
  <c r="O383" i="22"/>
  <c r="N383" i="22"/>
  <c r="F383" i="22"/>
  <c r="O382" i="22"/>
  <c r="N382" i="22"/>
  <c r="F382" i="22"/>
  <c r="X381" i="22"/>
  <c r="O381" i="22"/>
  <c r="N381" i="22"/>
  <c r="F381" i="22"/>
  <c r="X380" i="22"/>
  <c r="O380" i="22"/>
  <c r="N380" i="22"/>
  <c r="F380" i="22"/>
  <c r="R379" i="22"/>
  <c r="V382" i="22" s="1"/>
  <c r="O379" i="22"/>
  <c r="N379" i="22"/>
  <c r="F379" i="22"/>
  <c r="X378" i="22"/>
  <c r="O378" i="22"/>
  <c r="N378" i="22"/>
  <c r="F378" i="22"/>
  <c r="AB377" i="22"/>
  <c r="F373" i="22"/>
  <c r="R364" i="22" s="1"/>
  <c r="F372" i="22"/>
  <c r="F371" i="22"/>
  <c r="O370" i="22"/>
  <c r="N370" i="22"/>
  <c r="F370" i="22"/>
  <c r="O369" i="22"/>
  <c r="N369" i="22"/>
  <c r="F369" i="22"/>
  <c r="X368" i="22"/>
  <c r="O368" i="22"/>
  <c r="N368" i="22"/>
  <c r="F368" i="22"/>
  <c r="X367" i="22"/>
  <c r="O367" i="22"/>
  <c r="N367" i="22"/>
  <c r="F367" i="22"/>
  <c r="V366" i="22"/>
  <c r="O366" i="22"/>
  <c r="W364" i="22" s="1"/>
  <c r="X364" i="22" s="1"/>
  <c r="N366" i="22"/>
  <c r="F366" i="22"/>
  <c r="R362" i="22" s="1"/>
  <c r="AA361" i="22" s="1"/>
  <c r="O365" i="22"/>
  <c r="W365" i="22" s="1"/>
  <c r="X365" i="22" s="1"/>
  <c r="N365" i="22"/>
  <c r="F365" i="22"/>
  <c r="O364" i="22"/>
  <c r="N364" i="22"/>
  <c r="F364" i="22"/>
  <c r="O363" i="22"/>
  <c r="N363" i="22"/>
  <c r="F363" i="22"/>
  <c r="X362" i="22"/>
  <c r="O362" i="22"/>
  <c r="N362" i="22"/>
  <c r="F362" i="22"/>
  <c r="AB361" i="22"/>
  <c r="F357" i="22"/>
  <c r="F356" i="22"/>
  <c r="F355" i="22"/>
  <c r="R346" i="22" s="1"/>
  <c r="V351" i="22" s="1"/>
  <c r="F354" i="22"/>
  <c r="F353" i="22"/>
  <c r="F352" i="22"/>
  <c r="O351" i="22"/>
  <c r="S346" i="22" s="1"/>
  <c r="AF343" i="22" s="1"/>
  <c r="N351" i="22"/>
  <c r="F351" i="22"/>
  <c r="X350" i="22"/>
  <c r="N350" i="22"/>
  <c r="F350" i="22"/>
  <c r="X349" i="22"/>
  <c r="N349" i="22"/>
  <c r="F349" i="22"/>
  <c r="O348" i="22"/>
  <c r="N348" i="22"/>
  <c r="F348" i="22"/>
  <c r="X347" i="22"/>
  <c r="O347" i="22"/>
  <c r="N347" i="22"/>
  <c r="F347" i="22"/>
  <c r="X346" i="22"/>
  <c r="O346" i="22"/>
  <c r="N346" i="22"/>
  <c r="F346" i="22"/>
  <c r="R345" i="22"/>
  <c r="V348" i="22" s="1"/>
  <c r="O345" i="22"/>
  <c r="N345" i="22"/>
  <c r="F345" i="22"/>
  <c r="R344" i="22" s="1"/>
  <c r="AA343" i="22" s="1"/>
  <c r="X344" i="22"/>
  <c r="O344" i="22"/>
  <c r="N344" i="22"/>
  <c r="F344" i="22"/>
  <c r="F339" i="22"/>
  <c r="F338" i="22"/>
  <c r="R324" i="22" s="1"/>
  <c r="F337" i="22"/>
  <c r="F336" i="22"/>
  <c r="F335" i="22"/>
  <c r="F334" i="22"/>
  <c r="F333" i="22"/>
  <c r="F332" i="22"/>
  <c r="F331" i="22"/>
  <c r="O330" i="22"/>
  <c r="N330" i="22"/>
  <c r="F330" i="22"/>
  <c r="O329" i="22"/>
  <c r="N329" i="22"/>
  <c r="F329" i="22"/>
  <c r="X328" i="22"/>
  <c r="O328" i="22"/>
  <c r="N328" i="22"/>
  <c r="F328" i="22"/>
  <c r="X327" i="22"/>
  <c r="O327" i="22"/>
  <c r="N327" i="22"/>
  <c r="F327" i="22"/>
  <c r="O326" i="22"/>
  <c r="N326" i="22"/>
  <c r="F326" i="22"/>
  <c r="R322" i="22" s="1"/>
  <c r="V323" i="22" s="1"/>
  <c r="X325" i="22"/>
  <c r="O325" i="22"/>
  <c r="N325" i="22"/>
  <c r="F325" i="22"/>
  <c r="X324" i="22"/>
  <c r="O324" i="22"/>
  <c r="N324" i="22"/>
  <c r="F324" i="22"/>
  <c r="R323" i="22"/>
  <c r="O323" i="22"/>
  <c r="N323" i="22"/>
  <c r="F323" i="22"/>
  <c r="X322" i="22"/>
  <c r="O322" i="22"/>
  <c r="N322" i="22"/>
  <c r="F322" i="22"/>
  <c r="O317" i="22"/>
  <c r="N317" i="22"/>
  <c r="O316" i="22"/>
  <c r="N316" i="22"/>
  <c r="X315" i="22"/>
  <c r="O315" i="22"/>
  <c r="N315" i="22"/>
  <c r="X314" i="22"/>
  <c r="O314" i="22"/>
  <c r="N314" i="22"/>
  <c r="V313" i="22"/>
  <c r="O313" i="22"/>
  <c r="N313" i="22"/>
  <c r="F313" i="22"/>
  <c r="X312" i="22"/>
  <c r="O312" i="22"/>
  <c r="N312" i="22"/>
  <c r="F312" i="22"/>
  <c r="R311" i="22" s="1"/>
  <c r="AC308" i="22" s="1"/>
  <c r="X311" i="22"/>
  <c r="O311" i="22"/>
  <c r="N311" i="22"/>
  <c r="F311" i="22"/>
  <c r="O310" i="22"/>
  <c r="N310" i="22"/>
  <c r="X309" i="22"/>
  <c r="R309" i="22"/>
  <c r="AA308" i="22" s="1"/>
  <c r="O309" i="22"/>
  <c r="N309" i="22"/>
  <c r="F309" i="22"/>
  <c r="F305" i="22"/>
  <c r="F304" i="22"/>
  <c r="F303" i="22"/>
  <c r="O302" i="22"/>
  <c r="N302" i="22"/>
  <c r="F302" i="22"/>
  <c r="O301" i="22"/>
  <c r="W300" i="22" s="1"/>
  <c r="X300" i="22" s="1"/>
  <c r="N301" i="22"/>
  <c r="F301" i="22"/>
  <c r="O300" i="22"/>
  <c r="N300" i="22"/>
  <c r="F300" i="22"/>
  <c r="R294" i="22" s="1"/>
  <c r="X299" i="22"/>
  <c r="O299" i="22"/>
  <c r="N299" i="22"/>
  <c r="F299" i="22"/>
  <c r="V298" i="22"/>
  <c r="O298" i="22"/>
  <c r="N298" i="22"/>
  <c r="F298" i="22"/>
  <c r="X297" i="22"/>
  <c r="O297" i="22"/>
  <c r="N297" i="22"/>
  <c r="F297" i="22"/>
  <c r="X296" i="22"/>
  <c r="R296" i="22"/>
  <c r="O296" i="22"/>
  <c r="N296" i="22"/>
  <c r="F296" i="22"/>
  <c r="O295" i="22"/>
  <c r="N295" i="22"/>
  <c r="F295" i="22"/>
  <c r="X294" i="22"/>
  <c r="O294" i="22"/>
  <c r="N294" i="22"/>
  <c r="F294" i="22"/>
  <c r="AB293" i="22"/>
  <c r="F290" i="22"/>
  <c r="F289" i="22"/>
  <c r="R259" i="22" s="1"/>
  <c r="F288" i="22"/>
  <c r="F287" i="22"/>
  <c r="F286" i="22"/>
  <c r="F285" i="22"/>
  <c r="F284" i="22"/>
  <c r="F283" i="22"/>
  <c r="F282" i="22"/>
  <c r="F281" i="22"/>
  <c r="F280" i="22"/>
  <c r="F279" i="22"/>
  <c r="F278" i="22"/>
  <c r="F277" i="22"/>
  <c r="F276" i="22"/>
  <c r="F275" i="22"/>
  <c r="F274" i="22"/>
  <c r="F273" i="22"/>
  <c r="F272" i="22"/>
  <c r="F271" i="22"/>
  <c r="F270" i="22"/>
  <c r="F269" i="22"/>
  <c r="F268" i="22"/>
  <c r="F267" i="22"/>
  <c r="F266" i="22"/>
  <c r="O265" i="22"/>
  <c r="N265" i="22"/>
  <c r="F265" i="22"/>
  <c r="O264" i="22"/>
  <c r="N264" i="22"/>
  <c r="F264" i="22"/>
  <c r="R257" i="22" s="1"/>
  <c r="X263" i="22"/>
  <c r="O263" i="22"/>
  <c r="N263" i="22"/>
  <c r="F263" i="22"/>
  <c r="X262" i="22"/>
  <c r="O262" i="22"/>
  <c r="N262" i="22"/>
  <c r="F262" i="22"/>
  <c r="O261" i="22"/>
  <c r="N261" i="22"/>
  <c r="F261" i="22"/>
  <c r="X260" i="22"/>
  <c r="O260" i="22"/>
  <c r="N260" i="22"/>
  <c r="F260" i="22"/>
  <c r="X259" i="22"/>
  <c r="O259" i="22"/>
  <c r="N259" i="22"/>
  <c r="F259" i="22"/>
  <c r="R258" i="22"/>
  <c r="AB256" i="22" s="1"/>
  <c r="O258" i="22"/>
  <c r="N258" i="22"/>
  <c r="F258" i="22"/>
  <c r="X257" i="22"/>
  <c r="O257" i="22"/>
  <c r="N257" i="22"/>
  <c r="F257" i="22"/>
  <c r="O252" i="22"/>
  <c r="X251" i="22"/>
  <c r="O251" i="22"/>
  <c r="X250" i="22"/>
  <c r="O250" i="22"/>
  <c r="O249" i="22"/>
  <c r="F249" i="22"/>
  <c r="R247" i="22" s="1"/>
  <c r="AC244" i="22" s="1"/>
  <c r="X248" i="22"/>
  <c r="O248" i="22"/>
  <c r="F248" i="22"/>
  <c r="X247" i="22"/>
  <c r="O247" i="22"/>
  <c r="F247" i="22"/>
  <c r="R245" i="22" s="1"/>
  <c r="AA244" i="22" s="1"/>
  <c r="R246" i="22"/>
  <c r="AB244" i="22" s="1"/>
  <c r="O246" i="22"/>
  <c r="F246" i="22"/>
  <c r="X245" i="22"/>
  <c r="O245" i="22"/>
  <c r="F245" i="22"/>
  <c r="O239" i="22"/>
  <c r="X238" i="22"/>
  <c r="O238" i="22"/>
  <c r="X237" i="22"/>
  <c r="O237" i="22"/>
  <c r="O236" i="22"/>
  <c r="F236" i="22"/>
  <c r="R234" i="22" s="1"/>
  <c r="V239" i="22" s="1"/>
  <c r="X235" i="22"/>
  <c r="O235" i="22"/>
  <c r="F235" i="22"/>
  <c r="X234" i="22"/>
  <c r="O234" i="22"/>
  <c r="F234" i="22"/>
  <c r="R233" i="22"/>
  <c r="V236" i="22" s="1"/>
  <c r="O233" i="22"/>
  <c r="F233" i="22"/>
  <c r="R232" i="22" s="1"/>
  <c r="X232" i="22"/>
  <c r="O232" i="22"/>
  <c r="F232" i="22"/>
  <c r="O228" i="22"/>
  <c r="X227" i="22"/>
  <c r="O227" i="22"/>
  <c r="F227" i="22"/>
  <c r="R223" i="22" s="1"/>
  <c r="AC220" i="22" s="1"/>
  <c r="X226" i="22"/>
  <c r="O226" i="22"/>
  <c r="F226" i="22"/>
  <c r="O225" i="22"/>
  <c r="F225" i="22"/>
  <c r="X224" i="22"/>
  <c r="O224" i="22"/>
  <c r="F224" i="22"/>
  <c r="X223" i="22"/>
  <c r="O223" i="22"/>
  <c r="F223" i="22"/>
  <c r="R221" i="22" s="1"/>
  <c r="V222" i="22" s="1"/>
  <c r="R222" i="22"/>
  <c r="AB220" i="22" s="1"/>
  <c r="O222" i="22"/>
  <c r="F222" i="22"/>
  <c r="X221" i="22"/>
  <c r="O221" i="22"/>
  <c r="F221" i="22"/>
  <c r="W216" i="22"/>
  <c r="O216" i="22"/>
  <c r="X215" i="22"/>
  <c r="O215" i="22"/>
  <c r="X214" i="22"/>
  <c r="O214" i="22"/>
  <c r="O213" i="22"/>
  <c r="X212" i="22"/>
  <c r="O212" i="22"/>
  <c r="X211" i="22"/>
  <c r="R211" i="22"/>
  <c r="V216" i="22" s="1"/>
  <c r="X216" i="22" s="1"/>
  <c r="O211" i="22"/>
  <c r="F211" i="22"/>
  <c r="R210" i="22"/>
  <c r="V213" i="22" s="1"/>
  <c r="X213" i="22" s="1"/>
  <c r="O210" i="22"/>
  <c r="F210" i="22"/>
  <c r="X209" i="22"/>
  <c r="O209" i="22"/>
  <c r="F209" i="22"/>
  <c r="R209" i="22" s="1"/>
  <c r="AF208" i="22"/>
  <c r="F204" i="22"/>
  <c r="F203" i="22"/>
  <c r="F202" i="22"/>
  <c r="F201" i="22"/>
  <c r="F200" i="22"/>
  <c r="F199" i="22"/>
  <c r="F198" i="22"/>
  <c r="O197" i="22"/>
  <c r="F197" i="22"/>
  <c r="X196" i="22"/>
  <c r="O196" i="22"/>
  <c r="F196" i="22"/>
  <c r="X195" i="22"/>
  <c r="O195" i="22"/>
  <c r="F195" i="22"/>
  <c r="O194" i="22"/>
  <c r="F194" i="22"/>
  <c r="X193" i="22"/>
  <c r="O193" i="22"/>
  <c r="F193" i="22"/>
  <c r="X192" i="22"/>
  <c r="R192" i="22"/>
  <c r="AC189" i="22" s="1"/>
  <c r="O192" i="22"/>
  <c r="F192" i="22"/>
  <c r="R191" i="22"/>
  <c r="O191" i="22"/>
  <c r="F191" i="22"/>
  <c r="X190" i="22"/>
  <c r="R190" i="22"/>
  <c r="O190" i="22"/>
  <c r="F190" i="22"/>
  <c r="F185" i="22"/>
  <c r="F184" i="22"/>
  <c r="F183" i="22"/>
  <c r="F182" i="22"/>
  <c r="F181" i="22"/>
  <c r="F180" i="22"/>
  <c r="R156" i="22" s="1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R154" i="22" s="1"/>
  <c r="F167" i="22"/>
  <c r="F166" i="22"/>
  <c r="F165" i="22"/>
  <c r="F164" i="22"/>
  <c r="F163" i="22"/>
  <c r="F162" i="22"/>
  <c r="O161" i="22"/>
  <c r="F161" i="22"/>
  <c r="X160" i="22"/>
  <c r="O160" i="22"/>
  <c r="F160" i="22"/>
  <c r="X159" i="22"/>
  <c r="O159" i="22"/>
  <c r="F159" i="22"/>
  <c r="O158" i="22"/>
  <c r="F158" i="22"/>
  <c r="X157" i="22"/>
  <c r="O157" i="22"/>
  <c r="F157" i="22"/>
  <c r="X156" i="22"/>
  <c r="O156" i="22"/>
  <c r="F156" i="22"/>
  <c r="R155" i="22"/>
  <c r="O155" i="22"/>
  <c r="F155" i="22"/>
  <c r="X154" i="22"/>
  <c r="O154" i="22"/>
  <c r="F154" i="22"/>
  <c r="AB141" i="22"/>
  <c r="F136" i="22"/>
  <c r="R124" i="22" s="1"/>
  <c r="F135" i="22"/>
  <c r="F134" i="22"/>
  <c r="F133" i="22"/>
  <c r="F132" i="22"/>
  <c r="F131" i="22"/>
  <c r="F130" i="22"/>
  <c r="O129" i="22"/>
  <c r="F129" i="22"/>
  <c r="X128" i="22"/>
  <c r="O128" i="22"/>
  <c r="F128" i="22"/>
  <c r="X127" i="22"/>
  <c r="O127" i="22"/>
  <c r="F127" i="22"/>
  <c r="O126" i="22"/>
  <c r="F126" i="22"/>
  <c r="X125" i="22"/>
  <c r="O125" i="22"/>
  <c r="F125" i="22"/>
  <c r="X124" i="22"/>
  <c r="O124" i="22"/>
  <c r="F124" i="22"/>
  <c r="R123" i="22"/>
  <c r="AB121" i="22" s="1"/>
  <c r="O123" i="22"/>
  <c r="F123" i="22"/>
  <c r="X122" i="22"/>
  <c r="O122" i="22"/>
  <c r="F122" i="22"/>
  <c r="R122" i="22" s="1"/>
  <c r="V123" i="22" s="1"/>
  <c r="O117" i="22"/>
  <c r="X116" i="22"/>
  <c r="O116" i="22"/>
  <c r="X115" i="22"/>
  <c r="O115" i="22"/>
  <c r="W114" i="22"/>
  <c r="O114" i="22"/>
  <c r="X113" i="22"/>
  <c r="O113" i="22"/>
  <c r="X112" i="22"/>
  <c r="O112" i="22"/>
  <c r="F112" i="22"/>
  <c r="W111" i="22"/>
  <c r="R111" i="22"/>
  <c r="O111" i="22"/>
  <c r="F111" i="22"/>
  <c r="R112" i="22" s="1"/>
  <c r="X110" i="22"/>
  <c r="R110" i="22"/>
  <c r="V111" i="22" s="1"/>
  <c r="X111" i="22" s="1"/>
  <c r="O110" i="22"/>
  <c r="F110" i="22"/>
  <c r="AE109" i="22"/>
  <c r="AD109" i="22"/>
  <c r="O105" i="22"/>
  <c r="X104" i="22"/>
  <c r="O104" i="22"/>
  <c r="X103" i="22"/>
  <c r="O103" i="22"/>
  <c r="O102" i="22"/>
  <c r="X101" i="22"/>
  <c r="O101" i="22"/>
  <c r="X100" i="22"/>
  <c r="R100" i="22"/>
  <c r="V105" i="22" s="1"/>
  <c r="X105" i="22" s="1"/>
  <c r="O100" i="22"/>
  <c r="F100" i="22"/>
  <c r="R99" i="22"/>
  <c r="V102" i="22" s="1"/>
  <c r="O99" i="22"/>
  <c r="F99" i="22"/>
  <c r="R98" i="22" s="1"/>
  <c r="X98" i="22"/>
  <c r="O98" i="22"/>
  <c r="F98" i="22"/>
  <c r="O93" i="22"/>
  <c r="F93" i="22"/>
  <c r="X92" i="22"/>
  <c r="O92" i="22"/>
  <c r="F92" i="22"/>
  <c r="R88" i="22" s="1"/>
  <c r="X91" i="22"/>
  <c r="O91" i="22"/>
  <c r="F91" i="22"/>
  <c r="O90" i="22"/>
  <c r="F90" i="22"/>
  <c r="R86" i="22" s="1"/>
  <c r="V87" i="22" s="1"/>
  <c r="X89" i="22"/>
  <c r="O89" i="22"/>
  <c r="F89" i="22"/>
  <c r="X88" i="22"/>
  <c r="O88" i="22"/>
  <c r="F88" i="22"/>
  <c r="R87" i="22"/>
  <c r="AB85" i="22" s="1"/>
  <c r="O87" i="22"/>
  <c r="F87" i="22"/>
  <c r="X86" i="22"/>
  <c r="O86" i="22"/>
  <c r="F86" i="22"/>
  <c r="O81" i="22"/>
  <c r="X80" i="22"/>
  <c r="O80" i="22"/>
  <c r="X79" i="22"/>
  <c r="O79" i="22"/>
  <c r="O78" i="22"/>
  <c r="F78" i="22"/>
  <c r="X77" i="22"/>
  <c r="O77" i="22"/>
  <c r="F77" i="22"/>
  <c r="R76" i="22" s="1"/>
  <c r="V81" i="22" s="1"/>
  <c r="X76" i="22"/>
  <c r="O76" i="22"/>
  <c r="F76" i="22"/>
  <c r="R75" i="22"/>
  <c r="V78" i="22" s="1"/>
  <c r="O75" i="22"/>
  <c r="F75" i="22"/>
  <c r="X74" i="22"/>
  <c r="R74" i="22"/>
  <c r="V75" i="22" s="1"/>
  <c r="X75" i="22" s="1"/>
  <c r="O74" i="22"/>
  <c r="F74" i="22"/>
  <c r="F69" i="22"/>
  <c r="F68" i="22"/>
  <c r="R60" i="22" s="1"/>
  <c r="F67" i="22"/>
  <c r="F66" i="22"/>
  <c r="O65" i="22"/>
  <c r="F65" i="22"/>
  <c r="X64" i="22"/>
  <c r="O64" i="22"/>
  <c r="F64" i="22"/>
  <c r="X63" i="22"/>
  <c r="O63" i="22"/>
  <c r="F63" i="22"/>
  <c r="O62" i="22"/>
  <c r="F62" i="22"/>
  <c r="X61" i="22"/>
  <c r="O61" i="22"/>
  <c r="F61" i="22"/>
  <c r="X60" i="22"/>
  <c r="O60" i="22"/>
  <c r="F60" i="22"/>
  <c r="R59" i="22"/>
  <c r="AB57" i="22" s="1"/>
  <c r="O59" i="22"/>
  <c r="F59" i="22"/>
  <c r="R58" i="22" s="1"/>
  <c r="X58" i="22"/>
  <c r="O58" i="22"/>
  <c r="F58" i="22"/>
  <c r="X50" i="22"/>
  <c r="O50" i="22"/>
  <c r="F50" i="22"/>
  <c r="R46" i="22" s="1"/>
  <c r="V51" i="22" s="1"/>
  <c r="E50" i="22"/>
  <c r="X49" i="22"/>
  <c r="O49" i="22"/>
  <c r="F49" i="22"/>
  <c r="R44" i="22" s="1"/>
  <c r="AA43" i="22" s="1"/>
  <c r="E49" i="22"/>
  <c r="O48" i="22"/>
  <c r="F48" i="22"/>
  <c r="E48" i="22"/>
  <c r="X47" i="22"/>
  <c r="O47" i="22"/>
  <c r="F47" i="22"/>
  <c r="E47" i="22"/>
  <c r="X46" i="22"/>
  <c r="O46" i="22"/>
  <c r="F46" i="22"/>
  <c r="E46" i="22"/>
  <c r="R45" i="22"/>
  <c r="V48" i="22" s="1"/>
  <c r="O45" i="22"/>
  <c r="F45" i="22"/>
  <c r="E45" i="22"/>
  <c r="X44" i="22"/>
  <c r="O44" i="22"/>
  <c r="F44" i="22"/>
  <c r="E44" i="22"/>
  <c r="O43" i="22"/>
  <c r="F43" i="22"/>
  <c r="E43" i="22"/>
  <c r="D35" i="22"/>
  <c r="C35" i="22"/>
  <c r="B35" i="22"/>
  <c r="D24" i="22"/>
  <c r="C24" i="22"/>
  <c r="B24" i="22"/>
  <c r="D23" i="22"/>
  <c r="C23" i="22"/>
  <c r="B23" i="22"/>
  <c r="D21" i="22"/>
  <c r="C21" i="22"/>
  <c r="B21" i="22"/>
  <c r="D20" i="22"/>
  <c r="C20" i="22"/>
  <c r="B20" i="22"/>
  <c r="I9" i="22"/>
  <c r="H9" i="22"/>
  <c r="C9" i="22"/>
  <c r="B9" i="22"/>
  <c r="R546" i="16"/>
  <c r="R544" i="16"/>
  <c r="R545" i="16"/>
  <c r="F546" i="16"/>
  <c r="F545" i="16"/>
  <c r="F544" i="16"/>
  <c r="W702" i="16"/>
  <c r="S701" i="16"/>
  <c r="R703" i="16"/>
  <c r="R702" i="16"/>
  <c r="R701" i="16"/>
  <c r="V708" i="16"/>
  <c r="X703" i="16"/>
  <c r="S702" i="16"/>
  <c r="W705" i="16" s="1"/>
  <c r="V705" i="16"/>
  <c r="X705" i="16" s="1"/>
  <c r="X701" i="16"/>
  <c r="V702" i="16"/>
  <c r="X702" i="16" s="1"/>
  <c r="F735" i="16"/>
  <c r="F734" i="16"/>
  <c r="F712" i="16"/>
  <c r="F733" i="16"/>
  <c r="F732" i="16"/>
  <c r="F731" i="16"/>
  <c r="F730" i="16"/>
  <c r="F729" i="16"/>
  <c r="F728" i="16"/>
  <c r="F727" i="16"/>
  <c r="F726" i="16"/>
  <c r="F725" i="16"/>
  <c r="F724" i="16"/>
  <c r="F723" i="16"/>
  <c r="F722" i="16"/>
  <c r="F721" i="16"/>
  <c r="F720" i="16"/>
  <c r="F719" i="16"/>
  <c r="F718" i="16"/>
  <c r="F717" i="16"/>
  <c r="F716" i="16"/>
  <c r="F715" i="16"/>
  <c r="F714" i="16"/>
  <c r="F713" i="16"/>
  <c r="F711" i="16"/>
  <c r="F710" i="16"/>
  <c r="F709" i="16"/>
  <c r="F708" i="16"/>
  <c r="F707" i="16"/>
  <c r="F706" i="16"/>
  <c r="F705" i="16"/>
  <c r="F704" i="16"/>
  <c r="F703" i="16"/>
  <c r="F702" i="16"/>
  <c r="F1657" i="16"/>
  <c r="F1656" i="16"/>
  <c r="F1654" i="16"/>
  <c r="R1653" i="16" s="1"/>
  <c r="F1655" i="16"/>
  <c r="V1657" i="16"/>
  <c r="O1661" i="16"/>
  <c r="N1661" i="16"/>
  <c r="O1660" i="16"/>
  <c r="W1659" i="16" s="1"/>
  <c r="X1659" i="16" s="1"/>
  <c r="N1660" i="16"/>
  <c r="O1659" i="16"/>
  <c r="N1659" i="16"/>
  <c r="X1658" i="16"/>
  <c r="O1658" i="16"/>
  <c r="N1658" i="16"/>
  <c r="O1657" i="16"/>
  <c r="W1655" i="16" s="1"/>
  <c r="X1655" i="16" s="1"/>
  <c r="N1657" i="16"/>
  <c r="O1656" i="16"/>
  <c r="W1656" i="16" s="1"/>
  <c r="X1656" i="16" s="1"/>
  <c r="N1656" i="16"/>
  <c r="R1655" i="16"/>
  <c r="V1660" i="16" s="1"/>
  <c r="O1655" i="16"/>
  <c r="N1655" i="16"/>
  <c r="O1654" i="16"/>
  <c r="N1654" i="16"/>
  <c r="X1653" i="16"/>
  <c r="O1653" i="16"/>
  <c r="N1653" i="16"/>
  <c r="F1653" i="16"/>
  <c r="AD1636" i="16"/>
  <c r="AD1611" i="16"/>
  <c r="AD1587" i="16"/>
  <c r="AC1494" i="16"/>
  <c r="AB1457" i="16"/>
  <c r="AB1434" i="16"/>
  <c r="AA1389" i="16"/>
  <c r="AB1377" i="16"/>
  <c r="AC1266" i="16"/>
  <c r="AA1232" i="16"/>
  <c r="AB1187" i="16"/>
  <c r="AB1116" i="16"/>
  <c r="AB1103" i="16"/>
  <c r="AB1091" i="16"/>
  <c r="AB1067" i="16"/>
  <c r="AB1036" i="16"/>
  <c r="AB1023" i="16"/>
  <c r="AB43" i="22" l="1"/>
  <c r="AB43" i="23"/>
  <c r="S45" i="23"/>
  <c r="J9" i="23"/>
  <c r="N9" i="23" s="1"/>
  <c r="P9" i="23" s="1"/>
  <c r="S641" i="23"/>
  <c r="R274" i="23"/>
  <c r="V279" i="23" s="1"/>
  <c r="AB216" i="23"/>
  <c r="AC824" i="23"/>
  <c r="S44" i="23"/>
  <c r="AD43" i="23" s="1"/>
  <c r="S796" i="23"/>
  <c r="V430" i="23"/>
  <c r="S597" i="23"/>
  <c r="W602" i="23" s="1"/>
  <c r="X602" i="23" s="1"/>
  <c r="S502" i="23"/>
  <c r="R685" i="23"/>
  <c r="V690" i="23" s="1"/>
  <c r="S194" i="23"/>
  <c r="AE192" i="23" s="1"/>
  <c r="S104" i="23"/>
  <c r="V868" i="23"/>
  <c r="S873" i="23"/>
  <c r="S128" i="23"/>
  <c r="S670" i="23"/>
  <c r="W671" i="23" s="1"/>
  <c r="S827" i="23"/>
  <c r="V856" i="23"/>
  <c r="AC294" i="23"/>
  <c r="S595" i="23"/>
  <c r="V776" i="23"/>
  <c r="S786" i="23"/>
  <c r="AF783" i="23" s="1"/>
  <c r="N21" i="23"/>
  <c r="N35" i="23"/>
  <c r="S283" i="23"/>
  <c r="W284" i="23" s="1"/>
  <c r="V488" i="23"/>
  <c r="S565" i="23"/>
  <c r="S838" i="23"/>
  <c r="W841" i="23" s="1"/>
  <c r="S142" i="23"/>
  <c r="AE140" i="23" s="1"/>
  <c r="AA91" i="23"/>
  <c r="S454" i="23"/>
  <c r="W455" i="23" s="1"/>
  <c r="S861" i="23"/>
  <c r="W862" i="23" s="1"/>
  <c r="S69" i="23"/>
  <c r="AE67" i="23" s="1"/>
  <c r="V299" i="23"/>
  <c r="AB807" i="23"/>
  <c r="S875" i="23"/>
  <c r="S774" i="23"/>
  <c r="AB79" i="23"/>
  <c r="S130" i="23"/>
  <c r="W135" i="23" s="1"/>
  <c r="S398" i="23"/>
  <c r="AD397" i="23" s="1"/>
  <c r="AA836" i="23"/>
  <c r="AB872" i="23"/>
  <c r="S219" i="23"/>
  <c r="W224" i="23" s="1"/>
  <c r="X224" i="23" s="1"/>
  <c r="S541" i="23"/>
  <c r="AE539" i="23" s="1"/>
  <c r="S910" i="23"/>
  <c r="W911" i="23" s="1"/>
  <c r="D9" i="23"/>
  <c r="AC204" i="23"/>
  <c r="S255" i="23"/>
  <c r="AF252" i="23" s="1"/>
  <c r="S481" i="23"/>
  <c r="AD480" i="23" s="1"/>
  <c r="S672" i="23"/>
  <c r="AF669" i="23" s="1"/>
  <c r="AC306" i="23"/>
  <c r="AA383" i="23"/>
  <c r="S785" i="23"/>
  <c r="W788" i="23" s="1"/>
  <c r="AA824" i="23"/>
  <c r="V87" i="23"/>
  <c r="AC79" i="23"/>
  <c r="V230" i="23"/>
  <c r="R232" i="23"/>
  <c r="V237" i="23" s="1"/>
  <c r="D30" i="23"/>
  <c r="C30" i="23"/>
  <c r="B30" i="23"/>
  <c r="X390" i="23"/>
  <c r="B10" i="23"/>
  <c r="V290" i="23"/>
  <c r="AC282" i="23"/>
  <c r="AA720" i="23"/>
  <c r="V722" i="23"/>
  <c r="M21" i="23"/>
  <c r="S80" i="23"/>
  <c r="AD79" i="23" s="1"/>
  <c r="S243" i="23"/>
  <c r="W248" i="23" s="1"/>
  <c r="S370" i="23"/>
  <c r="W375" i="23" s="1"/>
  <c r="S682" i="23"/>
  <c r="W683" i="23" s="1"/>
  <c r="V689" i="23"/>
  <c r="R208" i="23"/>
  <c r="V213" i="23" s="1"/>
  <c r="AB252" i="23"/>
  <c r="S643" i="23"/>
  <c r="W648" i="23" s="1"/>
  <c r="X648" i="23" s="1"/>
  <c r="V96" i="23"/>
  <c r="AB164" i="23"/>
  <c r="S206" i="23"/>
  <c r="W209" i="23" s="1"/>
  <c r="S564" i="23"/>
  <c r="AD563" i="23" s="1"/>
  <c r="S624" i="23"/>
  <c r="AD623" i="23" s="1"/>
  <c r="R644" i="23"/>
  <c r="V649" i="23" s="1"/>
  <c r="V645" i="23"/>
  <c r="X645" i="23" s="1"/>
  <c r="N20" i="23"/>
  <c r="W143" i="23"/>
  <c r="X143" i="23" s="1"/>
  <c r="S165" i="23"/>
  <c r="W166" i="23" s="1"/>
  <c r="S272" i="23"/>
  <c r="W275" i="23" s="1"/>
  <c r="S332" i="23"/>
  <c r="W335" i="23" s="1"/>
  <c r="X335" i="23" s="1"/>
  <c r="S333" i="23"/>
  <c r="AF330" i="23" s="1"/>
  <c r="W542" i="23"/>
  <c r="X542" i="23" s="1"/>
  <c r="S839" i="23"/>
  <c r="W844" i="23" s="1"/>
  <c r="S896" i="23"/>
  <c r="AD895" i="23" s="1"/>
  <c r="S897" i="23"/>
  <c r="W900" i="23" s="1"/>
  <c r="X900" i="23" s="1"/>
  <c r="S92" i="23"/>
  <c r="W93" i="23" s="1"/>
  <c r="X93" i="23" s="1"/>
  <c r="S207" i="23"/>
  <c r="AF204" i="23" s="1"/>
  <c r="S230" i="23"/>
  <c r="AE228" i="23" s="1"/>
  <c r="R256" i="23"/>
  <c r="V261" i="23" s="1"/>
  <c r="S297" i="23"/>
  <c r="AF294" i="23" s="1"/>
  <c r="S344" i="23"/>
  <c r="W345" i="23" s="1"/>
  <c r="S412" i="23"/>
  <c r="W417" i="23" s="1"/>
  <c r="X417" i="23" s="1"/>
  <c r="S552" i="23"/>
  <c r="W553" i="23" s="1"/>
  <c r="S577" i="23"/>
  <c r="AE575" i="23" s="1"/>
  <c r="S612" i="23"/>
  <c r="AE610" i="23" s="1"/>
  <c r="S849" i="23"/>
  <c r="AD848" i="23" s="1"/>
  <c r="S70" i="23"/>
  <c r="AF67" i="23" s="1"/>
  <c r="S229" i="23"/>
  <c r="AD228" i="23" s="1"/>
  <c r="AA318" i="23"/>
  <c r="S385" i="23"/>
  <c r="W388" i="23" s="1"/>
  <c r="X388" i="23" s="1"/>
  <c r="S653" i="23"/>
  <c r="W654" i="23" s="1"/>
  <c r="S825" i="23"/>
  <c r="W898" i="23"/>
  <c r="X898" i="23" s="1"/>
  <c r="S898" i="23"/>
  <c r="W105" i="23"/>
  <c r="X105" i="23" s="1"/>
  <c r="AD103" i="23"/>
  <c r="X235" i="23"/>
  <c r="K10" i="23" s="1"/>
  <c r="I10" i="23"/>
  <c r="C10" i="23"/>
  <c r="V154" i="23"/>
  <c r="AA152" i="23"/>
  <c r="V69" i="23"/>
  <c r="AA67" i="23"/>
  <c r="R567" i="23"/>
  <c r="V572" i="23" s="1"/>
  <c r="AA563" i="23"/>
  <c r="V218" i="23"/>
  <c r="R220" i="23"/>
  <c r="V225" i="23" s="1"/>
  <c r="AA216" i="23"/>
  <c r="S117" i="23"/>
  <c r="W119" i="23"/>
  <c r="X119" i="23" s="1"/>
  <c r="S153" i="23"/>
  <c r="W154" i="23" s="1"/>
  <c r="AB453" i="23"/>
  <c r="V458" i="23"/>
  <c r="V553" i="23"/>
  <c r="V596" i="23"/>
  <c r="AA594" i="23"/>
  <c r="S723" i="23"/>
  <c r="W728" i="23" s="1"/>
  <c r="N23" i="23"/>
  <c r="AC67" i="23"/>
  <c r="V75" i="23"/>
  <c r="V248" i="23"/>
  <c r="AC270" i="23"/>
  <c r="AC693" i="23"/>
  <c r="V701" i="23"/>
  <c r="W711" i="23"/>
  <c r="X711" i="23" s="1"/>
  <c r="S709" i="23"/>
  <c r="W712" i="23" s="1"/>
  <c r="X712" i="23" s="1"/>
  <c r="S746" i="23"/>
  <c r="W747" i="23" s="1"/>
  <c r="V357" i="23"/>
  <c r="R359" i="23"/>
  <c r="V364" i="23" s="1"/>
  <c r="AA355" i="23"/>
  <c r="S386" i="23"/>
  <c r="S468" i="23"/>
  <c r="W473" i="23" s="1"/>
  <c r="X473" i="23" s="1"/>
  <c r="AE500" i="23"/>
  <c r="W505" i="23"/>
  <c r="X505" i="23" s="1"/>
  <c r="AC563" i="23"/>
  <c r="V571" i="23"/>
  <c r="V741" i="23"/>
  <c r="AC733" i="23"/>
  <c r="M20" i="23"/>
  <c r="K9" i="23"/>
  <c r="S94" i="23"/>
  <c r="W99" i="23" s="1"/>
  <c r="S116" i="23"/>
  <c r="W117" i="23" s="1"/>
  <c r="V129" i="23"/>
  <c r="R131" i="23"/>
  <c r="V136" i="23" s="1"/>
  <c r="S181" i="23"/>
  <c r="W182" i="23" s="1"/>
  <c r="X182" i="23" s="1"/>
  <c r="S218" i="23"/>
  <c r="AE216" i="23" s="1"/>
  <c r="AA252" i="23"/>
  <c r="S368" i="23"/>
  <c r="AD367" i="23" s="1"/>
  <c r="AC383" i="23"/>
  <c r="V391" i="23"/>
  <c r="V559" i="23"/>
  <c r="AC551" i="23"/>
  <c r="W642" i="23"/>
  <c r="AD640" i="23"/>
  <c r="R656" i="23"/>
  <c r="V661" i="23" s="1"/>
  <c r="AC652" i="23"/>
  <c r="N24" i="23"/>
  <c r="B36" i="23"/>
  <c r="AC216" i="23"/>
  <c r="AA228" i="23"/>
  <c r="S241" i="23"/>
  <c r="W242" i="23" s="1"/>
  <c r="S346" i="23"/>
  <c r="W351" i="23" s="1"/>
  <c r="S411" i="23"/>
  <c r="W414" i="23" s="1"/>
  <c r="W412" i="23"/>
  <c r="X412" i="23" s="1"/>
  <c r="S721" i="23"/>
  <c r="AD720" i="23" s="1"/>
  <c r="S736" i="23"/>
  <c r="S748" i="23"/>
  <c r="R59" i="23"/>
  <c r="V64" i="23" s="1"/>
  <c r="S46" i="23"/>
  <c r="AF43" i="23" s="1"/>
  <c r="AB55" i="23"/>
  <c r="S56" i="23"/>
  <c r="W57" i="23" s="1"/>
  <c r="V72" i="23"/>
  <c r="AA79" i="23"/>
  <c r="S93" i="23"/>
  <c r="AE91" i="23" s="1"/>
  <c r="AB103" i="23"/>
  <c r="S118" i="23"/>
  <c r="S141" i="23"/>
  <c r="V209" i="23"/>
  <c r="W220" i="23"/>
  <c r="X220" i="23" s="1"/>
  <c r="AB228" i="23"/>
  <c r="S295" i="23"/>
  <c r="AD294" i="23" s="1"/>
  <c r="S319" i="23"/>
  <c r="W320" i="23" s="1"/>
  <c r="X320" i="23" s="1"/>
  <c r="S456" i="23"/>
  <c r="W461" i="23" s="1"/>
  <c r="S467" i="23"/>
  <c r="AA575" i="23"/>
  <c r="R579" i="23"/>
  <c r="V584" i="23" s="1"/>
  <c r="S684" i="23"/>
  <c r="AF681" i="23" s="1"/>
  <c r="AC745" i="23"/>
  <c r="H10" i="23"/>
  <c r="S58" i="23"/>
  <c r="W63" i="23" s="1"/>
  <c r="X63" i="23" s="1"/>
  <c r="S81" i="23"/>
  <c r="W84" i="23" s="1"/>
  <c r="X84" i="23" s="1"/>
  <c r="AC103" i="23"/>
  <c r="S105" i="23"/>
  <c r="W108" i="23" s="1"/>
  <c r="X108" i="23" s="1"/>
  <c r="AA127" i="23"/>
  <c r="S143" i="23"/>
  <c r="W148" i="23" s="1"/>
  <c r="X148" i="23" s="1"/>
  <c r="S307" i="23"/>
  <c r="W308" i="23" s="1"/>
  <c r="R387" i="23"/>
  <c r="V392" i="23" s="1"/>
  <c r="S455" i="23"/>
  <c r="V467" i="23"/>
  <c r="AA465" i="23"/>
  <c r="S501" i="23"/>
  <c r="W502" i="23" s="1"/>
  <c r="S542" i="23"/>
  <c r="W547" i="23" s="1"/>
  <c r="AB623" i="23"/>
  <c r="V628" i="23"/>
  <c r="R711" i="23"/>
  <c r="V716" i="23" s="1"/>
  <c r="V709" i="23"/>
  <c r="V715" i="23"/>
  <c r="S759" i="23"/>
  <c r="R799" i="23"/>
  <c r="V804" i="23" s="1"/>
  <c r="V803" i="23"/>
  <c r="S851" i="23"/>
  <c r="S874" i="23"/>
  <c r="AE872" i="23" s="1"/>
  <c r="AE836" i="23"/>
  <c r="S466" i="23"/>
  <c r="W467" i="23" s="1"/>
  <c r="AB795" i="23"/>
  <c r="S554" i="23"/>
  <c r="AF551" i="23" s="1"/>
  <c r="S578" i="23"/>
  <c r="W583" i="23" s="1"/>
  <c r="S596" i="23"/>
  <c r="AE594" i="23" s="1"/>
  <c r="AA681" i="23"/>
  <c r="S696" i="23"/>
  <c r="AF693" i="23" s="1"/>
  <c r="S271" i="23"/>
  <c r="AD270" i="23" s="1"/>
  <c r="S296" i="23"/>
  <c r="S331" i="23"/>
  <c r="W332" i="23" s="1"/>
  <c r="S358" i="23"/>
  <c r="AF355" i="23" s="1"/>
  <c r="S503" i="23"/>
  <c r="AF500" i="23" s="1"/>
  <c r="S540" i="23"/>
  <c r="AD539" i="23" s="1"/>
  <c r="AC669" i="23"/>
  <c r="AA693" i="23"/>
  <c r="R697" i="23"/>
  <c r="V702" i="23" s="1"/>
  <c r="S734" i="23"/>
  <c r="W735" i="23" s="1"/>
  <c r="AC758" i="23"/>
  <c r="S773" i="23"/>
  <c r="AE771" i="23" s="1"/>
  <c r="S798" i="23"/>
  <c r="AF808" i="23" s="1"/>
  <c r="S810" i="23"/>
  <c r="W815" i="23" s="1"/>
  <c r="X815" i="23" s="1"/>
  <c r="AC872" i="23"/>
  <c r="S912" i="23"/>
  <c r="W917" i="23" s="1"/>
  <c r="X917" i="23" s="1"/>
  <c r="S68" i="23"/>
  <c r="AD67" i="23" s="1"/>
  <c r="R168" i="23"/>
  <c r="V173" i="23" s="1"/>
  <c r="S195" i="23"/>
  <c r="W298" i="23"/>
  <c r="X298" i="23" s="1"/>
  <c r="AA343" i="23"/>
  <c r="S410" i="23"/>
  <c r="AD409" i="23" s="1"/>
  <c r="AD453" i="23"/>
  <c r="S566" i="23"/>
  <c r="W571" i="23" s="1"/>
  <c r="S708" i="23"/>
  <c r="AD707" i="23" s="1"/>
  <c r="S761" i="23"/>
  <c r="W766" i="23" s="1"/>
  <c r="X766" i="23" s="1"/>
  <c r="S809" i="23"/>
  <c r="AE807" i="23" s="1"/>
  <c r="AC91" i="23"/>
  <c r="V99" i="23"/>
  <c r="J10" i="23"/>
  <c r="X131" i="23"/>
  <c r="C36" i="23"/>
  <c r="AC55" i="23"/>
  <c r="S57" i="23"/>
  <c r="V117" i="23"/>
  <c r="AA115" i="23"/>
  <c r="AC140" i="23"/>
  <c r="W184" i="23"/>
  <c r="X184" i="23" s="1"/>
  <c r="S182" i="23"/>
  <c r="S193" i="23"/>
  <c r="AE204" i="23"/>
  <c r="AF240" i="23"/>
  <c r="V287" i="23"/>
  <c r="M35" i="23"/>
  <c r="D36" i="23"/>
  <c r="AC43" i="23"/>
  <c r="AE43" i="23"/>
  <c r="W48" i="23"/>
  <c r="X48" i="23" s="1"/>
  <c r="AA103" i="23"/>
  <c r="S106" i="23"/>
  <c r="AF127" i="23"/>
  <c r="V160" i="23"/>
  <c r="R184" i="23"/>
  <c r="V189" i="23" s="1"/>
  <c r="AB192" i="23"/>
  <c r="R196" i="23"/>
  <c r="V201" i="23" s="1"/>
  <c r="S205" i="23"/>
  <c r="S217" i="23"/>
  <c r="R244" i="23"/>
  <c r="V249" i="23" s="1"/>
  <c r="W255" i="23"/>
  <c r="S254" i="23"/>
  <c r="AC318" i="23"/>
  <c r="M23" i="23"/>
  <c r="V45" i="23"/>
  <c r="R47" i="23"/>
  <c r="V52" i="23" s="1"/>
  <c r="R71" i="23"/>
  <c r="V76" i="23" s="1"/>
  <c r="V123" i="23"/>
  <c r="S129" i="23"/>
  <c r="S131" i="23" s="1"/>
  <c r="W136" i="23" s="1"/>
  <c r="V132" i="23"/>
  <c r="W156" i="23"/>
  <c r="S154" i="23"/>
  <c r="S155" i="23"/>
  <c r="AB343" i="23"/>
  <c r="V348" i="23"/>
  <c r="R347" i="23"/>
  <c r="V352" i="23" s="1"/>
  <c r="V372" i="23"/>
  <c r="AB422" i="23"/>
  <c r="V427" i="23"/>
  <c r="W45" i="23"/>
  <c r="R83" i="23"/>
  <c r="V88" i="23" s="1"/>
  <c r="AB115" i="23"/>
  <c r="V120" i="23"/>
  <c r="R119" i="23"/>
  <c r="V124" i="23" s="1"/>
  <c r="V157" i="23"/>
  <c r="AB152" i="23"/>
  <c r="R156" i="23"/>
  <c r="V161" i="23" s="1"/>
  <c r="V166" i="23"/>
  <c r="X166" i="23" s="1"/>
  <c r="V414" i="23"/>
  <c r="AB409" i="23"/>
  <c r="W75" i="23"/>
  <c r="AD91" i="23"/>
  <c r="AD127" i="23"/>
  <c r="W129" i="23"/>
  <c r="V338" i="23"/>
  <c r="AC343" i="23"/>
  <c r="V351" i="23"/>
  <c r="AC367" i="23"/>
  <c r="V375" i="23"/>
  <c r="M24" i="23"/>
  <c r="R95" i="23"/>
  <c r="V100" i="23" s="1"/>
  <c r="R107" i="23"/>
  <c r="V112" i="23" s="1"/>
  <c r="R144" i="23"/>
  <c r="V149" i="23" s="1"/>
  <c r="S167" i="23"/>
  <c r="AB180" i="23"/>
  <c r="V200" i="23"/>
  <c r="AC192" i="23"/>
  <c r="V245" i="23"/>
  <c r="S369" i="23"/>
  <c r="W371" i="23"/>
  <c r="X371" i="23" s="1"/>
  <c r="AC127" i="23"/>
  <c r="V135" i="23"/>
  <c r="AA140" i="23"/>
  <c r="V188" i="23"/>
  <c r="AC180" i="23"/>
  <c r="V272" i="23"/>
  <c r="AA270" i="23"/>
  <c r="S320" i="23"/>
  <c r="W321" i="23"/>
  <c r="X321" i="23" s="1"/>
  <c r="R334" i="23"/>
  <c r="V339" i="23" s="1"/>
  <c r="V332" i="23"/>
  <c r="AC355" i="23"/>
  <c r="V363" i="23"/>
  <c r="W400" i="23"/>
  <c r="X400" i="23" s="1"/>
  <c r="S399" i="23"/>
  <c r="V57" i="23"/>
  <c r="AA55" i="23"/>
  <c r="S82" i="23"/>
  <c r="AA164" i="23"/>
  <c r="W230" i="23"/>
  <c r="R298" i="23"/>
  <c r="V303" i="23" s="1"/>
  <c r="AA294" i="23"/>
  <c r="V296" i="23"/>
  <c r="V424" i="23"/>
  <c r="AA422" i="23"/>
  <c r="R426" i="23"/>
  <c r="V431" i="23" s="1"/>
  <c r="AA480" i="23"/>
  <c r="R484" i="23"/>
  <c r="V489" i="23" s="1"/>
  <c r="V482" i="23"/>
  <c r="W243" i="23"/>
  <c r="S242" i="23"/>
  <c r="R310" i="23"/>
  <c r="V315" i="23" s="1"/>
  <c r="S357" i="23"/>
  <c r="S423" i="23"/>
  <c r="R543" i="23"/>
  <c r="V548" i="23" s="1"/>
  <c r="V541" i="23"/>
  <c r="V485" i="23"/>
  <c r="AB480" i="23"/>
  <c r="AE563" i="23"/>
  <c r="W568" i="23"/>
  <c r="X568" i="23" s="1"/>
  <c r="V612" i="23"/>
  <c r="AA610" i="23"/>
  <c r="AC500" i="23"/>
  <c r="V508" i="23"/>
  <c r="R504" i="23"/>
  <c r="V509" i="23" s="1"/>
  <c r="V502" i="23"/>
  <c r="AA500" i="23"/>
  <c r="V580" i="23"/>
  <c r="AB575" i="23"/>
  <c r="W598" i="23"/>
  <c r="X598" i="23" s="1"/>
  <c r="AA623" i="23"/>
  <c r="R627" i="23"/>
  <c r="V632" i="23" s="1"/>
  <c r="V556" i="23"/>
  <c r="R555" i="23"/>
  <c r="V560" i="23" s="1"/>
  <c r="AB551" i="23"/>
  <c r="AC164" i="23"/>
  <c r="W168" i="23"/>
  <c r="S166" i="23"/>
  <c r="V206" i="23"/>
  <c r="AE330" i="23"/>
  <c r="V369" i="23"/>
  <c r="R371" i="23"/>
  <c r="V376" i="23" s="1"/>
  <c r="AA367" i="23"/>
  <c r="V547" i="23"/>
  <c r="AC539" i="23"/>
  <c r="V615" i="23"/>
  <c r="AB610" i="23"/>
  <c r="S183" i="23"/>
  <c r="S231" i="23"/>
  <c r="V308" i="23"/>
  <c r="S400" i="23"/>
  <c r="AC453" i="23"/>
  <c r="V461" i="23"/>
  <c r="R614" i="23"/>
  <c r="V619" i="23" s="1"/>
  <c r="S253" i="23"/>
  <c r="V254" i="23"/>
  <c r="W310" i="23"/>
  <c r="X310" i="23" s="1"/>
  <c r="S308" i="23"/>
  <c r="R322" i="23"/>
  <c r="V327" i="23" s="1"/>
  <c r="S321" i="23"/>
  <c r="AB355" i="23"/>
  <c r="V360" i="23"/>
  <c r="V455" i="23"/>
  <c r="X455" i="23" s="1"/>
  <c r="R457" i="23"/>
  <c r="V462" i="23" s="1"/>
  <c r="AB563" i="23"/>
  <c r="V284" i="23"/>
  <c r="AA282" i="23"/>
  <c r="R286" i="23"/>
  <c r="V291" i="23" s="1"/>
  <c r="S356" i="23"/>
  <c r="S384" i="23"/>
  <c r="V402" i="23"/>
  <c r="AB397" i="23"/>
  <c r="S425" i="23"/>
  <c r="V470" i="23"/>
  <c r="W483" i="23"/>
  <c r="X483" i="23" s="1"/>
  <c r="S482" i="23"/>
  <c r="R598" i="23"/>
  <c r="V603" i="23" s="1"/>
  <c r="V760" i="23"/>
  <c r="AA758" i="23"/>
  <c r="R762" i="23"/>
  <c r="V767" i="23" s="1"/>
  <c r="AF771" i="23"/>
  <c r="W779" i="23"/>
  <c r="R811" i="23"/>
  <c r="V816" i="23" s="1"/>
  <c r="V809" i="23"/>
  <c r="AA807" i="23"/>
  <c r="W832" i="23"/>
  <c r="X832" i="23" s="1"/>
  <c r="AF824" i="23"/>
  <c r="AF837" i="23"/>
  <c r="S285" i="23"/>
  <c r="S345" i="23"/>
  <c r="R401" i="23"/>
  <c r="V406" i="23" s="1"/>
  <c r="W457" i="23"/>
  <c r="X457" i="23" s="1"/>
  <c r="R469" i="23"/>
  <c r="V474" i="23" s="1"/>
  <c r="S553" i="23"/>
  <c r="V728" i="23"/>
  <c r="W791" i="23"/>
  <c r="V788" i="23"/>
  <c r="X788" i="23" s="1"/>
  <c r="AB783" i="23"/>
  <c r="AA180" i="23"/>
  <c r="AA192" i="23"/>
  <c r="AA240" i="23"/>
  <c r="S273" i="23"/>
  <c r="S309" i="23"/>
  <c r="R413" i="23"/>
  <c r="V418" i="23" s="1"/>
  <c r="AB594" i="23"/>
  <c r="V275" i="23"/>
  <c r="W286" i="23"/>
  <c r="X286" i="23" s="1"/>
  <c r="S284" i="23"/>
  <c r="AD594" i="23"/>
  <c r="W596" i="23"/>
  <c r="V599" i="23"/>
  <c r="S613" i="23"/>
  <c r="S710" i="23"/>
  <c r="W656" i="23"/>
  <c r="X656" i="23" s="1"/>
  <c r="S654" i="23"/>
  <c r="R673" i="23"/>
  <c r="V678" i="23" s="1"/>
  <c r="V671" i="23"/>
  <c r="AA669" i="23"/>
  <c r="V735" i="23"/>
  <c r="AA733" i="23"/>
  <c r="AE783" i="23"/>
  <c r="R876" i="23"/>
  <c r="V881" i="23" s="1"/>
  <c r="V874" i="23"/>
  <c r="AA872" i="23"/>
  <c r="V399" i="23"/>
  <c r="V411" i="23"/>
  <c r="S483" i="23"/>
  <c r="AB539" i="23"/>
  <c r="V565" i="23"/>
  <c r="W579" i="23"/>
  <c r="X579" i="23" s="1"/>
  <c r="W614" i="23"/>
  <c r="X614" i="23" s="1"/>
  <c r="V642" i="23"/>
  <c r="AA640" i="23"/>
  <c r="S695" i="23"/>
  <c r="W697" i="23"/>
  <c r="X697" i="23" s="1"/>
  <c r="AF734" i="23"/>
  <c r="AA745" i="23"/>
  <c r="V747" i="23"/>
  <c r="V791" i="23"/>
  <c r="W737" i="23"/>
  <c r="X737" i="23" s="1"/>
  <c r="S735" i="23"/>
  <c r="W749" i="23"/>
  <c r="X749" i="23" s="1"/>
  <c r="S747" i="23"/>
  <c r="S772" i="23"/>
  <c r="R787" i="23"/>
  <c r="V792" i="23" s="1"/>
  <c r="AF795" i="23"/>
  <c r="S424" i="23"/>
  <c r="W627" i="23"/>
  <c r="X627" i="23" s="1"/>
  <c r="S625" i="23"/>
  <c r="W673" i="23"/>
  <c r="X673" i="23" s="1"/>
  <c r="S671" i="23"/>
  <c r="V683" i="23"/>
  <c r="W685" i="23"/>
  <c r="X685" i="23" s="1"/>
  <c r="S683" i="23"/>
  <c r="AA707" i="23"/>
  <c r="R737" i="23"/>
  <c r="V742" i="23" s="1"/>
  <c r="R749" i="23"/>
  <c r="V754" i="23" s="1"/>
  <c r="R775" i="23"/>
  <c r="V780" i="23" s="1"/>
  <c r="AA771" i="23"/>
  <c r="W799" i="23"/>
  <c r="X799" i="23" s="1"/>
  <c r="S797" i="23"/>
  <c r="S576" i="23"/>
  <c r="V583" i="23"/>
  <c r="S611" i="23"/>
  <c r="S626" i="23"/>
  <c r="S655" i="23"/>
  <c r="V660" i="23"/>
  <c r="S694" i="23"/>
  <c r="R724" i="23"/>
  <c r="V729" i="23" s="1"/>
  <c r="V654" i="23"/>
  <c r="S722" i="23"/>
  <c r="V779" i="23"/>
  <c r="R864" i="23"/>
  <c r="V869" i="23" s="1"/>
  <c r="AA860" i="23"/>
  <c r="W864" i="23"/>
  <c r="X864" i="23" s="1"/>
  <c r="S862" i="23"/>
  <c r="AD872" i="23"/>
  <c r="W874" i="23"/>
  <c r="V797" i="23"/>
  <c r="AD824" i="23"/>
  <c r="AA848" i="23"/>
  <c r="V850" i="23"/>
  <c r="AA795" i="23"/>
  <c r="AD795" i="23"/>
  <c r="W797" i="23"/>
  <c r="S808" i="23"/>
  <c r="V844" i="23"/>
  <c r="AC836" i="23"/>
  <c r="AF836" i="23"/>
  <c r="W852" i="23"/>
  <c r="X852" i="23" s="1"/>
  <c r="S850" i="23"/>
  <c r="AC895" i="23"/>
  <c r="S784" i="23"/>
  <c r="AB824" i="23"/>
  <c r="R828" i="23"/>
  <c r="V833" i="23" s="1"/>
  <c r="AB836" i="23"/>
  <c r="V841" i="23"/>
  <c r="X841" i="23" s="1"/>
  <c r="R840" i="23"/>
  <c r="V845" i="23" s="1"/>
  <c r="R852" i="23"/>
  <c r="V857" i="23" s="1"/>
  <c r="AF895" i="23"/>
  <c r="S826" i="23"/>
  <c r="S828" i="23" s="1"/>
  <c r="W833" i="23" s="1"/>
  <c r="S863" i="23"/>
  <c r="W880" i="23"/>
  <c r="X880" i="23" s="1"/>
  <c r="AF872" i="23"/>
  <c r="W762" i="23"/>
  <c r="X762" i="23" s="1"/>
  <c r="S760" i="23"/>
  <c r="AA783" i="23"/>
  <c r="W826" i="23"/>
  <c r="X826" i="23" s="1"/>
  <c r="S837" i="23"/>
  <c r="V862" i="23"/>
  <c r="W897" i="23"/>
  <c r="R913" i="23"/>
  <c r="V918" i="23" s="1"/>
  <c r="V911" i="23"/>
  <c r="R899" i="23"/>
  <c r="V904" i="23" s="1"/>
  <c r="V897" i="23"/>
  <c r="S911" i="23"/>
  <c r="W914" i="23" s="1"/>
  <c r="X914" i="23" s="1"/>
  <c r="S142" i="22"/>
  <c r="W143" i="22" s="1"/>
  <c r="S143" i="22"/>
  <c r="W146" i="22" s="1"/>
  <c r="X146" i="22" s="1"/>
  <c r="S144" i="22"/>
  <c r="V143" i="22"/>
  <c r="R145" i="22"/>
  <c r="V150" i="22" s="1"/>
  <c r="S379" i="22"/>
  <c r="AE377" i="22" s="1"/>
  <c r="S99" i="22"/>
  <c r="AE97" i="22" s="1"/>
  <c r="S87" i="22"/>
  <c r="AE85" i="22" s="1"/>
  <c r="AB231" i="22"/>
  <c r="S191" i="22"/>
  <c r="S750" i="22"/>
  <c r="W753" i="22" s="1"/>
  <c r="S411" i="22"/>
  <c r="W416" i="22" s="1"/>
  <c r="K9" i="22"/>
  <c r="S123" i="22"/>
  <c r="W126" i="22" s="1"/>
  <c r="S751" i="22"/>
  <c r="W756" i="22" s="1"/>
  <c r="X502" i="22"/>
  <c r="AB97" i="22"/>
  <c r="S246" i="22"/>
  <c r="AE244" i="22" s="1"/>
  <c r="S434" i="22"/>
  <c r="W437" i="22" s="1"/>
  <c r="S456" i="22"/>
  <c r="AD455" i="22" s="1"/>
  <c r="S584" i="22"/>
  <c r="AF581" i="22" s="1"/>
  <c r="S548" i="22"/>
  <c r="AE546" i="22" s="1"/>
  <c r="S559" i="22"/>
  <c r="AD558" i="22" s="1"/>
  <c r="S608" i="22"/>
  <c r="W611" i="22" s="1"/>
  <c r="R689" i="22"/>
  <c r="V694" i="22" s="1"/>
  <c r="S725" i="22"/>
  <c r="W728" i="22" s="1"/>
  <c r="X728" i="22" s="1"/>
  <c r="V225" i="22"/>
  <c r="R715" i="22"/>
  <c r="V720" i="22" s="1"/>
  <c r="S296" i="22"/>
  <c r="W301" i="22" s="1"/>
  <c r="S492" i="22"/>
  <c r="W497" i="22" s="1"/>
  <c r="X497" i="22" s="1"/>
  <c r="AC208" i="22"/>
  <c r="V437" i="22"/>
  <c r="S491" i="22"/>
  <c r="W494" i="22" s="1"/>
  <c r="X494" i="22" s="1"/>
  <c r="S530" i="22"/>
  <c r="W535" i="22" s="1"/>
  <c r="S713" i="22"/>
  <c r="W716" i="22" s="1"/>
  <c r="V310" i="22"/>
  <c r="R312" i="22"/>
  <c r="V317" i="22" s="1"/>
  <c r="S457" i="22"/>
  <c r="AE455" i="22" s="1"/>
  <c r="S86" i="22"/>
  <c r="W87" i="22" s="1"/>
  <c r="X87" i="22" s="1"/>
  <c r="W351" i="22"/>
  <c r="X351" i="22" s="1"/>
  <c r="S363" i="22"/>
  <c r="AE361" i="22" s="1"/>
  <c r="S583" i="22"/>
  <c r="W586" i="22" s="1"/>
  <c r="X586" i="22" s="1"/>
  <c r="S686" i="22"/>
  <c r="AD685" i="22" s="1"/>
  <c r="S502" i="22"/>
  <c r="W503" i="22" s="1"/>
  <c r="X503" i="22" s="1"/>
  <c r="D9" i="22"/>
  <c r="S98" i="22"/>
  <c r="AD97" i="22" s="1"/>
  <c r="S221" i="22"/>
  <c r="W222" i="22" s="1"/>
  <c r="X222" i="22" s="1"/>
  <c r="S309" i="22"/>
  <c r="AD308" i="22" s="1"/>
  <c r="S59" i="22"/>
  <c r="W62" i="22" s="1"/>
  <c r="S222" i="22"/>
  <c r="AE220" i="22" s="1"/>
  <c r="S310" i="22"/>
  <c r="AE308" i="22" s="1"/>
  <c r="S433" i="22"/>
  <c r="AD432" i="22" s="1"/>
  <c r="S467" i="22"/>
  <c r="AD466" i="22" s="1"/>
  <c r="S46" i="22"/>
  <c r="S435" i="22"/>
  <c r="S458" i="22"/>
  <c r="W463" i="22" s="1"/>
  <c r="X463" i="22" s="1"/>
  <c r="S701" i="22"/>
  <c r="W704" i="22" s="1"/>
  <c r="X704" i="22" s="1"/>
  <c r="AA748" i="22"/>
  <c r="AA208" i="22"/>
  <c r="R212" i="22"/>
  <c r="V217" i="22" s="1"/>
  <c r="V210" i="22"/>
  <c r="V693" i="22"/>
  <c r="AC685" i="22"/>
  <c r="AC97" i="22"/>
  <c r="S156" i="22"/>
  <c r="W161" i="22" s="1"/>
  <c r="S190" i="22"/>
  <c r="AD189" i="22" s="1"/>
  <c r="S210" i="22"/>
  <c r="W213" i="22" s="1"/>
  <c r="S234" i="22"/>
  <c r="W239" i="22" s="1"/>
  <c r="X239" i="22" s="1"/>
  <c r="V261" i="22"/>
  <c r="V433" i="22"/>
  <c r="S561" i="22"/>
  <c r="AF558" i="22" s="1"/>
  <c r="S595" i="22"/>
  <c r="AD594" i="22" s="1"/>
  <c r="R738" i="22"/>
  <c r="V743" i="22" s="1"/>
  <c r="V363" i="22"/>
  <c r="V249" i="22"/>
  <c r="R727" i="22"/>
  <c r="V732" i="22" s="1"/>
  <c r="S74" i="22"/>
  <c r="AD73" i="22" s="1"/>
  <c r="S124" i="22"/>
  <c r="W129" i="22" s="1"/>
  <c r="S45" i="22"/>
  <c r="W48" i="22" s="1"/>
  <c r="X48" i="22" s="1"/>
  <c r="S155" i="22"/>
  <c r="W158" i="22" s="1"/>
  <c r="AB208" i="22"/>
  <c r="S398" i="22"/>
  <c r="W401" i="22" s="1"/>
  <c r="X401" i="22" s="1"/>
  <c r="S503" i="22"/>
  <c r="W506" i="22" s="1"/>
  <c r="S528" i="22"/>
  <c r="AD527" i="22" s="1"/>
  <c r="S572" i="22"/>
  <c r="W577" i="22" s="1"/>
  <c r="S258" i="22"/>
  <c r="AE256" i="22" s="1"/>
  <c r="S421" i="22"/>
  <c r="AD420" i="22" s="1"/>
  <c r="S468" i="22"/>
  <c r="W471" i="22" s="1"/>
  <c r="S687" i="22"/>
  <c r="W690" i="22" s="1"/>
  <c r="S736" i="22"/>
  <c r="W739" i="22" s="1"/>
  <c r="X739" i="22" s="1"/>
  <c r="M20" i="22"/>
  <c r="N24" i="22"/>
  <c r="N23" i="22"/>
  <c r="I10" i="22"/>
  <c r="C10" i="22"/>
  <c r="V246" i="22"/>
  <c r="K10" i="22"/>
  <c r="H10" i="22"/>
  <c r="B10" i="22"/>
  <c r="J9" i="22"/>
  <c r="N20" i="22"/>
  <c r="S112" i="22"/>
  <c r="W117" i="22" s="1"/>
  <c r="AA141" i="22"/>
  <c r="AB189" i="22"/>
  <c r="V194" i="22"/>
  <c r="V228" i="22"/>
  <c r="S259" i="22"/>
  <c r="AF256" i="22" s="1"/>
  <c r="AC256" i="22"/>
  <c r="V264" i="22"/>
  <c r="R260" i="22"/>
  <c r="V265" i="22" s="1"/>
  <c r="AA256" i="22"/>
  <c r="AC321" i="22"/>
  <c r="V329" i="22"/>
  <c r="M21" i="22"/>
  <c r="M24" i="22"/>
  <c r="AC231" i="22"/>
  <c r="R424" i="22"/>
  <c r="V429" i="22" s="1"/>
  <c r="AA420" i="22"/>
  <c r="S88" i="22"/>
  <c r="R101" i="22"/>
  <c r="V106" i="22" s="1"/>
  <c r="AA97" i="22"/>
  <c r="AC711" i="22"/>
  <c r="V719" i="22"/>
  <c r="D10" i="22"/>
  <c r="R193" i="22"/>
  <c r="V198" i="22" s="1"/>
  <c r="AA220" i="22"/>
  <c r="S344" i="22"/>
  <c r="AD343" i="22" s="1"/>
  <c r="AB153" i="22"/>
  <c r="V158" i="22"/>
  <c r="S44" i="22"/>
  <c r="S60" i="22"/>
  <c r="W65" i="22" s="1"/>
  <c r="AB73" i="22"/>
  <c r="S75" i="22"/>
  <c r="AE73" i="22" s="1"/>
  <c r="AA109" i="22"/>
  <c r="S209" i="22"/>
  <c r="AD208" i="22" s="1"/>
  <c r="S232" i="22"/>
  <c r="S247" i="22"/>
  <c r="AF244" i="22" s="1"/>
  <c r="AA321" i="22"/>
  <c r="S323" i="22"/>
  <c r="W326" i="22" s="1"/>
  <c r="AC73" i="22"/>
  <c r="S192" i="22"/>
  <c r="V295" i="22"/>
  <c r="AA293" i="22"/>
  <c r="AB420" i="22"/>
  <c r="V425" i="22"/>
  <c r="AF141" i="22"/>
  <c r="S233" i="22"/>
  <c r="AE231" i="22" s="1"/>
  <c r="R400" i="22"/>
  <c r="V405" i="22" s="1"/>
  <c r="AC466" i="22"/>
  <c r="V474" i="22"/>
  <c r="S223" i="22"/>
  <c r="AF220" i="22" s="1"/>
  <c r="S397" i="22"/>
  <c r="AD396" i="22" s="1"/>
  <c r="AA408" i="22"/>
  <c r="S422" i="22"/>
  <c r="W425" i="22" s="1"/>
  <c r="S423" i="22"/>
  <c r="W428" i="22" s="1"/>
  <c r="X428" i="22" s="1"/>
  <c r="S469" i="22"/>
  <c r="AC489" i="22"/>
  <c r="S490" i="22"/>
  <c r="S549" i="22"/>
  <c r="W554" i="22" s="1"/>
  <c r="S609" i="22"/>
  <c r="V690" i="22"/>
  <c r="S735" i="22"/>
  <c r="AD734" i="22" s="1"/>
  <c r="AA527" i="22"/>
  <c r="V716" i="22"/>
  <c r="V725" i="22"/>
  <c r="X725" i="22" s="1"/>
  <c r="R459" i="22"/>
  <c r="V464" i="22" s="1"/>
  <c r="V532" i="22"/>
  <c r="R610" i="22"/>
  <c r="V615" i="22" s="1"/>
  <c r="R703" i="22"/>
  <c r="V708" i="22" s="1"/>
  <c r="AA723" i="22"/>
  <c r="S324" i="22"/>
  <c r="AF321" i="22" s="1"/>
  <c r="S410" i="22"/>
  <c r="AE408" i="22" s="1"/>
  <c r="V460" i="22"/>
  <c r="S504" i="22"/>
  <c r="S560" i="22"/>
  <c r="AE558" i="22" s="1"/>
  <c r="S571" i="22"/>
  <c r="S597" i="22"/>
  <c r="S702" i="22"/>
  <c r="AB723" i="22"/>
  <c r="AA489" i="22"/>
  <c r="V506" i="22"/>
  <c r="AA581" i="22"/>
  <c r="V599" i="22"/>
  <c r="AB699" i="22"/>
  <c r="AC723" i="22"/>
  <c r="S737" i="22"/>
  <c r="AF734" i="22" s="1"/>
  <c r="S345" i="22"/>
  <c r="S364" i="22"/>
  <c r="S380" i="22"/>
  <c r="AF390" i="22" s="1"/>
  <c r="S399" i="22"/>
  <c r="AF396" i="22" s="1"/>
  <c r="AC420" i="22"/>
  <c r="D36" i="22"/>
  <c r="AB581" i="22"/>
  <c r="AC594" i="22"/>
  <c r="S607" i="22"/>
  <c r="AD606" i="22" s="1"/>
  <c r="S688" i="22"/>
  <c r="AF685" i="22" s="1"/>
  <c r="AC699" i="22"/>
  <c r="S714" i="22"/>
  <c r="V233" i="22"/>
  <c r="R235" i="22"/>
  <c r="V240" i="22" s="1"/>
  <c r="AA231" i="22"/>
  <c r="W99" i="22"/>
  <c r="AE189" i="22"/>
  <c r="W194" i="22"/>
  <c r="W249" i="22"/>
  <c r="AC121" i="22"/>
  <c r="V129" i="22"/>
  <c r="N21" i="22"/>
  <c r="R61" i="22"/>
  <c r="V66" i="22" s="1"/>
  <c r="AA57" i="22"/>
  <c r="V59" i="22"/>
  <c r="S76" i="22"/>
  <c r="V126" i="22"/>
  <c r="S154" i="22"/>
  <c r="V191" i="22"/>
  <c r="X191" i="22" s="1"/>
  <c r="R224" i="22"/>
  <c r="V229" i="22" s="1"/>
  <c r="R248" i="22"/>
  <c r="V253" i="22" s="1"/>
  <c r="V252" i="22"/>
  <c r="AD141" i="22"/>
  <c r="AC153" i="22"/>
  <c r="V161" i="22"/>
  <c r="R77" i="22"/>
  <c r="V82" i="22" s="1"/>
  <c r="S100" i="22"/>
  <c r="N35" i="22"/>
  <c r="M35" i="22"/>
  <c r="AC43" i="22"/>
  <c r="R89" i="22"/>
  <c r="V94" i="22" s="1"/>
  <c r="AA85" i="22"/>
  <c r="V117" i="22"/>
  <c r="AC109" i="22"/>
  <c r="W102" i="22"/>
  <c r="X102" i="22" s="1"/>
  <c r="R157" i="22"/>
  <c r="V162" i="22" s="1"/>
  <c r="AA153" i="22"/>
  <c r="M23" i="22"/>
  <c r="AC85" i="22"/>
  <c r="V93" i="22"/>
  <c r="V90" i="22"/>
  <c r="X90" i="22" s="1"/>
  <c r="V99" i="22"/>
  <c r="V114" i="22"/>
  <c r="X114" i="22" s="1"/>
  <c r="AB109" i="22"/>
  <c r="R113" i="22"/>
  <c r="V118" i="22" s="1"/>
  <c r="AC141" i="22"/>
  <c r="S58" i="22"/>
  <c r="V65" i="22"/>
  <c r="AC57" i="22"/>
  <c r="V62" i="22"/>
  <c r="AA73" i="22"/>
  <c r="R125" i="22"/>
  <c r="V130" i="22" s="1"/>
  <c r="AA121" i="22"/>
  <c r="V155" i="22"/>
  <c r="AA189" i="22"/>
  <c r="R47" i="22"/>
  <c r="V52" i="22" s="1"/>
  <c r="V45" i="22"/>
  <c r="S122" i="22"/>
  <c r="S245" i="22"/>
  <c r="AD244" i="22" s="1"/>
  <c r="V385" i="22"/>
  <c r="AC377" i="22"/>
  <c r="AC343" i="22"/>
  <c r="R381" i="22"/>
  <c r="V386" i="22" s="1"/>
  <c r="AC293" i="22"/>
  <c r="V301" i="22"/>
  <c r="V326" i="22"/>
  <c r="AB321" i="22"/>
  <c r="V197" i="22"/>
  <c r="X197" i="22" s="1"/>
  <c r="V369" i="22"/>
  <c r="AC361" i="22"/>
  <c r="R365" i="22"/>
  <c r="V370" i="22" s="1"/>
  <c r="R325" i="22"/>
  <c r="V330" i="22" s="1"/>
  <c r="V316" i="22"/>
  <c r="V379" i="22"/>
  <c r="AA377" i="22"/>
  <c r="W378" i="22"/>
  <c r="S378" i="22"/>
  <c r="R412" i="22"/>
  <c r="V417" i="22" s="1"/>
  <c r="V413" i="22"/>
  <c r="S257" i="22"/>
  <c r="V258" i="22"/>
  <c r="S294" i="22"/>
  <c r="S295" i="22"/>
  <c r="S311" i="22"/>
  <c r="R297" i="22"/>
  <c r="V302" i="22" s="1"/>
  <c r="S409" i="22"/>
  <c r="AC408" i="22"/>
  <c r="V416" i="22"/>
  <c r="X416" i="22" s="1"/>
  <c r="R347" i="22"/>
  <c r="V352" i="22" s="1"/>
  <c r="V345" i="22"/>
  <c r="V471" i="22"/>
  <c r="AB466" i="22"/>
  <c r="R470" i="22"/>
  <c r="V475" i="22" s="1"/>
  <c r="AF527" i="22"/>
  <c r="AC527" i="22"/>
  <c r="V535" i="22"/>
  <c r="AB343" i="22"/>
  <c r="V440" i="22"/>
  <c r="R562" i="22"/>
  <c r="V567" i="22" s="1"/>
  <c r="V560" i="22"/>
  <c r="AA558" i="22"/>
  <c r="AC558" i="22"/>
  <c r="V566" i="22"/>
  <c r="R436" i="22"/>
  <c r="V441" i="22" s="1"/>
  <c r="AA432" i="22"/>
  <c r="V434" i="22"/>
  <c r="S322" i="22"/>
  <c r="AC396" i="22"/>
  <c r="V404" i="22"/>
  <c r="AA594" i="22"/>
  <c r="V596" i="22"/>
  <c r="R598" i="22"/>
  <c r="V603" i="22" s="1"/>
  <c r="S362" i="22"/>
  <c r="V398" i="22"/>
  <c r="AA396" i="22"/>
  <c r="AC455" i="22"/>
  <c r="AE685" i="22"/>
  <c r="V509" i="22"/>
  <c r="AC501" i="22"/>
  <c r="V457" i="22"/>
  <c r="AA455" i="22"/>
  <c r="AC546" i="22"/>
  <c r="V554" i="22"/>
  <c r="V422" i="22"/>
  <c r="R505" i="22"/>
  <c r="V510" i="22" s="1"/>
  <c r="V548" i="22"/>
  <c r="AA546" i="22"/>
  <c r="R550" i="22"/>
  <c r="V555" i="22" s="1"/>
  <c r="AC581" i="22"/>
  <c r="V589" i="22"/>
  <c r="S547" i="22"/>
  <c r="S570" i="22"/>
  <c r="V577" i="22"/>
  <c r="AC569" i="22"/>
  <c r="V608" i="22"/>
  <c r="AA606" i="22"/>
  <c r="S726" i="22"/>
  <c r="AC748" i="22"/>
  <c r="V756" i="22"/>
  <c r="V701" i="22"/>
  <c r="X701" i="22" s="1"/>
  <c r="AA699" i="22"/>
  <c r="V736" i="22"/>
  <c r="V753" i="22"/>
  <c r="X753" i="22" s="1"/>
  <c r="AB748" i="22"/>
  <c r="AE723" i="22"/>
  <c r="W530" i="22"/>
  <c r="X530" i="22" s="1"/>
  <c r="S529" i="22"/>
  <c r="V571" i="22"/>
  <c r="AA569" i="22"/>
  <c r="R573" i="22"/>
  <c r="V578" i="22" s="1"/>
  <c r="AA685" i="22"/>
  <c r="V687" i="22"/>
  <c r="S712" i="22"/>
  <c r="R531" i="22"/>
  <c r="V536" i="22" s="1"/>
  <c r="S582" i="22"/>
  <c r="S596" i="22"/>
  <c r="AA734" i="22"/>
  <c r="AC734" i="22"/>
  <c r="V742" i="22"/>
  <c r="R752" i="22"/>
  <c r="V757" i="22" s="1"/>
  <c r="R493" i="22"/>
  <c r="V498" i="22" s="1"/>
  <c r="R585" i="22"/>
  <c r="V590" i="22" s="1"/>
  <c r="V713" i="22"/>
  <c r="AA711" i="22"/>
  <c r="AB734" i="22"/>
  <c r="V611" i="22"/>
  <c r="AE748" i="22"/>
  <c r="R704" i="16"/>
  <c r="V709" i="16" s="1"/>
  <c r="S1655" i="16"/>
  <c r="W1660" i="16" s="1"/>
  <c r="X1660" i="16" s="1"/>
  <c r="S1653" i="16"/>
  <c r="W1654" i="16" s="1"/>
  <c r="S1654" i="16"/>
  <c r="W1657" i="16" s="1"/>
  <c r="X1657" i="16" s="1"/>
  <c r="R1656" i="16"/>
  <c r="V1661" i="16" s="1"/>
  <c r="V1654" i="16"/>
  <c r="AE141" i="22" l="1"/>
  <c r="W468" i="22"/>
  <c r="X468" i="22" s="1"/>
  <c r="AF408" i="22"/>
  <c r="W551" i="22"/>
  <c r="X551" i="22" s="1"/>
  <c r="W382" i="22"/>
  <c r="X382" i="22" s="1"/>
  <c r="AF489" i="22"/>
  <c r="W460" i="22"/>
  <c r="X460" i="22" s="1"/>
  <c r="Y17" i="22"/>
  <c r="S101" i="22"/>
  <c r="W106" i="22" s="1"/>
  <c r="W596" i="22"/>
  <c r="X756" i="22"/>
  <c r="W560" i="22"/>
  <c r="W366" i="22"/>
  <c r="X366" i="22" s="1"/>
  <c r="AF445" i="22"/>
  <c r="AF432" i="22"/>
  <c r="Y27" i="22"/>
  <c r="Y26" i="22"/>
  <c r="Y25" i="22"/>
  <c r="Y28" i="22"/>
  <c r="W51" i="22"/>
  <c r="X51" i="22" s="1"/>
  <c r="BI33" i="22"/>
  <c r="AE489" i="22"/>
  <c r="BI28" i="22"/>
  <c r="Y16" i="22"/>
  <c r="AD43" i="22"/>
  <c r="BI23" i="22"/>
  <c r="X143" i="22"/>
  <c r="Y15" i="22"/>
  <c r="AF455" i="22"/>
  <c r="AE43" i="22"/>
  <c r="AF748" i="22"/>
  <c r="Y18" i="22"/>
  <c r="Y23" i="22"/>
  <c r="Y22" i="22"/>
  <c r="Y21" i="22"/>
  <c r="Y20" i="22"/>
  <c r="AF594" i="23"/>
  <c r="W399" i="23"/>
  <c r="X862" i="23"/>
  <c r="W803" i="23"/>
  <c r="W260" i="23"/>
  <c r="X260" i="23" s="1"/>
  <c r="W565" i="23"/>
  <c r="AF849" i="23"/>
  <c r="AF640" i="23"/>
  <c r="W302" i="23"/>
  <c r="X302" i="23" s="1"/>
  <c r="AE895" i="23"/>
  <c r="D10" i="23"/>
  <c r="N10" i="23" s="1"/>
  <c r="P10" i="23" s="1"/>
  <c r="AD652" i="23"/>
  <c r="W559" i="23"/>
  <c r="AD318" i="23"/>
  <c r="AD681" i="23"/>
  <c r="X571" i="23"/>
  <c r="AD669" i="23"/>
  <c r="W903" i="23"/>
  <c r="X903" i="23" s="1"/>
  <c r="W850" i="23"/>
  <c r="X844" i="23"/>
  <c r="AF807" i="23"/>
  <c r="AE707" i="23"/>
  <c r="AD306" i="23"/>
  <c r="X154" i="23"/>
  <c r="X230" i="23"/>
  <c r="X135" i="23"/>
  <c r="W877" i="23"/>
  <c r="X877" i="23" s="1"/>
  <c r="W338" i="23"/>
  <c r="S457" i="23"/>
  <c r="W462" i="23" s="1"/>
  <c r="AE270" i="23"/>
  <c r="X275" i="23"/>
  <c r="AF216" i="23"/>
  <c r="W544" i="23"/>
  <c r="X544" i="23" s="1"/>
  <c r="X642" i="23"/>
  <c r="AD860" i="23"/>
  <c r="AD282" i="23"/>
  <c r="X248" i="23"/>
  <c r="M9" i="23"/>
  <c r="W482" i="23"/>
  <c r="X482" i="23" s="1"/>
  <c r="W411" i="23"/>
  <c r="AD180" i="23"/>
  <c r="S876" i="23"/>
  <c r="W881" i="23" s="1"/>
  <c r="S711" i="23"/>
  <c r="W716" i="23" s="1"/>
  <c r="X716" i="23" s="1"/>
  <c r="AE383" i="23"/>
  <c r="AD164" i="23"/>
  <c r="AF465" i="23"/>
  <c r="W96" i="23"/>
  <c r="X96" i="23" s="1"/>
  <c r="AF55" i="23"/>
  <c r="X129" i="23"/>
  <c r="W212" i="23"/>
  <c r="X212" i="23" s="1"/>
  <c r="W615" i="23"/>
  <c r="X615" i="23" s="1"/>
  <c r="AF539" i="23"/>
  <c r="W145" i="23"/>
  <c r="X145" i="23" s="1"/>
  <c r="AF409" i="23"/>
  <c r="AD745" i="23"/>
  <c r="S47" i="23"/>
  <c r="W52" i="23" s="1"/>
  <c r="W677" i="23"/>
  <c r="X677" i="23" s="1"/>
  <c r="AD115" i="23"/>
  <c r="AF367" i="23"/>
  <c r="X791" i="23"/>
  <c r="X596" i="23"/>
  <c r="W72" i="23"/>
  <c r="X72" i="23" s="1"/>
  <c r="W722" i="23"/>
  <c r="X722" i="23" s="1"/>
  <c r="X779" i="23"/>
  <c r="W369" i="23"/>
  <c r="S334" i="23"/>
  <c r="W339" i="23" s="1"/>
  <c r="X339" i="23" s="1"/>
  <c r="S644" i="23"/>
  <c r="W649" i="23" s="1"/>
  <c r="X649" i="23" s="1"/>
  <c r="N30" i="23"/>
  <c r="X911" i="23"/>
  <c r="W541" i="23"/>
  <c r="AF563" i="23"/>
  <c r="W221" i="23"/>
  <c r="X221" i="23" s="1"/>
  <c r="W580" i="23"/>
  <c r="X580" i="23" s="1"/>
  <c r="AF758" i="23"/>
  <c r="W709" i="23"/>
  <c r="X709" i="23" s="1"/>
  <c r="AD343" i="23"/>
  <c r="AD240" i="23"/>
  <c r="X75" i="23"/>
  <c r="AF140" i="23"/>
  <c r="AD551" i="23"/>
  <c r="W625" i="23"/>
  <c r="X625" i="23" s="1"/>
  <c r="S95" i="23"/>
  <c r="W100" i="23" s="1"/>
  <c r="X100" i="23" s="1"/>
  <c r="X553" i="23"/>
  <c r="W701" i="23"/>
  <c r="X701" i="23" s="1"/>
  <c r="X897" i="23"/>
  <c r="X308" i="23"/>
  <c r="S899" i="23"/>
  <c r="W904" i="23" s="1"/>
  <c r="X904" i="23" s="1"/>
  <c r="X375" i="23"/>
  <c r="S310" i="23"/>
  <c r="W315" i="23" s="1"/>
  <c r="X315" i="23" s="1"/>
  <c r="S184" i="23"/>
  <c r="W189" i="23" s="1"/>
  <c r="N36" i="23"/>
  <c r="AF820" i="23"/>
  <c r="S107" i="23"/>
  <c r="W112" i="23" s="1"/>
  <c r="W776" i="23"/>
  <c r="X776" i="23" s="1"/>
  <c r="S274" i="23"/>
  <c r="W279" i="23" s="1"/>
  <c r="X279" i="23" s="1"/>
  <c r="AD733" i="23"/>
  <c r="AD330" i="23"/>
  <c r="S71" i="23"/>
  <c r="W76" i="23" s="1"/>
  <c r="AF772" i="23"/>
  <c r="X803" i="23"/>
  <c r="AF453" i="23"/>
  <c r="S168" i="23"/>
  <c r="W173" i="23" s="1"/>
  <c r="X173" i="23" s="1"/>
  <c r="AF575" i="23"/>
  <c r="AF91" i="23"/>
  <c r="X467" i="23"/>
  <c r="X735" i="23"/>
  <c r="X728" i="23"/>
  <c r="S598" i="23"/>
  <c r="W603" i="23" s="1"/>
  <c r="X559" i="23"/>
  <c r="W599" i="23"/>
  <c r="S567" i="23"/>
  <c r="W572" i="23" s="1"/>
  <c r="X572" i="23" s="1"/>
  <c r="X332" i="23"/>
  <c r="S413" i="23"/>
  <c r="W418" i="23" s="1"/>
  <c r="X418" i="23" s="1"/>
  <c r="W69" i="23"/>
  <c r="X69" i="23" s="1"/>
  <c r="S724" i="23"/>
  <c r="W729" i="23" s="1"/>
  <c r="AF343" i="23"/>
  <c r="X654" i="23"/>
  <c r="AF825" i="23"/>
  <c r="W689" i="23"/>
  <c r="X689" i="23" s="1"/>
  <c r="W296" i="23"/>
  <c r="AE409" i="23"/>
  <c r="M30" i="23"/>
  <c r="S298" i="23"/>
  <c r="W303" i="23" s="1"/>
  <c r="X303" i="23" s="1"/>
  <c r="S232" i="23"/>
  <c r="W237" i="23" s="1"/>
  <c r="X237" i="23" s="1"/>
  <c r="AE103" i="23"/>
  <c r="AE79" i="23"/>
  <c r="AD55" i="23"/>
  <c r="W233" i="23"/>
  <c r="X233" i="23" s="1"/>
  <c r="W81" i="23"/>
  <c r="X81" i="23" s="1"/>
  <c r="AD152" i="23"/>
  <c r="W363" i="23"/>
  <c r="X363" i="23" s="1"/>
  <c r="W812" i="23"/>
  <c r="X812" i="23" s="1"/>
  <c r="X671" i="23"/>
  <c r="S504" i="23"/>
  <c r="W509" i="23" s="1"/>
  <c r="X414" i="23"/>
  <c r="W391" i="23"/>
  <c r="X391" i="23" s="1"/>
  <c r="AF383" i="23"/>
  <c r="AF720" i="23"/>
  <c r="X462" i="23"/>
  <c r="AD500" i="23"/>
  <c r="AE465" i="23"/>
  <c r="W470" i="23"/>
  <c r="X470" i="23" s="1"/>
  <c r="W142" i="23"/>
  <c r="X142" i="23" s="1"/>
  <c r="AD140" i="23"/>
  <c r="H7" i="23"/>
  <c r="W856" i="23"/>
  <c r="X856" i="23" s="1"/>
  <c r="AF861" i="23"/>
  <c r="AF848" i="23"/>
  <c r="W123" i="23"/>
  <c r="X123" i="23" s="1"/>
  <c r="AF115" i="23"/>
  <c r="S913" i="23"/>
  <c r="W918" i="23" s="1"/>
  <c r="X918" i="23" s="1"/>
  <c r="S852" i="23"/>
  <c r="W857" i="23" s="1"/>
  <c r="X857" i="23" s="1"/>
  <c r="X747" i="23"/>
  <c r="X502" i="23"/>
  <c r="S119" i="23"/>
  <c r="W124" i="23" s="1"/>
  <c r="X124" i="23" s="1"/>
  <c r="W120" i="23"/>
  <c r="X120" i="23" s="1"/>
  <c r="AE115" i="23"/>
  <c r="AD465" i="23"/>
  <c r="X57" i="23"/>
  <c r="M36" i="23"/>
  <c r="S543" i="23"/>
  <c r="W548" i="23" s="1"/>
  <c r="S469" i="23"/>
  <c r="W474" i="23" s="1"/>
  <c r="X474" i="23" s="1"/>
  <c r="S144" i="23"/>
  <c r="W149" i="23" s="1"/>
  <c r="X149" i="23" s="1"/>
  <c r="X136" i="23"/>
  <c r="X338" i="23"/>
  <c r="W272" i="23"/>
  <c r="X272" i="23" s="1"/>
  <c r="X209" i="23"/>
  <c r="W299" i="23"/>
  <c r="X299" i="23" s="1"/>
  <c r="AE294" i="23"/>
  <c r="W458" i="23"/>
  <c r="X458" i="23" s="1"/>
  <c r="AE453" i="23"/>
  <c r="AF745" i="23"/>
  <c r="W753" i="23"/>
  <c r="X753" i="23" s="1"/>
  <c r="W508" i="23"/>
  <c r="X508" i="23" s="1"/>
  <c r="X547" i="23"/>
  <c r="X117" i="23"/>
  <c r="W760" i="23"/>
  <c r="X760" i="23" s="1"/>
  <c r="AD758" i="23"/>
  <c r="W741" i="23"/>
  <c r="X741" i="23" s="1"/>
  <c r="AF746" i="23"/>
  <c r="AF733" i="23"/>
  <c r="X411" i="23"/>
  <c r="X881" i="23"/>
  <c r="W200" i="23"/>
  <c r="X200" i="23" s="1"/>
  <c r="AF192" i="23"/>
  <c r="X833" i="23"/>
  <c r="X850" i="23"/>
  <c r="X797" i="23"/>
  <c r="W631" i="23"/>
  <c r="X631" i="23" s="1"/>
  <c r="AF623" i="23"/>
  <c r="AD575" i="23"/>
  <c r="W577" i="23"/>
  <c r="X577" i="23" s="1"/>
  <c r="S579" i="23"/>
  <c r="W584" i="23" s="1"/>
  <c r="X584" i="23" s="1"/>
  <c r="W800" i="23"/>
  <c r="X800" i="23" s="1"/>
  <c r="AE795" i="23"/>
  <c r="W628" i="23"/>
  <c r="X628" i="23" s="1"/>
  <c r="AE623" i="23"/>
  <c r="W750" i="23"/>
  <c r="X750" i="23" s="1"/>
  <c r="AE745" i="23"/>
  <c r="X874" i="23"/>
  <c r="AE551" i="23"/>
  <c r="S555" i="23"/>
  <c r="W560" i="23" s="1"/>
  <c r="W556" i="23"/>
  <c r="X556" i="23" s="1"/>
  <c r="W485" i="23"/>
  <c r="X485" i="23" s="1"/>
  <c r="AE480" i="23"/>
  <c r="S484" i="23"/>
  <c r="W489" i="23" s="1"/>
  <c r="AF397" i="23"/>
  <c r="W405" i="23"/>
  <c r="X405" i="23" s="1"/>
  <c r="W402" i="23"/>
  <c r="AE397" i="23"/>
  <c r="X156" i="23"/>
  <c r="I7" i="23"/>
  <c r="C7" i="23"/>
  <c r="W868" i="23"/>
  <c r="X868" i="23" s="1"/>
  <c r="AF860" i="23"/>
  <c r="W763" i="23"/>
  <c r="X763" i="23" s="1"/>
  <c r="S762" i="23"/>
  <c r="W767" i="23" s="1"/>
  <c r="X767" i="23" s="1"/>
  <c r="AE758" i="23"/>
  <c r="S799" i="23"/>
  <c r="W804" i="23" s="1"/>
  <c r="X804" i="23" s="1"/>
  <c r="S627" i="23"/>
  <c r="W632" i="23" s="1"/>
  <c r="X632" i="23" s="1"/>
  <c r="X399" i="23"/>
  <c r="AF707" i="23"/>
  <c r="W715" i="23"/>
  <c r="X715" i="23" s="1"/>
  <c r="W287" i="23"/>
  <c r="AE282" i="23"/>
  <c r="AF282" i="23"/>
  <c r="W290" i="23"/>
  <c r="X290" i="23" s="1"/>
  <c r="AE164" i="23"/>
  <c r="W169" i="23"/>
  <c r="X169" i="23" s="1"/>
  <c r="W245" i="23"/>
  <c r="X245" i="23" s="1"/>
  <c r="AE240" i="23"/>
  <c r="X351" i="23"/>
  <c r="S286" i="23"/>
  <c r="W291" i="23" s="1"/>
  <c r="X291" i="23" s="1"/>
  <c r="D22" i="23"/>
  <c r="C22" i="23"/>
  <c r="B22" i="23"/>
  <c r="AE824" i="23"/>
  <c r="W829" i="23"/>
  <c r="X829" i="23" s="1"/>
  <c r="W853" i="23"/>
  <c r="X853" i="23" s="1"/>
  <c r="AE848" i="23"/>
  <c r="X729" i="23"/>
  <c r="AD610" i="23"/>
  <c r="W612" i="23"/>
  <c r="X612" i="23" s="1"/>
  <c r="S614" i="23"/>
  <c r="W619" i="23" s="1"/>
  <c r="X619" i="23" s="1"/>
  <c r="W427" i="23"/>
  <c r="X427" i="23" s="1"/>
  <c r="AE422" i="23"/>
  <c r="W738" i="23"/>
  <c r="X738" i="23" s="1"/>
  <c r="AE733" i="23"/>
  <c r="X284" i="23"/>
  <c r="X168" i="23"/>
  <c r="D7" i="23" s="1"/>
  <c r="B7" i="23"/>
  <c r="B32" i="23"/>
  <c r="X243" i="23"/>
  <c r="C6" i="23"/>
  <c r="D32" i="23"/>
  <c r="I6" i="23"/>
  <c r="C32" i="23"/>
  <c r="S401" i="23"/>
  <c r="W406" i="23" s="1"/>
  <c r="X406" i="23" s="1"/>
  <c r="W323" i="23"/>
  <c r="X323" i="23" s="1"/>
  <c r="AE318" i="23"/>
  <c r="AE127" i="23"/>
  <c r="W132" i="23"/>
  <c r="X132" i="23" s="1"/>
  <c r="D25" i="23"/>
  <c r="B25" i="23"/>
  <c r="C25" i="23"/>
  <c r="W257" i="23"/>
  <c r="X257" i="23" s="1"/>
  <c r="AE252" i="23"/>
  <c r="X189" i="23"/>
  <c r="B33" i="23"/>
  <c r="W725" i="23"/>
  <c r="X725" i="23" s="1"/>
  <c r="AE720" i="23"/>
  <c r="S697" i="23"/>
  <c r="W702" i="23" s="1"/>
  <c r="X702" i="23" s="1"/>
  <c r="AD693" i="23"/>
  <c r="W695" i="23"/>
  <c r="X695" i="23" s="1"/>
  <c r="W686" i="23"/>
  <c r="X686" i="23" s="1"/>
  <c r="AE681" i="23"/>
  <c r="W430" i="23"/>
  <c r="X430" i="23" s="1"/>
  <c r="AF422" i="23"/>
  <c r="AF318" i="23"/>
  <c r="W326" i="23"/>
  <c r="X326" i="23" s="1"/>
  <c r="W254" i="23"/>
  <c r="X254" i="23" s="1"/>
  <c r="AD252" i="23"/>
  <c r="S256" i="23"/>
  <c r="W261" i="23" s="1"/>
  <c r="X261" i="23" s="1"/>
  <c r="X560" i="23"/>
  <c r="AD422" i="23"/>
  <c r="S426" i="23"/>
  <c r="W431" i="23" s="1"/>
  <c r="X431" i="23" s="1"/>
  <c r="W424" i="23"/>
  <c r="X424" i="23" s="1"/>
  <c r="X112" i="23"/>
  <c r="X255" i="23"/>
  <c r="B6" i="23"/>
  <c r="H6" i="23"/>
  <c r="C33" i="23"/>
  <c r="C19" i="23"/>
  <c r="D26" i="23"/>
  <c r="W657" i="23"/>
  <c r="X657" i="23" s="1"/>
  <c r="AE652" i="23"/>
  <c r="X369" i="23"/>
  <c r="W360" i="23"/>
  <c r="X360" i="23" s="1"/>
  <c r="AE355" i="23"/>
  <c r="X287" i="23"/>
  <c r="W194" i="23"/>
  <c r="X194" i="23" s="1"/>
  <c r="S196" i="23"/>
  <c r="W201" i="23" s="1"/>
  <c r="X201" i="23" s="1"/>
  <c r="AD192" i="23"/>
  <c r="D33" i="23"/>
  <c r="W838" i="23"/>
  <c r="X838" i="23" s="1"/>
  <c r="AD836" i="23"/>
  <c r="S840" i="23"/>
  <c r="W845" i="23" s="1"/>
  <c r="X845" i="23" s="1"/>
  <c r="X683" i="23"/>
  <c r="X565" i="23"/>
  <c r="C18" i="23"/>
  <c r="B18" i="23"/>
  <c r="I4" i="23"/>
  <c r="H4" i="23"/>
  <c r="C4" i="23"/>
  <c r="D18" i="23"/>
  <c r="B4" i="23"/>
  <c r="W618" i="23"/>
  <c r="X618" i="23" s="1"/>
  <c r="AF610" i="23"/>
  <c r="S749" i="23"/>
  <c r="W754" i="23" s="1"/>
  <c r="X754" i="23" s="1"/>
  <c r="S685" i="23"/>
  <c r="W690" i="23" s="1"/>
  <c r="X690" i="23" s="1"/>
  <c r="X402" i="23"/>
  <c r="W87" i="23"/>
  <c r="X87" i="23" s="1"/>
  <c r="AF79" i="23"/>
  <c r="S83" i="23"/>
  <c r="W88" i="23" s="1"/>
  <c r="X88" i="23" s="1"/>
  <c r="X52" i="23"/>
  <c r="AE180" i="23"/>
  <c r="W185" i="23"/>
  <c r="X185" i="23" s="1"/>
  <c r="W60" i="23"/>
  <c r="X60" i="23" s="1"/>
  <c r="AE55" i="23"/>
  <c r="M10" i="23"/>
  <c r="W660" i="23"/>
  <c r="X660" i="23" s="1"/>
  <c r="AF652" i="23"/>
  <c r="W674" i="23"/>
  <c r="X674" i="23" s="1"/>
  <c r="AE669" i="23"/>
  <c r="AF306" i="23"/>
  <c r="W314" i="23"/>
  <c r="X314" i="23" s="1"/>
  <c r="S656" i="23"/>
  <c r="W661" i="23" s="1"/>
  <c r="X661" i="23" s="1"/>
  <c r="X603" i="23"/>
  <c r="W385" i="23"/>
  <c r="X385" i="23" s="1"/>
  <c r="S387" i="23"/>
  <c r="W392" i="23" s="1"/>
  <c r="X392" i="23" s="1"/>
  <c r="AD383" i="23"/>
  <c r="AE306" i="23"/>
  <c r="W311" i="23"/>
  <c r="X311" i="23" s="1"/>
  <c r="S737" i="23"/>
  <c r="W742" i="23" s="1"/>
  <c r="X742" i="23" s="1"/>
  <c r="X461" i="23"/>
  <c r="W236" i="23"/>
  <c r="X236" i="23" s="1"/>
  <c r="AF228" i="23"/>
  <c r="X509" i="23"/>
  <c r="X541" i="23"/>
  <c r="S322" i="23"/>
  <c r="W327" i="23" s="1"/>
  <c r="X327" i="23" s="1"/>
  <c r="X489" i="23"/>
  <c r="S244" i="23"/>
  <c r="W249" i="23" s="1"/>
  <c r="X249" i="23" s="1"/>
  <c r="W372" i="23"/>
  <c r="X372" i="23" s="1"/>
  <c r="AE367" i="23"/>
  <c r="S371" i="23"/>
  <c r="W376" i="23" s="1"/>
  <c r="X376" i="23" s="1"/>
  <c r="AF164" i="23"/>
  <c r="W172" i="23"/>
  <c r="X172" i="23" s="1"/>
  <c r="W160" i="23"/>
  <c r="AF152" i="23"/>
  <c r="X45" i="23"/>
  <c r="AD216" i="23"/>
  <c r="S220" i="23"/>
  <c r="W225" i="23" s="1"/>
  <c r="X225" i="23" s="1"/>
  <c r="W218" i="23"/>
  <c r="X218" i="23" s="1"/>
  <c r="W111" i="23"/>
  <c r="X111" i="23" s="1"/>
  <c r="AF103" i="23"/>
  <c r="S59" i="23"/>
  <c r="W64" i="23" s="1"/>
  <c r="X64" i="23" s="1"/>
  <c r="AD783" i="23"/>
  <c r="W785" i="23"/>
  <c r="X785" i="23" s="1"/>
  <c r="S787" i="23"/>
  <c r="W792" i="23" s="1"/>
  <c r="X792" i="23" s="1"/>
  <c r="W809" i="23"/>
  <c r="X809" i="23" s="1"/>
  <c r="AD807" i="23"/>
  <c r="S811" i="23"/>
  <c r="W816" i="23" s="1"/>
  <c r="X816" i="23" s="1"/>
  <c r="S864" i="23"/>
  <c r="W869" i="23" s="1"/>
  <c r="X869" i="23" s="1"/>
  <c r="W865" i="23"/>
  <c r="X865" i="23" s="1"/>
  <c r="AE860" i="23"/>
  <c r="X583" i="23"/>
  <c r="W773" i="23"/>
  <c r="X773" i="23" s="1"/>
  <c r="AD771" i="23"/>
  <c r="S775" i="23"/>
  <c r="W780" i="23" s="1"/>
  <c r="X780" i="23" s="1"/>
  <c r="AE693" i="23"/>
  <c r="W698" i="23"/>
  <c r="X698" i="23" s="1"/>
  <c r="W488" i="23"/>
  <c r="X488" i="23" s="1"/>
  <c r="AF480" i="23"/>
  <c r="X599" i="23"/>
  <c r="W278" i="23"/>
  <c r="X278" i="23" s="1"/>
  <c r="AF270" i="23"/>
  <c r="AE343" i="23"/>
  <c r="W348" i="23"/>
  <c r="X348" i="23" s="1"/>
  <c r="S347" i="23"/>
  <c r="W352" i="23" s="1"/>
  <c r="X352" i="23" s="1"/>
  <c r="S673" i="23"/>
  <c r="W678" i="23" s="1"/>
  <c r="X678" i="23" s="1"/>
  <c r="W357" i="23"/>
  <c r="X357" i="23" s="1"/>
  <c r="S359" i="23"/>
  <c r="W364" i="23" s="1"/>
  <c r="X364" i="23" s="1"/>
  <c r="AD355" i="23"/>
  <c r="W188" i="23"/>
  <c r="X188" i="23" s="1"/>
  <c r="AF180" i="23"/>
  <c r="X548" i="23"/>
  <c r="X296" i="23"/>
  <c r="AE152" i="23"/>
  <c r="W157" i="23"/>
  <c r="S156" i="23"/>
  <c r="W161" i="23" s="1"/>
  <c r="X161" i="23" s="1"/>
  <c r="X76" i="23"/>
  <c r="AD204" i="23"/>
  <c r="S208" i="23"/>
  <c r="W213" i="23" s="1"/>
  <c r="X213" i="23" s="1"/>
  <c r="W206" i="23"/>
  <c r="X206" i="23" s="1"/>
  <c r="X99" i="23"/>
  <c r="W310" i="22"/>
  <c r="X310" i="22" s="1"/>
  <c r="S752" i="22"/>
  <c r="W757" i="22" s="1"/>
  <c r="X757" i="22" s="1"/>
  <c r="W687" i="22"/>
  <c r="X687" i="22" s="1"/>
  <c r="S145" i="22"/>
  <c r="W150" i="22" s="1"/>
  <c r="X716" i="22"/>
  <c r="W589" i="22"/>
  <c r="X589" i="22" s="1"/>
  <c r="AF293" i="22"/>
  <c r="AE734" i="22"/>
  <c r="W422" i="22"/>
  <c r="X422" i="22" s="1"/>
  <c r="AF569" i="22"/>
  <c r="X161" i="22"/>
  <c r="AE581" i="22"/>
  <c r="W434" i="22"/>
  <c r="X434" i="22" s="1"/>
  <c r="AE606" i="22"/>
  <c r="S493" i="22"/>
  <c r="W498" i="22" s="1"/>
  <c r="X498" i="22" s="1"/>
  <c r="S459" i="22"/>
  <c r="W464" i="22" s="1"/>
  <c r="X464" i="22" s="1"/>
  <c r="W191" i="22"/>
  <c r="S193" i="22"/>
  <c r="W198" i="22" s="1"/>
  <c r="X198" i="22" s="1"/>
  <c r="W440" i="22"/>
  <c r="X440" i="22" s="1"/>
  <c r="W398" i="22"/>
  <c r="X398" i="22" s="1"/>
  <c r="W313" i="22"/>
  <c r="X313" i="22" s="1"/>
  <c r="AE121" i="22"/>
  <c r="W457" i="22"/>
  <c r="X457" i="22" s="1"/>
  <c r="W736" i="22"/>
  <c r="X736" i="22" s="1"/>
  <c r="AE396" i="22"/>
  <c r="W345" i="22"/>
  <c r="X345" i="22" s="1"/>
  <c r="N9" i="22"/>
  <c r="P9" i="22" s="1"/>
  <c r="X150" i="22"/>
  <c r="X301" i="22"/>
  <c r="AF153" i="22"/>
  <c r="AD220" i="22"/>
  <c r="W261" i="22"/>
  <c r="X261" i="22" s="1"/>
  <c r="AE699" i="22"/>
  <c r="S436" i="22"/>
  <c r="W441" i="22" s="1"/>
  <c r="AE208" i="22"/>
  <c r="AE432" i="22"/>
  <c r="X249" i="22"/>
  <c r="X437" i="22"/>
  <c r="AD85" i="22"/>
  <c r="AF43" i="22"/>
  <c r="W742" i="22"/>
  <c r="X742" i="22" s="1"/>
  <c r="X126" i="22"/>
  <c r="AD501" i="22"/>
  <c r="S312" i="22"/>
  <c r="W317" i="22" s="1"/>
  <c r="X317" i="22" s="1"/>
  <c r="AF308" i="22"/>
  <c r="AE321" i="22"/>
  <c r="AE711" i="22"/>
  <c r="S89" i="22"/>
  <c r="W94" i="22" s="1"/>
  <c r="X94" i="22" s="1"/>
  <c r="W385" i="22"/>
  <c r="X385" i="22" s="1"/>
  <c r="AD489" i="22"/>
  <c r="W529" i="22"/>
  <c r="X529" i="22" s="1"/>
  <c r="AF231" i="22"/>
  <c r="AF121" i="22"/>
  <c r="S562" i="22"/>
  <c r="W567" i="22" s="1"/>
  <c r="X567" i="22" s="1"/>
  <c r="X99" i="22"/>
  <c r="W566" i="22"/>
  <c r="W491" i="22"/>
  <c r="X491" i="22" s="1"/>
  <c r="W563" i="22"/>
  <c r="X563" i="22" s="1"/>
  <c r="X129" i="22"/>
  <c r="W45" i="22"/>
  <c r="X45" i="22" s="1"/>
  <c r="S347" i="22"/>
  <c r="W352" i="22" s="1"/>
  <c r="AF377" i="22"/>
  <c r="W329" i="22"/>
  <c r="X329" i="22" s="1"/>
  <c r="W225" i="22"/>
  <c r="X225" i="22" s="1"/>
  <c r="S47" i="22"/>
  <c r="W52" i="22" s="1"/>
  <c r="X52" i="22" s="1"/>
  <c r="S470" i="22"/>
  <c r="W475" i="22" s="1"/>
  <c r="AE57" i="22"/>
  <c r="S424" i="22"/>
  <c r="W429" i="22" s="1"/>
  <c r="X429" i="22" s="1"/>
  <c r="X158" i="22"/>
  <c r="AE466" i="22"/>
  <c r="AF85" i="22"/>
  <c r="X506" i="22"/>
  <c r="W75" i="22"/>
  <c r="X425" i="22"/>
  <c r="S703" i="22"/>
  <c r="W708" i="22" s="1"/>
  <c r="X708" i="22" s="1"/>
  <c r="S738" i="22"/>
  <c r="W743" i="22" s="1"/>
  <c r="X743" i="22" s="1"/>
  <c r="AE420" i="22"/>
  <c r="AE153" i="22"/>
  <c r="W693" i="22"/>
  <c r="X693" i="22" s="1"/>
  <c r="W264" i="22"/>
  <c r="X264" i="22" s="1"/>
  <c r="S598" i="22"/>
  <c r="W603" i="22" s="1"/>
  <c r="AE501" i="22"/>
  <c r="S505" i="22"/>
  <c r="W510" i="22" s="1"/>
  <c r="X510" i="22" s="1"/>
  <c r="S212" i="22"/>
  <c r="W217" i="22" s="1"/>
  <c r="X217" i="22" s="1"/>
  <c r="M9" i="22"/>
  <c r="W413" i="22"/>
  <c r="X413" i="22" s="1"/>
  <c r="AE343" i="22"/>
  <c r="AF109" i="22"/>
  <c r="X106" i="22"/>
  <c r="S224" i="22"/>
  <c r="W229" i="22" s="1"/>
  <c r="W78" i="22"/>
  <c r="X78" i="22" s="1"/>
  <c r="X433" i="22"/>
  <c r="I4" i="22"/>
  <c r="C4" i="22"/>
  <c r="B4" i="22"/>
  <c r="B18" i="22"/>
  <c r="H4" i="22"/>
  <c r="D18" i="22"/>
  <c r="C18" i="22"/>
  <c r="X577" i="22"/>
  <c r="X690" i="22"/>
  <c r="X535" i="22"/>
  <c r="W348" i="22"/>
  <c r="X348" i="22" s="1"/>
  <c r="W228" i="22"/>
  <c r="X228" i="22" s="1"/>
  <c r="S235" i="22"/>
  <c r="W240" i="22" s="1"/>
  <c r="X240" i="22" s="1"/>
  <c r="X117" i="22"/>
  <c r="S77" i="22"/>
  <c r="W82" i="22" s="1"/>
  <c r="X82" i="22" s="1"/>
  <c r="AF57" i="22"/>
  <c r="W93" i="22"/>
  <c r="X93" i="22" s="1"/>
  <c r="X352" i="22"/>
  <c r="S689" i="22"/>
  <c r="W694" i="22" s="1"/>
  <c r="X694" i="22" s="1"/>
  <c r="W236" i="22"/>
  <c r="X236" i="22" s="1"/>
  <c r="B36" i="22"/>
  <c r="X326" i="22"/>
  <c r="S113" i="22"/>
  <c r="W118" i="22" s="1"/>
  <c r="X118" i="22" s="1"/>
  <c r="AF189" i="22"/>
  <c r="W614" i="22"/>
  <c r="X614" i="22" s="1"/>
  <c r="AF606" i="22"/>
  <c r="W474" i="22"/>
  <c r="X474" i="22" s="1"/>
  <c r="AF466" i="22"/>
  <c r="X554" i="22"/>
  <c r="X471" i="22"/>
  <c r="X229" i="22"/>
  <c r="W197" i="22"/>
  <c r="AF699" i="22"/>
  <c r="W707" i="22"/>
  <c r="X707" i="22" s="1"/>
  <c r="J10" i="22"/>
  <c r="N10" i="22" s="1"/>
  <c r="P10" i="22" s="1"/>
  <c r="W602" i="22"/>
  <c r="X602" i="22" s="1"/>
  <c r="AF594" i="22"/>
  <c r="X611" i="22"/>
  <c r="W404" i="22"/>
  <c r="X404" i="22" s="1"/>
  <c r="X194" i="22"/>
  <c r="W719" i="22"/>
  <c r="X719" i="22" s="1"/>
  <c r="AF711" i="22"/>
  <c r="AE569" i="22"/>
  <c r="W574" i="22"/>
  <c r="X574" i="22" s="1"/>
  <c r="AF546" i="22"/>
  <c r="AF420" i="22"/>
  <c r="AF409" i="22"/>
  <c r="W369" i="22"/>
  <c r="X369" i="22" s="1"/>
  <c r="AF361" i="22"/>
  <c r="X560" i="22"/>
  <c r="W210" i="22"/>
  <c r="X210" i="22" s="1"/>
  <c r="W509" i="22"/>
  <c r="X509" i="22" s="1"/>
  <c r="AF501" i="22"/>
  <c r="S400" i="22"/>
  <c r="W405" i="22" s="1"/>
  <c r="X405" i="22" s="1"/>
  <c r="W252" i="22"/>
  <c r="X252" i="22" s="1"/>
  <c r="W608" i="22"/>
  <c r="X608" i="22" s="1"/>
  <c r="S610" i="22"/>
  <c r="W615" i="22" s="1"/>
  <c r="X615" i="22" s="1"/>
  <c r="AD231" i="22"/>
  <c r="W233" i="22"/>
  <c r="X233" i="22" s="1"/>
  <c r="AD581" i="22"/>
  <c r="W583" i="22"/>
  <c r="X583" i="22" s="1"/>
  <c r="S585" i="22"/>
  <c r="W590" i="22" s="1"/>
  <c r="X590" i="22" s="1"/>
  <c r="C6" i="22"/>
  <c r="I6" i="22"/>
  <c r="C25" i="22"/>
  <c r="X65" i="22"/>
  <c r="C32" i="22"/>
  <c r="W316" i="22"/>
  <c r="X316" i="22" s="1"/>
  <c r="AD256" i="22"/>
  <c r="W258" i="22"/>
  <c r="X258" i="22" s="1"/>
  <c r="S260" i="22"/>
  <c r="W265" i="22" s="1"/>
  <c r="X265" i="22" s="1"/>
  <c r="I7" i="22"/>
  <c r="D33" i="22"/>
  <c r="C33" i="22"/>
  <c r="B33" i="22"/>
  <c r="C7" i="22"/>
  <c r="S248" i="22"/>
  <c r="W253" i="22" s="1"/>
  <c r="X253" i="22" s="1"/>
  <c r="W246" i="22"/>
  <c r="X246" i="22" s="1"/>
  <c r="W59" i="22"/>
  <c r="S61" i="22"/>
  <c r="W66" i="22" s="1"/>
  <c r="X66" i="22" s="1"/>
  <c r="AD57" i="22"/>
  <c r="D32" i="22"/>
  <c r="D25" i="22"/>
  <c r="W713" i="22"/>
  <c r="X713" i="22" s="1"/>
  <c r="S715" i="22"/>
  <c r="W720" i="22" s="1"/>
  <c r="X720" i="22" s="1"/>
  <c r="AD711" i="22"/>
  <c r="AE527" i="22"/>
  <c r="W532" i="22"/>
  <c r="X532" i="22" s="1"/>
  <c r="W571" i="22"/>
  <c r="X571" i="22" s="1"/>
  <c r="S573" i="22"/>
  <c r="W578" i="22" s="1"/>
  <c r="X578" i="22" s="1"/>
  <c r="AD569" i="22"/>
  <c r="X441" i="22"/>
  <c r="W298" i="22"/>
  <c r="X298" i="22" s="1"/>
  <c r="AE293" i="22"/>
  <c r="D6" i="22"/>
  <c r="H6" i="22"/>
  <c r="B6" i="22"/>
  <c r="B32" i="22"/>
  <c r="X596" i="22"/>
  <c r="AD321" i="22"/>
  <c r="W323" i="22"/>
  <c r="X323" i="22" s="1"/>
  <c r="S325" i="22"/>
  <c r="W330" i="22" s="1"/>
  <c r="X330" i="22" s="1"/>
  <c r="S531" i="22"/>
  <c r="W536" i="22" s="1"/>
  <c r="X536" i="22" s="1"/>
  <c r="X475" i="22"/>
  <c r="S297" i="22"/>
  <c r="W302" i="22" s="1"/>
  <c r="X302" i="22" s="1"/>
  <c r="AD293" i="22"/>
  <c r="W295" i="22"/>
  <c r="X295" i="22" s="1"/>
  <c r="W379" i="22"/>
  <c r="X379" i="22" s="1"/>
  <c r="AD377" i="22"/>
  <c r="S381" i="22"/>
  <c r="W386" i="22" s="1"/>
  <c r="X386" i="22" s="1"/>
  <c r="C36" i="22"/>
  <c r="S157" i="22"/>
  <c r="W162" i="22" s="1"/>
  <c r="X162" i="22" s="1"/>
  <c r="W155" i="22"/>
  <c r="X155" i="22" s="1"/>
  <c r="AD153" i="22"/>
  <c r="AF723" i="22"/>
  <c r="W731" i="22"/>
  <c r="X731" i="22" s="1"/>
  <c r="D30" i="22"/>
  <c r="C30" i="22"/>
  <c r="B30" i="22"/>
  <c r="S125" i="22"/>
  <c r="W130" i="22" s="1"/>
  <c r="X130" i="22" s="1"/>
  <c r="W123" i="22"/>
  <c r="X123" i="22" s="1"/>
  <c r="AD121" i="22"/>
  <c r="B25" i="22"/>
  <c r="S727" i="22"/>
  <c r="W732" i="22" s="1"/>
  <c r="X732" i="22" s="1"/>
  <c r="X566" i="22"/>
  <c r="B19" i="22"/>
  <c r="D19" i="22"/>
  <c r="C19" i="22"/>
  <c r="AF73" i="22"/>
  <c r="W81" i="22"/>
  <c r="X81" i="22" s="1"/>
  <c r="W599" i="22"/>
  <c r="X599" i="22" s="1"/>
  <c r="AE594" i="22"/>
  <c r="W548" i="22"/>
  <c r="X548" i="22" s="1"/>
  <c r="AD546" i="22"/>
  <c r="S550" i="22"/>
  <c r="W555" i="22" s="1"/>
  <c r="X555" i="22" s="1"/>
  <c r="W363" i="22"/>
  <c r="X363" i="22" s="1"/>
  <c r="AD361" i="22"/>
  <c r="S365" i="22"/>
  <c r="W370" i="22" s="1"/>
  <c r="X370" i="22" s="1"/>
  <c r="X603" i="22"/>
  <c r="AD408" i="22"/>
  <c r="S412" i="22"/>
  <c r="W417" i="22" s="1"/>
  <c r="X417" i="22" s="1"/>
  <c r="W410" i="22"/>
  <c r="X410" i="22" s="1"/>
  <c r="B7" i="22"/>
  <c r="H7" i="22"/>
  <c r="B26" i="22"/>
  <c r="C26" i="22"/>
  <c r="D26" i="22"/>
  <c r="X62" i="22"/>
  <c r="D22" i="22"/>
  <c r="C22" i="22"/>
  <c r="B22" i="22"/>
  <c r="W105" i="22"/>
  <c r="AF97" i="22"/>
  <c r="S1656" i="16"/>
  <c r="W1661" i="16" s="1"/>
  <c r="X1661" i="16" s="1"/>
  <c r="X1654" i="16"/>
  <c r="AL15" i="22" l="1"/>
  <c r="AM15" i="22" s="1"/>
  <c r="BD28" i="22"/>
  <c r="BD31" i="22"/>
  <c r="BE31" i="22" s="1"/>
  <c r="BD30" i="22"/>
  <c r="BE30" i="22" s="1"/>
  <c r="BD29" i="22"/>
  <c r="BE29" i="22" s="1"/>
  <c r="BD36" i="22"/>
  <c r="BD33" i="22"/>
  <c r="BD35" i="22"/>
  <c r="BD34" i="22"/>
  <c r="BD26" i="22"/>
  <c r="BD25" i="22"/>
  <c r="BD23" i="22"/>
  <c r="BE23" i="22" s="1"/>
  <c r="BD24" i="22"/>
  <c r="BE28" i="22"/>
  <c r="K7" i="23"/>
  <c r="J7" i="23"/>
  <c r="M7" i="23" s="1"/>
  <c r="C26" i="23"/>
  <c r="AL16" i="23"/>
  <c r="AM16" i="23" s="1"/>
  <c r="AL30" i="23"/>
  <c r="AM30" i="23" s="1"/>
  <c r="AF21" i="23"/>
  <c r="AT26" i="23"/>
  <c r="H5" i="23"/>
  <c r="C34" i="23"/>
  <c r="C14" i="23"/>
  <c r="B19" i="23"/>
  <c r="AT34" i="23"/>
  <c r="AT33" i="23"/>
  <c r="AL38" i="23"/>
  <c r="AM38" i="23" s="1"/>
  <c r="AF15" i="23"/>
  <c r="AT29" i="23"/>
  <c r="AT30" i="23"/>
  <c r="J5" i="23"/>
  <c r="AT22" i="23"/>
  <c r="D37" i="23"/>
  <c r="AL20" i="23"/>
  <c r="AT31" i="23"/>
  <c r="AT36" i="23"/>
  <c r="C11" i="23"/>
  <c r="AL28" i="23"/>
  <c r="AM28" i="23" s="1"/>
  <c r="AL26" i="23"/>
  <c r="AM26" i="23" s="1"/>
  <c r="H11" i="23"/>
  <c r="X160" i="23"/>
  <c r="J11" i="23" s="1"/>
  <c r="N19" i="23"/>
  <c r="AT16" i="23"/>
  <c r="AL33" i="23"/>
  <c r="AM33" i="23" s="1"/>
  <c r="AT27" i="23"/>
  <c r="C5" i="23"/>
  <c r="AF20" i="23"/>
  <c r="AF23" i="23"/>
  <c r="B8" i="23"/>
  <c r="AL15" i="23"/>
  <c r="K14" i="23"/>
  <c r="AF28" i="23"/>
  <c r="AT38" i="23"/>
  <c r="X157" i="23"/>
  <c r="J8" i="23" s="1"/>
  <c r="I11" i="23"/>
  <c r="N32" i="23"/>
  <c r="M32" i="23"/>
  <c r="I8" i="23"/>
  <c r="AL29" i="23"/>
  <c r="AM29" i="23" s="1"/>
  <c r="AL19" i="23"/>
  <c r="AM19" i="23" s="1"/>
  <c r="AT37" i="23"/>
  <c r="AL17" i="23"/>
  <c r="AM17" i="23" s="1"/>
  <c r="H14" i="23"/>
  <c r="B37" i="23"/>
  <c r="B11" i="23"/>
  <c r="AT19" i="23"/>
  <c r="AU19" i="23" s="1"/>
  <c r="AF17" i="23"/>
  <c r="AF25" i="23"/>
  <c r="AU34" i="23" s="1"/>
  <c r="B38" i="23"/>
  <c r="C37" i="23"/>
  <c r="M25" i="23"/>
  <c r="N25" i="23"/>
  <c r="C31" i="23"/>
  <c r="AF18" i="23"/>
  <c r="AT21" i="23"/>
  <c r="AU21" i="23" s="1"/>
  <c r="AT28" i="23"/>
  <c r="AL35" i="23"/>
  <c r="AM35" i="23" s="1"/>
  <c r="B14" i="23"/>
  <c r="D31" i="23"/>
  <c r="C8" i="23"/>
  <c r="AT20" i="23"/>
  <c r="AU20" i="23" s="1"/>
  <c r="AT15" i="23"/>
  <c r="AL36" i="23"/>
  <c r="AM36" i="23" s="1"/>
  <c r="C38" i="23"/>
  <c r="M33" i="23"/>
  <c r="N33" i="23"/>
  <c r="B31" i="23"/>
  <c r="AL31" i="23"/>
  <c r="AM31" i="23" s="1"/>
  <c r="AL34" i="23"/>
  <c r="AM34" i="23" s="1"/>
  <c r="K5" i="23"/>
  <c r="D5" i="23"/>
  <c r="AT17" i="23"/>
  <c r="I14" i="23"/>
  <c r="B5" i="23"/>
  <c r="AF22" i="23"/>
  <c r="N18" i="23"/>
  <c r="M18" i="23"/>
  <c r="D34" i="23"/>
  <c r="AL24" i="23"/>
  <c r="AM24" i="23" s="1"/>
  <c r="AL23" i="23"/>
  <c r="AM23" i="23" s="1"/>
  <c r="AT35" i="23"/>
  <c r="D38" i="23"/>
  <c r="AT23" i="23"/>
  <c r="AU23" i="23" s="1"/>
  <c r="AF16" i="23"/>
  <c r="AL22" i="23"/>
  <c r="AM22" i="23" s="1"/>
  <c r="I5" i="23"/>
  <c r="AT24" i="23"/>
  <c r="AU24" i="23" s="1"/>
  <c r="H8" i="23"/>
  <c r="AL21" i="23"/>
  <c r="AM21" i="23" s="1"/>
  <c r="AL27" i="23"/>
  <c r="AM27" i="23" s="1"/>
  <c r="AF27" i="23"/>
  <c r="D19" i="23"/>
  <c r="M19" i="23" s="1"/>
  <c r="B26" i="23"/>
  <c r="D4" i="23"/>
  <c r="K4" i="23"/>
  <c r="J4" i="23"/>
  <c r="B34" i="23"/>
  <c r="AF26" i="23"/>
  <c r="AL37" i="23"/>
  <c r="AM37" i="23" s="1"/>
  <c r="D6" i="23"/>
  <c r="K6" i="23"/>
  <c r="J6" i="23"/>
  <c r="N22" i="23"/>
  <c r="M22" i="23"/>
  <c r="B5" i="22"/>
  <c r="AL24" i="22"/>
  <c r="AM24" i="22" s="1"/>
  <c r="AT36" i="22"/>
  <c r="I5" i="22"/>
  <c r="AL20" i="22"/>
  <c r="AM20" i="22" s="1"/>
  <c r="K4" i="22"/>
  <c r="D4" i="22"/>
  <c r="J4" i="22"/>
  <c r="X59" i="22"/>
  <c r="K5" i="22" s="1"/>
  <c r="AT34" i="22"/>
  <c r="M36" i="22"/>
  <c r="M18" i="22"/>
  <c r="N18" i="22"/>
  <c r="B14" i="22"/>
  <c r="AT38" i="22"/>
  <c r="AF27" i="22"/>
  <c r="AT31" i="22"/>
  <c r="M10" i="22"/>
  <c r="I8" i="22"/>
  <c r="AT23" i="22"/>
  <c r="N36" i="22"/>
  <c r="AF16" i="22"/>
  <c r="AL19" i="22"/>
  <c r="AM19" i="22" s="1"/>
  <c r="AL27" i="22"/>
  <c r="AM27" i="22" s="1"/>
  <c r="AT15" i="22"/>
  <c r="D11" i="22"/>
  <c r="H11" i="22"/>
  <c r="AF23" i="22"/>
  <c r="AF17" i="22"/>
  <c r="AF28" i="22"/>
  <c r="AT37" i="22"/>
  <c r="D8" i="22"/>
  <c r="AL22" i="22"/>
  <c r="AM22" i="22" s="1"/>
  <c r="AL17" i="22"/>
  <c r="AM17" i="22" s="1"/>
  <c r="AT33" i="22"/>
  <c r="AL21" i="22"/>
  <c r="AM21" i="22" s="1"/>
  <c r="I14" i="22"/>
  <c r="C14" i="22"/>
  <c r="B8" i="22"/>
  <c r="C38" i="22"/>
  <c r="H14" i="22"/>
  <c r="C8" i="22"/>
  <c r="D14" i="22"/>
  <c r="J14" i="22"/>
  <c r="K14" i="22"/>
  <c r="AL23" i="22"/>
  <c r="AM23" i="22" s="1"/>
  <c r="H5" i="22"/>
  <c r="AF26" i="22"/>
  <c r="AT35" i="22"/>
  <c r="J8" i="22"/>
  <c r="J11" i="22"/>
  <c r="AL36" i="22"/>
  <c r="AM36" i="22" s="1"/>
  <c r="AL34" i="22"/>
  <c r="AM34" i="22" s="1"/>
  <c r="AT16" i="22"/>
  <c r="J6" i="22"/>
  <c r="N25" i="22"/>
  <c r="M25" i="22"/>
  <c r="C11" i="22"/>
  <c r="AL30" i="22"/>
  <c r="AM30" i="22" s="1"/>
  <c r="AT30" i="22"/>
  <c r="AT26" i="22"/>
  <c r="K6" i="22"/>
  <c r="AT21" i="22"/>
  <c r="AT20" i="22"/>
  <c r="AL28" i="22"/>
  <c r="AM28" i="22" s="1"/>
  <c r="AL31" i="22"/>
  <c r="AM31" i="22" s="1"/>
  <c r="I11" i="22"/>
  <c r="AL38" i="22"/>
  <c r="AM38" i="22" s="1"/>
  <c r="AT28" i="22"/>
  <c r="AT29" i="22"/>
  <c r="AF15" i="22"/>
  <c r="J7" i="22"/>
  <c r="K7" i="22"/>
  <c r="D7" i="22"/>
  <c r="B11" i="22"/>
  <c r="AF25" i="22"/>
  <c r="B37" i="22"/>
  <c r="D34" i="22"/>
  <c r="AT27" i="22"/>
  <c r="AT24" i="22"/>
  <c r="D38" i="22"/>
  <c r="N30" i="22"/>
  <c r="M30" i="22"/>
  <c r="C37" i="22"/>
  <c r="B34" i="22"/>
  <c r="B31" i="22"/>
  <c r="AL37" i="22"/>
  <c r="AM37" i="22" s="1"/>
  <c r="AF20" i="22"/>
  <c r="AF22" i="22"/>
  <c r="AF18" i="22"/>
  <c r="B38" i="22"/>
  <c r="M32" i="22"/>
  <c r="N32" i="22"/>
  <c r="AL16" i="22"/>
  <c r="AM16" i="22" s="1"/>
  <c r="N26" i="22"/>
  <c r="M26" i="22"/>
  <c r="AT17" i="22"/>
  <c r="C5" i="22"/>
  <c r="K8" i="22"/>
  <c r="H8" i="22"/>
  <c r="D31" i="22"/>
  <c r="K11" i="22"/>
  <c r="AL35" i="22"/>
  <c r="AM35" i="22" s="1"/>
  <c r="AF21" i="22"/>
  <c r="AT22" i="22"/>
  <c r="N33" i="22"/>
  <c r="M33" i="22"/>
  <c r="AL29" i="22"/>
  <c r="AM29" i="22" s="1"/>
  <c r="N22" i="22"/>
  <c r="M22" i="22"/>
  <c r="M19" i="22"/>
  <c r="N19" i="22"/>
  <c r="D37" i="22"/>
  <c r="C31" i="22"/>
  <c r="AT19" i="22"/>
  <c r="C34" i="22"/>
  <c r="AL33" i="22"/>
  <c r="AM33" i="22" s="1"/>
  <c r="AL26" i="22"/>
  <c r="AM26" i="22" s="1"/>
  <c r="BE36" i="22" l="1"/>
  <c r="BE24" i="22"/>
  <c r="D5" i="22"/>
  <c r="J5" i="22"/>
  <c r="BE25" i="22"/>
  <c r="BE26" i="22"/>
  <c r="BE34" i="22"/>
  <c r="BE35" i="22"/>
  <c r="BE33" i="22"/>
  <c r="N7" i="23"/>
  <c r="P7" i="23" s="1"/>
  <c r="AU35" i="23"/>
  <c r="AM15" i="23"/>
  <c r="D11" i="23"/>
  <c r="N11" i="23" s="1"/>
  <c r="P11" i="23" s="1"/>
  <c r="K11" i="23"/>
  <c r="M11" i="23" s="1"/>
  <c r="AU31" i="23"/>
  <c r="AU30" i="23"/>
  <c r="AU28" i="23"/>
  <c r="AM20" i="23"/>
  <c r="AU22" i="23"/>
  <c r="AU29" i="23"/>
  <c r="AU37" i="23"/>
  <c r="AU27" i="23"/>
  <c r="D14" i="23"/>
  <c r="J14" i="23"/>
  <c r="M4" i="23"/>
  <c r="N4" i="23"/>
  <c r="AU38" i="23"/>
  <c r="AU33" i="23"/>
  <c r="N26" i="23"/>
  <c r="M26" i="23"/>
  <c r="AU26" i="23"/>
  <c r="AU36" i="23"/>
  <c r="K8" i="23"/>
  <c r="N37" i="23"/>
  <c r="M37" i="23"/>
  <c r="D8" i="23"/>
  <c r="N6" i="23"/>
  <c r="P6" i="23" s="1"/>
  <c r="M6" i="23"/>
  <c r="N34" i="23"/>
  <c r="M34" i="23"/>
  <c r="N31" i="23"/>
  <c r="M31" i="23"/>
  <c r="N5" i="23"/>
  <c r="P5" i="23" s="1"/>
  <c r="M5" i="23"/>
  <c r="N38" i="23"/>
  <c r="M38" i="23"/>
  <c r="AU31" i="22"/>
  <c r="AU24" i="22"/>
  <c r="AU22" i="22"/>
  <c r="N4" i="22"/>
  <c r="M4" i="22"/>
  <c r="AU19" i="22"/>
  <c r="AU37" i="22"/>
  <c r="N8" i="22"/>
  <c r="P8" i="22" s="1"/>
  <c r="AU28" i="22"/>
  <c r="M11" i="22"/>
  <c r="AU36" i="22"/>
  <c r="AU20" i="22"/>
  <c r="AU23" i="22"/>
  <c r="AU21" i="22"/>
  <c r="M6" i="22"/>
  <c r="N38" i="22"/>
  <c r="M38" i="22"/>
  <c r="AU33" i="22"/>
  <c r="N31" i="22"/>
  <c r="M31" i="22"/>
  <c r="AU29" i="22"/>
  <c r="N34" i="22"/>
  <c r="M34" i="22"/>
  <c r="M37" i="22"/>
  <c r="N37" i="22"/>
  <c r="N6" i="22"/>
  <c r="P6" i="22" s="1"/>
  <c r="AU26" i="22"/>
  <c r="AU30" i="22"/>
  <c r="AU34" i="22"/>
  <c r="N7" i="22"/>
  <c r="P7" i="22" s="1"/>
  <c r="M7" i="22"/>
  <c r="M14" i="22"/>
  <c r="N14" i="22"/>
  <c r="P14" i="22" s="1"/>
  <c r="N11" i="22"/>
  <c r="P11" i="22" s="1"/>
  <c r="M8" i="22"/>
  <c r="AU38" i="22"/>
  <c r="AU27" i="22"/>
  <c r="AU35" i="22"/>
  <c r="N5" i="22" l="1"/>
  <c r="P5" i="22" s="1"/>
  <c r="M5" i="22"/>
  <c r="M14" i="23"/>
  <c r="N14" i="23"/>
  <c r="P14" i="23" s="1"/>
  <c r="N8" i="23"/>
  <c r="P8" i="23"/>
  <c r="M8" i="23"/>
  <c r="R1638" i="16" l="1"/>
  <c r="F1648" i="16"/>
  <c r="F1647" i="16"/>
  <c r="R1639" i="16" s="1"/>
  <c r="F1646" i="16"/>
  <c r="F1645" i="16"/>
  <c r="F1644" i="16"/>
  <c r="F1643" i="16"/>
  <c r="F1642" i="16"/>
  <c r="F1641" i="16"/>
  <c r="F1640" i="16"/>
  <c r="F1639" i="16"/>
  <c r="F1638" i="16"/>
  <c r="O1644" i="16"/>
  <c r="N1644" i="16"/>
  <c r="X1643" i="16"/>
  <c r="O1643" i="16"/>
  <c r="N1643" i="16"/>
  <c r="X1642" i="16"/>
  <c r="O1642" i="16"/>
  <c r="N1642" i="16"/>
  <c r="O1641" i="16"/>
  <c r="N1641" i="16"/>
  <c r="X1640" i="16"/>
  <c r="O1640" i="16"/>
  <c r="S1638" i="16" s="1"/>
  <c r="AE1636" i="16" s="1"/>
  <c r="N1640" i="16"/>
  <c r="X1639" i="16"/>
  <c r="O1639" i="16"/>
  <c r="N1639" i="16"/>
  <c r="O1638" i="16"/>
  <c r="N1638" i="16"/>
  <c r="X1637" i="16"/>
  <c r="O1637" i="16"/>
  <c r="N1637" i="16"/>
  <c r="F1637" i="16"/>
  <c r="R1624" i="16"/>
  <c r="F1631" i="16"/>
  <c r="R1625" i="16" s="1"/>
  <c r="AC1622" i="16" s="1"/>
  <c r="F1632" i="16"/>
  <c r="F1630" i="16"/>
  <c r="F1629" i="16"/>
  <c r="F1628" i="16"/>
  <c r="F1627" i="16"/>
  <c r="F1626" i="16"/>
  <c r="F1625" i="16"/>
  <c r="F1624" i="16"/>
  <c r="R1623" i="16" s="1"/>
  <c r="O1630" i="16"/>
  <c r="N1630" i="16"/>
  <c r="X1629" i="16"/>
  <c r="O1629" i="16"/>
  <c r="N1629" i="16"/>
  <c r="X1628" i="16"/>
  <c r="O1628" i="16"/>
  <c r="S1625" i="16" s="1"/>
  <c r="N1628" i="16"/>
  <c r="O1627" i="16"/>
  <c r="N1627" i="16"/>
  <c r="X1626" i="16"/>
  <c r="O1626" i="16"/>
  <c r="N1626" i="16"/>
  <c r="X1625" i="16"/>
  <c r="O1625" i="16"/>
  <c r="N1625" i="16"/>
  <c r="O1624" i="16"/>
  <c r="N1624" i="16"/>
  <c r="X1623" i="16"/>
  <c r="O1623" i="16"/>
  <c r="N1623" i="16"/>
  <c r="F1623" i="16"/>
  <c r="R1601" i="16"/>
  <c r="R1613" i="16"/>
  <c r="R1612" i="16"/>
  <c r="AA1611" i="16" s="1"/>
  <c r="F1614" i="16"/>
  <c r="R1614" i="16" s="1"/>
  <c r="F1615" i="16"/>
  <c r="F1613" i="16"/>
  <c r="O1619" i="16"/>
  <c r="N1619" i="16"/>
  <c r="X1618" i="16"/>
  <c r="O1618" i="16"/>
  <c r="N1618" i="16"/>
  <c r="X1617" i="16"/>
  <c r="O1617" i="16"/>
  <c r="N1617" i="16"/>
  <c r="O1616" i="16"/>
  <c r="N1616" i="16"/>
  <c r="X1615" i="16"/>
  <c r="O1615" i="16"/>
  <c r="N1615" i="16"/>
  <c r="X1614" i="16"/>
  <c r="O1614" i="16"/>
  <c r="N1614" i="16"/>
  <c r="O1613" i="16"/>
  <c r="N1613" i="16"/>
  <c r="X1612" i="16"/>
  <c r="O1612" i="16"/>
  <c r="N1612" i="16"/>
  <c r="F1612" i="16"/>
  <c r="F1601" i="16"/>
  <c r="R1600" i="16" s="1"/>
  <c r="AA1599" i="16" s="1"/>
  <c r="F1605" i="16"/>
  <c r="F1604" i="16"/>
  <c r="R1602" i="16" s="1"/>
  <c r="F1603" i="16"/>
  <c r="F1589" i="16"/>
  <c r="O1607" i="16"/>
  <c r="N1607" i="16"/>
  <c r="X1606" i="16"/>
  <c r="O1606" i="16"/>
  <c r="N1606" i="16"/>
  <c r="X1605" i="16"/>
  <c r="O1605" i="16"/>
  <c r="N1605" i="16"/>
  <c r="O1604" i="16"/>
  <c r="N1604" i="16"/>
  <c r="X1603" i="16"/>
  <c r="O1603" i="16"/>
  <c r="N1603" i="16"/>
  <c r="X1602" i="16"/>
  <c r="O1602" i="16"/>
  <c r="N1602" i="16"/>
  <c r="O1601" i="16"/>
  <c r="N1601" i="16"/>
  <c r="X1600" i="16"/>
  <c r="O1600" i="16"/>
  <c r="N1600" i="16"/>
  <c r="F1600" i="16"/>
  <c r="F1595" i="16"/>
  <c r="F1594" i="16"/>
  <c r="R1590" i="16" s="1"/>
  <c r="O1595" i="16"/>
  <c r="N1595" i="16"/>
  <c r="X1594" i="16"/>
  <c r="O1594" i="16"/>
  <c r="N1594" i="16"/>
  <c r="X1593" i="16"/>
  <c r="O1593" i="16"/>
  <c r="N1593" i="16"/>
  <c r="F1593" i="16"/>
  <c r="O1592" i="16"/>
  <c r="N1592" i="16"/>
  <c r="F1592" i="16"/>
  <c r="X1591" i="16"/>
  <c r="O1591" i="16"/>
  <c r="N1591" i="16"/>
  <c r="F1591" i="16"/>
  <c r="X1590" i="16"/>
  <c r="O1590" i="16"/>
  <c r="N1590" i="16"/>
  <c r="F1590" i="16"/>
  <c r="R1589" i="16"/>
  <c r="O1589" i="16"/>
  <c r="N1589" i="16"/>
  <c r="R1588" i="16"/>
  <c r="X1588" i="16"/>
  <c r="O1588" i="16"/>
  <c r="N1588" i="16"/>
  <c r="F1588" i="16"/>
  <c r="S1623" i="16" l="1"/>
  <c r="S1639" i="16"/>
  <c r="AF1636" i="16" s="1"/>
  <c r="S1590" i="16"/>
  <c r="AF1587" i="16" s="1"/>
  <c r="S1602" i="16"/>
  <c r="S1601" i="16"/>
  <c r="W1604" i="16" s="1"/>
  <c r="S1600" i="16"/>
  <c r="AD1599" i="16" s="1"/>
  <c r="V1644" i="16"/>
  <c r="AC1636" i="16"/>
  <c r="V1595" i="16"/>
  <c r="AC1587" i="16"/>
  <c r="W1630" i="16"/>
  <c r="AF1622" i="16"/>
  <c r="V1627" i="16"/>
  <c r="AB1622" i="16"/>
  <c r="V1604" i="16"/>
  <c r="AB1599" i="16"/>
  <c r="V1607" i="16"/>
  <c r="AC1599" i="16"/>
  <c r="V1641" i="16"/>
  <c r="AB1636" i="16"/>
  <c r="W1624" i="16"/>
  <c r="AD1622" i="16"/>
  <c r="W1644" i="16"/>
  <c r="V1592" i="16"/>
  <c r="AB1587" i="16"/>
  <c r="V1619" i="16"/>
  <c r="AC1611" i="16"/>
  <c r="W1607" i="16"/>
  <c r="X1607" i="16" s="1"/>
  <c r="AF1599" i="16"/>
  <c r="W1595" i="16"/>
  <c r="X1595" i="16" s="1"/>
  <c r="V1589" i="16"/>
  <c r="AA1587" i="16"/>
  <c r="V1616" i="16"/>
  <c r="AB1611" i="16"/>
  <c r="V1624" i="16"/>
  <c r="AA1622" i="16"/>
  <c r="S1613" i="16"/>
  <c r="S1624" i="16"/>
  <c r="S1640" i="16"/>
  <c r="W1645" i="16" s="1"/>
  <c r="R1637" i="16"/>
  <c r="AA1636" i="16" s="1"/>
  <c r="W1641" i="16"/>
  <c r="V1630" i="16"/>
  <c r="X1630" i="16" s="1"/>
  <c r="R1626" i="16"/>
  <c r="V1631" i="16" s="1"/>
  <c r="S1614" i="16"/>
  <c r="R1615" i="16"/>
  <c r="V1620" i="16" s="1"/>
  <c r="V1613" i="16"/>
  <c r="R1603" i="16"/>
  <c r="V1608" i="16" s="1"/>
  <c r="V1601" i="16"/>
  <c r="S1589" i="16"/>
  <c r="W1589" i="16"/>
  <c r="R1591" i="16"/>
  <c r="V1596" i="16" s="1"/>
  <c r="R1575" i="16"/>
  <c r="F1582" i="16"/>
  <c r="F1581" i="16"/>
  <c r="F1580" i="16"/>
  <c r="F1579" i="16"/>
  <c r="F1578" i="16"/>
  <c r="F1577" i="16"/>
  <c r="F1576" i="16"/>
  <c r="F1583" i="16"/>
  <c r="R1576" i="16" s="1"/>
  <c r="O1581" i="16"/>
  <c r="N1581" i="16"/>
  <c r="X1580" i="16"/>
  <c r="O1580" i="16"/>
  <c r="N1580" i="16"/>
  <c r="X1579" i="16"/>
  <c r="O1579" i="16"/>
  <c r="N1579" i="16"/>
  <c r="O1578" i="16"/>
  <c r="N1578" i="16"/>
  <c r="X1577" i="16"/>
  <c r="O1577" i="16"/>
  <c r="N1577" i="16"/>
  <c r="X1576" i="16"/>
  <c r="O1576" i="16"/>
  <c r="N1576" i="16"/>
  <c r="O1575" i="16"/>
  <c r="N1575" i="16"/>
  <c r="F1575" i="16"/>
  <c r="R1574" i="16" s="1"/>
  <c r="AA1573" i="16" s="1"/>
  <c r="X1574" i="16"/>
  <c r="O1574" i="16"/>
  <c r="N1574" i="16"/>
  <c r="F1574" i="16"/>
  <c r="V1502" i="16"/>
  <c r="F1569" i="16"/>
  <c r="F1567" i="16"/>
  <c r="F1568" i="16"/>
  <c r="F1510" i="16"/>
  <c r="R1495" i="16" s="1"/>
  <c r="AA1494" i="16" s="1"/>
  <c r="F1566" i="16"/>
  <c r="F1565" i="16"/>
  <c r="F1564" i="16"/>
  <c r="F1563" i="16"/>
  <c r="F1562" i="16"/>
  <c r="F1561" i="16"/>
  <c r="F1560" i="16"/>
  <c r="F1559" i="16"/>
  <c r="F1558" i="16"/>
  <c r="F1557" i="16"/>
  <c r="F1556" i="16"/>
  <c r="F1555" i="16"/>
  <c r="F1554" i="16"/>
  <c r="F1553" i="16"/>
  <c r="F1552" i="16"/>
  <c r="F1551" i="16"/>
  <c r="F1550" i="16"/>
  <c r="F1549" i="16"/>
  <c r="F1548" i="16"/>
  <c r="F1547" i="16"/>
  <c r="F1546" i="16"/>
  <c r="F1545" i="16"/>
  <c r="F1544" i="16"/>
  <c r="F1543" i="16"/>
  <c r="F1542" i="16"/>
  <c r="F1541" i="16"/>
  <c r="F1540" i="16"/>
  <c r="F1539" i="16"/>
  <c r="F1538" i="16"/>
  <c r="F1537" i="16"/>
  <c r="F1536" i="16"/>
  <c r="F1535" i="16"/>
  <c r="F1534" i="16"/>
  <c r="F1533" i="16"/>
  <c r="F1532" i="16"/>
  <c r="F1531" i="16"/>
  <c r="F1530" i="16"/>
  <c r="F1529" i="16"/>
  <c r="F1528" i="16"/>
  <c r="F1527" i="16"/>
  <c r="F1526" i="16"/>
  <c r="F1525" i="16"/>
  <c r="F1524" i="16"/>
  <c r="F1523" i="16"/>
  <c r="F1522" i="16"/>
  <c r="F1521" i="16"/>
  <c r="F1520" i="16"/>
  <c r="F1519" i="16"/>
  <c r="F1518" i="16"/>
  <c r="F1517" i="16"/>
  <c r="F1516" i="16"/>
  <c r="F1515" i="16"/>
  <c r="F1514" i="16"/>
  <c r="F1513" i="16"/>
  <c r="F1512" i="16"/>
  <c r="F1511" i="16"/>
  <c r="F1509" i="16"/>
  <c r="F1508" i="16"/>
  <c r="F1507" i="16"/>
  <c r="F1506" i="16"/>
  <c r="F1505" i="16"/>
  <c r="F1504" i="16"/>
  <c r="F1503" i="16"/>
  <c r="F1501" i="16"/>
  <c r="F1500" i="16"/>
  <c r="F1499" i="16"/>
  <c r="F1498" i="16"/>
  <c r="F1497" i="16"/>
  <c r="F1496" i="16"/>
  <c r="X1501" i="16"/>
  <c r="O1501" i="16"/>
  <c r="N1501" i="16"/>
  <c r="X1500" i="16"/>
  <c r="O1500" i="16"/>
  <c r="N1500" i="16"/>
  <c r="O1499" i="16"/>
  <c r="N1499" i="16"/>
  <c r="X1498" i="16"/>
  <c r="O1498" i="16"/>
  <c r="N1498" i="16"/>
  <c r="X1497" i="16"/>
  <c r="O1497" i="16"/>
  <c r="N1497" i="16"/>
  <c r="R1496" i="16"/>
  <c r="O1496" i="16"/>
  <c r="N1496" i="16"/>
  <c r="X1495" i="16"/>
  <c r="O1495" i="16"/>
  <c r="N1495" i="16"/>
  <c r="F1495" i="16"/>
  <c r="R1484" i="16"/>
  <c r="F1485" i="16"/>
  <c r="F1488" i="16"/>
  <c r="F1487" i="16"/>
  <c r="F1486" i="16"/>
  <c r="F1490" i="16"/>
  <c r="F1489" i="16"/>
  <c r="R1485" i="16" s="1"/>
  <c r="O1490" i="16"/>
  <c r="N1490" i="16"/>
  <c r="X1489" i="16"/>
  <c r="O1489" i="16"/>
  <c r="N1489" i="16"/>
  <c r="X1488" i="16"/>
  <c r="O1488" i="16"/>
  <c r="N1488" i="16"/>
  <c r="O1487" i="16"/>
  <c r="N1487" i="16"/>
  <c r="X1486" i="16"/>
  <c r="O1486" i="16"/>
  <c r="N1486" i="16"/>
  <c r="X1485" i="16"/>
  <c r="O1485" i="16"/>
  <c r="N1485" i="16"/>
  <c r="O1484" i="16"/>
  <c r="N1484" i="16"/>
  <c r="F1484" i="16"/>
  <c r="X1483" i="16"/>
  <c r="O1483" i="16"/>
  <c r="N1483" i="16"/>
  <c r="F1483" i="16"/>
  <c r="R1471" i="16"/>
  <c r="F1471" i="16"/>
  <c r="R1470" i="16" s="1"/>
  <c r="F1472" i="16"/>
  <c r="F1474" i="16"/>
  <c r="F1473" i="16"/>
  <c r="R1472" i="16" s="1"/>
  <c r="AC1469" i="16" s="1"/>
  <c r="O1477" i="16"/>
  <c r="N1477" i="16"/>
  <c r="X1476" i="16"/>
  <c r="O1476" i="16"/>
  <c r="N1476" i="16"/>
  <c r="X1475" i="16"/>
  <c r="O1475" i="16"/>
  <c r="N1475" i="16"/>
  <c r="O1474" i="16"/>
  <c r="N1474" i="16"/>
  <c r="X1473" i="16"/>
  <c r="O1473" i="16"/>
  <c r="N1473" i="16"/>
  <c r="X1472" i="16"/>
  <c r="O1472" i="16"/>
  <c r="N1472" i="16"/>
  <c r="O1471" i="16"/>
  <c r="N1471" i="16"/>
  <c r="X1470" i="16"/>
  <c r="O1470" i="16"/>
  <c r="N1470" i="16"/>
  <c r="F1470" i="16"/>
  <c r="F1464" i="16"/>
  <c r="F1463" i="16"/>
  <c r="R1460" i="16" s="1"/>
  <c r="F1460" i="16"/>
  <c r="R1458" i="16" s="1"/>
  <c r="F1462" i="16"/>
  <c r="F1461" i="16"/>
  <c r="F1459" i="16"/>
  <c r="O1465" i="16"/>
  <c r="N1465" i="16"/>
  <c r="X1464" i="16"/>
  <c r="O1464" i="16"/>
  <c r="N1464" i="16"/>
  <c r="X1463" i="16"/>
  <c r="O1463" i="16"/>
  <c r="N1463" i="16"/>
  <c r="O1462" i="16"/>
  <c r="N1462" i="16"/>
  <c r="X1461" i="16"/>
  <c r="O1461" i="16"/>
  <c r="N1461" i="16"/>
  <c r="X1460" i="16"/>
  <c r="O1460" i="16"/>
  <c r="N1460" i="16"/>
  <c r="V1462" i="16"/>
  <c r="O1459" i="16"/>
  <c r="N1459" i="16"/>
  <c r="X1458" i="16"/>
  <c r="O1458" i="16"/>
  <c r="N1458" i="16"/>
  <c r="F1458" i="16"/>
  <c r="R1448" i="16"/>
  <c r="F1451" i="16"/>
  <c r="R1449" i="16" s="1"/>
  <c r="F1450" i="16"/>
  <c r="F1449" i="16"/>
  <c r="R1447" i="16"/>
  <c r="AA1446" i="16" s="1"/>
  <c r="O1454" i="16"/>
  <c r="N1454" i="16"/>
  <c r="X1453" i="16"/>
  <c r="O1453" i="16"/>
  <c r="N1453" i="16"/>
  <c r="X1452" i="16"/>
  <c r="O1452" i="16"/>
  <c r="N1452" i="16"/>
  <c r="O1451" i="16"/>
  <c r="N1451" i="16"/>
  <c r="X1450" i="16"/>
  <c r="O1450" i="16"/>
  <c r="N1450" i="16"/>
  <c r="X1449" i="16"/>
  <c r="O1449" i="16"/>
  <c r="N1449" i="16"/>
  <c r="O1448" i="16"/>
  <c r="N1448" i="16"/>
  <c r="X1447" i="16"/>
  <c r="O1447" i="16"/>
  <c r="N1447" i="16"/>
  <c r="F1447" i="16"/>
  <c r="V1439" i="16"/>
  <c r="F1437" i="16"/>
  <c r="F1436" i="16"/>
  <c r="R1435" i="16" s="1"/>
  <c r="AA1434" i="16" s="1"/>
  <c r="F1442" i="16"/>
  <c r="F1441" i="16"/>
  <c r="R1437" i="16" s="1"/>
  <c r="F1440" i="16"/>
  <c r="F1439" i="16"/>
  <c r="F1438" i="16"/>
  <c r="O1442" i="16"/>
  <c r="N1442" i="16"/>
  <c r="X1441" i="16"/>
  <c r="O1441" i="16"/>
  <c r="N1441" i="16"/>
  <c r="X1440" i="16"/>
  <c r="O1440" i="16"/>
  <c r="N1440" i="16"/>
  <c r="O1439" i="16"/>
  <c r="X1438" i="16" s="1"/>
  <c r="N1439" i="16"/>
  <c r="O1438" i="16"/>
  <c r="N1438" i="16"/>
  <c r="O1437" i="16"/>
  <c r="N1437" i="16"/>
  <c r="O1436" i="16"/>
  <c r="N1436" i="16"/>
  <c r="X1435" i="16"/>
  <c r="O1435" i="16"/>
  <c r="N1435" i="16"/>
  <c r="F1435" i="16"/>
  <c r="F1419" i="16"/>
  <c r="F1418" i="16"/>
  <c r="R1416" i="16" s="1"/>
  <c r="F1428" i="16"/>
  <c r="F1427" i="16"/>
  <c r="F1426" i="16"/>
  <c r="F1425" i="16"/>
  <c r="F1424" i="16"/>
  <c r="F1423" i="16"/>
  <c r="F1422" i="16"/>
  <c r="F1421" i="16"/>
  <c r="F1420" i="16"/>
  <c r="F1430" i="16"/>
  <c r="F1429" i="16"/>
  <c r="R1418" i="16" s="1"/>
  <c r="O1423" i="16"/>
  <c r="N1423" i="16"/>
  <c r="X1416" i="16"/>
  <c r="X1422" i="16"/>
  <c r="O1422" i="16"/>
  <c r="N1422" i="16"/>
  <c r="X1421" i="16"/>
  <c r="O1421" i="16"/>
  <c r="N1421" i="16"/>
  <c r="O1420" i="16"/>
  <c r="W1419" i="16" s="1"/>
  <c r="X1419" i="16" s="1"/>
  <c r="N1420" i="16"/>
  <c r="O1419" i="16"/>
  <c r="N1419" i="16"/>
  <c r="O1418" i="16"/>
  <c r="N1418" i="16"/>
  <c r="R1417" i="16"/>
  <c r="O1417" i="16"/>
  <c r="W1416" i="16" s="1"/>
  <c r="N1417" i="16"/>
  <c r="F1417" i="16"/>
  <c r="O1416" i="16"/>
  <c r="N1416" i="16"/>
  <c r="F1416" i="16"/>
  <c r="R1391" i="16"/>
  <c r="F1400" i="16"/>
  <c r="F1401" i="16"/>
  <c r="F1402" i="16"/>
  <c r="F1403" i="16"/>
  <c r="F1404" i="16"/>
  <c r="F1405" i="16"/>
  <c r="F1406" i="16"/>
  <c r="F1407" i="16"/>
  <c r="F1408" i="16"/>
  <c r="F1399" i="16"/>
  <c r="F1391" i="16"/>
  <c r="F1392" i="16"/>
  <c r="F1393" i="16"/>
  <c r="F1394" i="16"/>
  <c r="F1395" i="16"/>
  <c r="F1411" i="16"/>
  <c r="F1409" i="16"/>
  <c r="R1392" i="16" s="1"/>
  <c r="F1410" i="16"/>
  <c r="F1397" i="16"/>
  <c r="V1390" i="16" s="1"/>
  <c r="F1398" i="16"/>
  <c r="F1396" i="16"/>
  <c r="O1397" i="16"/>
  <c r="O1395" i="16"/>
  <c r="N1397" i="16"/>
  <c r="X1396" i="16"/>
  <c r="O1396" i="16"/>
  <c r="N1396" i="16"/>
  <c r="X1395" i="16"/>
  <c r="N1395" i="16"/>
  <c r="O1394" i="16"/>
  <c r="N1394" i="16"/>
  <c r="X1393" i="16"/>
  <c r="O1393" i="16"/>
  <c r="N1393" i="16"/>
  <c r="X1392" i="16"/>
  <c r="O1392" i="16"/>
  <c r="N1392" i="16"/>
  <c r="O1391" i="16"/>
  <c r="W1390" i="16" s="1"/>
  <c r="N1391" i="16"/>
  <c r="O1390" i="16"/>
  <c r="N1390" i="16"/>
  <c r="F1390" i="16"/>
  <c r="Y22" i="16" l="1"/>
  <c r="Y20" i="16"/>
  <c r="Y27" i="16"/>
  <c r="Y25" i="16"/>
  <c r="S1484" i="16"/>
  <c r="X1644" i="16"/>
  <c r="X1641" i="16"/>
  <c r="X1604" i="16"/>
  <c r="S1603" i="16"/>
  <c r="W1608" i="16" s="1"/>
  <c r="X1608" i="16" s="1"/>
  <c r="W1601" i="16"/>
  <c r="X1624" i="16"/>
  <c r="AE1599" i="16"/>
  <c r="S1391" i="16"/>
  <c r="W1394" i="16" s="1"/>
  <c r="V1581" i="16"/>
  <c r="AC1573" i="16"/>
  <c r="V1490" i="16"/>
  <c r="AC1482" i="16"/>
  <c r="V1442" i="16"/>
  <c r="AC1434" i="16"/>
  <c r="V1451" i="16"/>
  <c r="AB1446" i="16"/>
  <c r="V1474" i="16"/>
  <c r="AB1469" i="16"/>
  <c r="W1487" i="16"/>
  <c r="AE1482" i="16"/>
  <c r="W1619" i="16"/>
  <c r="X1619" i="16" s="1"/>
  <c r="AF1611" i="16"/>
  <c r="V1578" i="16"/>
  <c r="AB1573" i="16"/>
  <c r="W1627" i="16"/>
  <c r="X1627" i="16" s="1"/>
  <c r="AE1622" i="16"/>
  <c r="V1459" i="16"/>
  <c r="AA1457" i="16"/>
  <c r="S1495" i="16"/>
  <c r="AD1494" i="16" s="1"/>
  <c r="W1616" i="16"/>
  <c r="X1616" i="16" s="1"/>
  <c r="AE1611" i="16"/>
  <c r="V1423" i="16"/>
  <c r="AC1415" i="16"/>
  <c r="V1394" i="16"/>
  <c r="AB1389" i="16"/>
  <c r="X1589" i="16"/>
  <c r="V1638" i="16"/>
  <c r="X1638" i="16" s="1"/>
  <c r="V1420" i="16"/>
  <c r="AB1415" i="16"/>
  <c r="S1392" i="16"/>
  <c r="W1592" i="16"/>
  <c r="X1592" i="16" s="1"/>
  <c r="AE1587" i="16"/>
  <c r="R1640" i="16"/>
  <c r="V1645" i="16" s="1"/>
  <c r="X1645" i="16" s="1"/>
  <c r="V1397" i="16"/>
  <c r="AC1389" i="16"/>
  <c r="V1465" i="16"/>
  <c r="AC1457" i="16"/>
  <c r="V1417" i="16"/>
  <c r="AA1415" i="16"/>
  <c r="V1454" i="16"/>
  <c r="AC1446" i="16"/>
  <c r="S1459" i="16"/>
  <c r="V1471" i="16"/>
  <c r="AA1469" i="16"/>
  <c r="V1487" i="16"/>
  <c r="AB1482" i="16"/>
  <c r="V1499" i="16"/>
  <c r="AB1494" i="16"/>
  <c r="S1496" i="16"/>
  <c r="S1497" i="16"/>
  <c r="X1601" i="16"/>
  <c r="S1615" i="16"/>
  <c r="W1620" i="16" s="1"/>
  <c r="X1620" i="16" s="1"/>
  <c r="S1471" i="16"/>
  <c r="S1485" i="16"/>
  <c r="S1626" i="16"/>
  <c r="W1631" i="16" s="1"/>
  <c r="X1631" i="16" s="1"/>
  <c r="S1418" i="16"/>
  <c r="S1472" i="16"/>
  <c r="S1417" i="16"/>
  <c r="R1498" i="16"/>
  <c r="V1503" i="16" s="1"/>
  <c r="S1575" i="16"/>
  <c r="X1613" i="16"/>
  <c r="S1591" i="16"/>
  <c r="W1596" i="16" s="1"/>
  <c r="X1596" i="16" s="1"/>
  <c r="X1390" i="16"/>
  <c r="S1435" i="16"/>
  <c r="S1470" i="16"/>
  <c r="AD1469" i="16" s="1"/>
  <c r="S1574" i="16"/>
  <c r="S1460" i="16"/>
  <c r="S1437" i="16"/>
  <c r="S1448" i="16"/>
  <c r="S1458" i="16"/>
  <c r="W1418" i="16"/>
  <c r="X1418" i="16" s="1"/>
  <c r="S1416" i="16"/>
  <c r="S1436" i="16"/>
  <c r="R1483" i="16"/>
  <c r="S1576" i="16"/>
  <c r="R1577" i="16"/>
  <c r="V1582" i="16" s="1"/>
  <c r="V1575" i="16"/>
  <c r="V1496" i="16"/>
  <c r="S1483" i="16"/>
  <c r="R1473" i="16"/>
  <c r="V1478" i="16" s="1"/>
  <c r="V1477" i="16"/>
  <c r="R1461" i="16"/>
  <c r="V1466" i="16" s="1"/>
  <c r="S1447" i="16"/>
  <c r="S1449" i="16"/>
  <c r="R1450" i="16"/>
  <c r="V1455" i="16" s="1"/>
  <c r="V1448" i="16"/>
  <c r="R1438" i="16"/>
  <c r="V1443" i="16" s="1"/>
  <c r="V1436" i="16"/>
  <c r="X1437" i="16"/>
  <c r="W1417" i="16"/>
  <c r="R1419" i="16"/>
  <c r="V1424" i="16" s="1"/>
  <c r="S1390" i="16"/>
  <c r="S1393" i="16" s="1"/>
  <c r="W1398" i="16" s="1"/>
  <c r="V1391" i="16"/>
  <c r="R1393" i="16"/>
  <c r="V1398" i="16" s="1"/>
  <c r="S1498" i="16" l="1"/>
  <c r="W1503" i="16" s="1"/>
  <c r="X1503" i="16" s="1"/>
  <c r="X1487" i="16"/>
  <c r="X1394" i="16"/>
  <c r="X1417" i="16"/>
  <c r="AE1389" i="16"/>
  <c r="W1471" i="16"/>
  <c r="X1471" i="16" s="1"/>
  <c r="S1419" i="16"/>
  <c r="W1424" i="16" s="1"/>
  <c r="X1424" i="16" s="1"/>
  <c r="AD1415" i="16"/>
  <c r="S1438" i="16"/>
  <c r="W1443" i="16" s="1"/>
  <c r="X1443" i="16" s="1"/>
  <c r="AD1434" i="16"/>
  <c r="W1420" i="16"/>
  <c r="X1420" i="16" s="1"/>
  <c r="AE1415" i="16"/>
  <c r="W1462" i="16"/>
  <c r="X1462" i="16" s="1"/>
  <c r="AE1457" i="16"/>
  <c r="S1461" i="16"/>
  <c r="W1466" i="16" s="1"/>
  <c r="X1466" i="16" s="1"/>
  <c r="AD1457" i="16"/>
  <c r="W1439" i="16"/>
  <c r="X1439" i="16" s="1"/>
  <c r="AE1434" i="16"/>
  <c r="W1502" i="16"/>
  <c r="X1502" i="16" s="1"/>
  <c r="AF1494" i="16"/>
  <c r="W1423" i="16"/>
  <c r="X1423" i="16" s="1"/>
  <c r="AF1415" i="16"/>
  <c r="W1490" i="16"/>
  <c r="X1490" i="16" s="1"/>
  <c r="AF1482" i="16"/>
  <c r="W1477" i="16"/>
  <c r="X1477" i="16" s="1"/>
  <c r="AF1469" i="16"/>
  <c r="W1448" i="16"/>
  <c r="X1448" i="16" s="1"/>
  <c r="AD1446" i="16"/>
  <c r="W1499" i="16"/>
  <c r="X1499" i="16" s="1"/>
  <c r="AE1494" i="16"/>
  <c r="W1484" i="16"/>
  <c r="AD1482" i="16"/>
  <c r="W1442" i="16"/>
  <c r="X1442" i="16" s="1"/>
  <c r="AF1434" i="16"/>
  <c r="W1581" i="16"/>
  <c r="X1581" i="16" s="1"/>
  <c r="AF1573" i="16"/>
  <c r="W1465" i="16"/>
  <c r="X1465" i="16" s="1"/>
  <c r="AF1457" i="16"/>
  <c r="W1474" i="16"/>
  <c r="X1474" i="16" s="1"/>
  <c r="AE1469" i="16"/>
  <c r="W1397" i="16"/>
  <c r="X1397" i="16" s="1"/>
  <c r="AF1389" i="16"/>
  <c r="W1454" i="16"/>
  <c r="X1454" i="16" s="1"/>
  <c r="AF1446" i="16"/>
  <c r="W1451" i="16"/>
  <c r="X1451" i="16" s="1"/>
  <c r="AE1446" i="16"/>
  <c r="W1436" i="16"/>
  <c r="X1436" i="16" s="1"/>
  <c r="W1391" i="16"/>
  <c r="X1391" i="16" s="1"/>
  <c r="AD1389" i="16"/>
  <c r="W1496" i="16"/>
  <c r="R1486" i="16"/>
  <c r="V1491" i="16" s="1"/>
  <c r="AA1482" i="16"/>
  <c r="W1575" i="16"/>
  <c r="X1575" i="16" s="1"/>
  <c r="AD1573" i="16"/>
  <c r="W1578" i="16"/>
  <c r="X1578" i="16" s="1"/>
  <c r="AE1573" i="16"/>
  <c r="W1459" i="16"/>
  <c r="X1459" i="16" s="1"/>
  <c r="S1473" i="16"/>
  <c r="W1478" i="16" s="1"/>
  <c r="X1478" i="16" s="1"/>
  <c r="V1484" i="16"/>
  <c r="X1496" i="16"/>
  <c r="S1577" i="16"/>
  <c r="W1582" i="16" s="1"/>
  <c r="X1582" i="16" s="1"/>
  <c r="S1486" i="16"/>
  <c r="W1491" i="16" s="1"/>
  <c r="S1450" i="16"/>
  <c r="W1455" i="16" s="1"/>
  <c r="X1455" i="16" s="1"/>
  <c r="X1398" i="16"/>
  <c r="V1382" i="16"/>
  <c r="F1380" i="16"/>
  <c r="F1379" i="16"/>
  <c r="R1378" i="16" s="1"/>
  <c r="F1382" i="16"/>
  <c r="R1380" i="16" s="1"/>
  <c r="F1381" i="16"/>
  <c r="F1378" i="16"/>
  <c r="O1385" i="16"/>
  <c r="N1385" i="16"/>
  <c r="X1384" i="16"/>
  <c r="O1384" i="16"/>
  <c r="N1384" i="16"/>
  <c r="X1383" i="16"/>
  <c r="O1383" i="16"/>
  <c r="N1383" i="16"/>
  <c r="O1382" i="16"/>
  <c r="X1380" i="16" s="1"/>
  <c r="N1382" i="16"/>
  <c r="O1381" i="16"/>
  <c r="X1381" i="16" s="1"/>
  <c r="N1381" i="16"/>
  <c r="O1380" i="16"/>
  <c r="N1380" i="16"/>
  <c r="O1379" i="16"/>
  <c r="N1379" i="16"/>
  <c r="X1378" i="16"/>
  <c r="O1378" i="16"/>
  <c r="N1378" i="16"/>
  <c r="R1255" i="16"/>
  <c r="AA1254" i="16" s="1"/>
  <c r="R1268" i="16"/>
  <c r="AB1266" i="16" s="1"/>
  <c r="R1284" i="16"/>
  <c r="AB1282" i="16" s="1"/>
  <c r="R1296" i="16"/>
  <c r="AB1294" i="16" s="1"/>
  <c r="R1295" i="16"/>
  <c r="AA1294" i="16" s="1"/>
  <c r="R1308" i="16"/>
  <c r="AB1306" i="16" s="1"/>
  <c r="R1307" i="16"/>
  <c r="AA1306" i="16" s="1"/>
  <c r="R1320" i="16"/>
  <c r="AB1318" i="16" s="1"/>
  <c r="R1332" i="16"/>
  <c r="AB1330" i="16" s="1"/>
  <c r="R1331" i="16"/>
  <c r="R1344" i="16"/>
  <c r="AB1342" i="16" s="1"/>
  <c r="R1367" i="16"/>
  <c r="AB1365" i="16" s="1"/>
  <c r="AB1009" i="16"/>
  <c r="AB997" i="16"/>
  <c r="AB969" i="16"/>
  <c r="F1369" i="16"/>
  <c r="R1368" i="16" s="1"/>
  <c r="AC1365" i="16" s="1"/>
  <c r="F1367" i="16"/>
  <c r="R1366" i="16" s="1"/>
  <c r="AA1365" i="16" s="1"/>
  <c r="F1368" i="16"/>
  <c r="F1366" i="16"/>
  <c r="O1374" i="16"/>
  <c r="S1368" i="16" s="1"/>
  <c r="N1374" i="16"/>
  <c r="O1373" i="16"/>
  <c r="W1372" i="16" s="1"/>
  <c r="X1372" i="16" s="1"/>
  <c r="N1373" i="16"/>
  <c r="O1372" i="16"/>
  <c r="N1372" i="16"/>
  <c r="X1371" i="16"/>
  <c r="O1371" i="16"/>
  <c r="N1371" i="16"/>
  <c r="O1370" i="16"/>
  <c r="W1368" i="16" s="1"/>
  <c r="X1368" i="16" s="1"/>
  <c r="N1370" i="16"/>
  <c r="O1369" i="16"/>
  <c r="W1369" i="16" s="1"/>
  <c r="X1369" i="16" s="1"/>
  <c r="N1369" i="16"/>
  <c r="O1368" i="16"/>
  <c r="N1368" i="16"/>
  <c r="O1367" i="16"/>
  <c r="N1367" i="16"/>
  <c r="X1366" i="16"/>
  <c r="O1366" i="16"/>
  <c r="N1366" i="16"/>
  <c r="F1361" i="16"/>
  <c r="R1345" i="16" s="1"/>
  <c r="F1362" i="16"/>
  <c r="F1348" i="16"/>
  <c r="F1347" i="16"/>
  <c r="F1346" i="16"/>
  <c r="R1343" i="16" s="1"/>
  <c r="AA1342" i="16" s="1"/>
  <c r="F1320" i="16"/>
  <c r="R1319" i="16" s="1"/>
  <c r="F1360" i="16"/>
  <c r="F1359" i="16"/>
  <c r="F1358" i="16"/>
  <c r="F1357" i="16"/>
  <c r="F1356" i="16"/>
  <c r="F1355" i="16"/>
  <c r="F1354" i="16"/>
  <c r="F1353" i="16"/>
  <c r="F1352" i="16"/>
  <c r="F1351" i="16"/>
  <c r="F1350" i="16"/>
  <c r="F1349" i="16"/>
  <c r="F1345" i="16"/>
  <c r="F1344" i="16"/>
  <c r="O1351" i="16"/>
  <c r="N1351" i="16"/>
  <c r="O1350" i="16"/>
  <c r="W1349" i="16" s="1"/>
  <c r="X1349" i="16" s="1"/>
  <c r="N1350" i="16"/>
  <c r="O1349" i="16"/>
  <c r="N1349" i="16"/>
  <c r="X1348" i="16"/>
  <c r="O1348" i="16"/>
  <c r="N1348" i="16"/>
  <c r="O1347" i="16"/>
  <c r="W1345" i="16" s="1"/>
  <c r="X1345" i="16" s="1"/>
  <c r="N1347" i="16"/>
  <c r="O1346" i="16"/>
  <c r="N1346" i="16"/>
  <c r="O1345" i="16"/>
  <c r="N1345" i="16"/>
  <c r="O1344" i="16"/>
  <c r="N1344" i="16"/>
  <c r="X1343" i="16"/>
  <c r="O1343" i="16"/>
  <c r="N1343" i="16"/>
  <c r="F1343" i="16"/>
  <c r="O1339" i="16"/>
  <c r="N1339" i="16"/>
  <c r="O1338" i="16"/>
  <c r="W1337" i="16" s="1"/>
  <c r="X1337" i="16" s="1"/>
  <c r="N1338" i="16"/>
  <c r="O1337" i="16"/>
  <c r="N1337" i="16"/>
  <c r="X1336" i="16"/>
  <c r="O1336" i="16"/>
  <c r="N1336" i="16"/>
  <c r="O1335" i="16"/>
  <c r="W1333" i="16" s="1"/>
  <c r="X1333" i="16" s="1"/>
  <c r="N1335" i="16"/>
  <c r="F1335" i="16"/>
  <c r="O1334" i="16"/>
  <c r="W1334" i="16" s="1"/>
  <c r="X1334" i="16" s="1"/>
  <c r="N1334" i="16"/>
  <c r="F1334" i="16"/>
  <c r="R1333" i="16" s="1"/>
  <c r="AC1330" i="16" s="1"/>
  <c r="O1333" i="16"/>
  <c r="N1333" i="16"/>
  <c r="F1333" i="16"/>
  <c r="O1332" i="16"/>
  <c r="N1332" i="16"/>
  <c r="X1331" i="16"/>
  <c r="O1331" i="16"/>
  <c r="N1331" i="16"/>
  <c r="F1331" i="16"/>
  <c r="F1323" i="16"/>
  <c r="R1321" i="16" s="1"/>
  <c r="AC1318" i="16" s="1"/>
  <c r="F1322" i="16"/>
  <c r="F1321" i="16"/>
  <c r="F1319" i="16"/>
  <c r="O1327" i="16"/>
  <c r="N1327" i="16"/>
  <c r="O1326" i="16"/>
  <c r="W1325" i="16" s="1"/>
  <c r="X1325" i="16" s="1"/>
  <c r="N1326" i="16"/>
  <c r="O1325" i="16"/>
  <c r="N1325" i="16"/>
  <c r="X1324" i="16"/>
  <c r="O1324" i="16"/>
  <c r="N1324" i="16"/>
  <c r="O1323" i="16"/>
  <c r="W1321" i="16" s="1"/>
  <c r="X1321" i="16" s="1"/>
  <c r="N1323" i="16"/>
  <c r="O1322" i="16"/>
  <c r="W1322" i="16" s="1"/>
  <c r="X1322" i="16" s="1"/>
  <c r="N1322" i="16"/>
  <c r="O1321" i="16"/>
  <c r="N1321" i="16"/>
  <c r="O1320" i="16"/>
  <c r="N1320" i="16"/>
  <c r="X1319" i="16"/>
  <c r="O1319" i="16"/>
  <c r="N1319" i="16"/>
  <c r="F1311" i="16"/>
  <c r="O1315" i="16"/>
  <c r="N1315" i="16"/>
  <c r="O1314" i="16"/>
  <c r="W1313" i="16" s="1"/>
  <c r="X1313" i="16" s="1"/>
  <c r="N1314" i="16"/>
  <c r="O1313" i="16"/>
  <c r="N1313" i="16"/>
  <c r="X1312" i="16"/>
  <c r="O1312" i="16"/>
  <c r="N1312" i="16"/>
  <c r="O1311" i="16"/>
  <c r="W1309" i="16" s="1"/>
  <c r="X1309" i="16" s="1"/>
  <c r="N1311" i="16"/>
  <c r="O1310" i="16"/>
  <c r="W1310" i="16" s="1"/>
  <c r="X1310" i="16" s="1"/>
  <c r="N1310" i="16"/>
  <c r="F1310" i="16"/>
  <c r="R1309" i="16" s="1"/>
  <c r="AC1306" i="16" s="1"/>
  <c r="O1309" i="16"/>
  <c r="N1309" i="16"/>
  <c r="F1309" i="16"/>
  <c r="O1308" i="16"/>
  <c r="N1308" i="16"/>
  <c r="X1307" i="16"/>
  <c r="O1307" i="16"/>
  <c r="N1307" i="16"/>
  <c r="F1307" i="16"/>
  <c r="F1298" i="16"/>
  <c r="R1297" i="16" s="1"/>
  <c r="AC1294" i="16" s="1"/>
  <c r="F1297" i="16"/>
  <c r="O1303" i="16"/>
  <c r="N1303" i="16"/>
  <c r="O1302" i="16"/>
  <c r="W1301" i="16" s="1"/>
  <c r="N1302" i="16"/>
  <c r="X1301" i="16"/>
  <c r="O1301" i="16"/>
  <c r="N1301" i="16"/>
  <c r="X1300" i="16"/>
  <c r="O1300" i="16"/>
  <c r="N1300" i="16"/>
  <c r="O1299" i="16"/>
  <c r="W1297" i="16" s="1"/>
  <c r="X1297" i="16" s="1"/>
  <c r="N1299" i="16"/>
  <c r="O1298" i="16"/>
  <c r="W1298" i="16" s="1"/>
  <c r="X1298" i="16" s="1"/>
  <c r="N1298" i="16"/>
  <c r="O1297" i="16"/>
  <c r="N1297" i="16"/>
  <c r="O1296" i="16"/>
  <c r="N1296" i="16"/>
  <c r="X1295" i="16"/>
  <c r="O1295" i="16"/>
  <c r="N1295" i="16"/>
  <c r="F1295" i="16"/>
  <c r="F1286" i="16"/>
  <c r="F1285" i="16"/>
  <c r="F1284" i="16"/>
  <c r="R1283" i="16" s="1"/>
  <c r="AA1282" i="16" s="1"/>
  <c r="F1269" i="16"/>
  <c r="R1267" i="16" s="1"/>
  <c r="AA1266" i="16" s="1"/>
  <c r="F1290" i="16"/>
  <c r="R1285" i="16" s="1"/>
  <c r="F1289" i="16"/>
  <c r="F1288" i="16"/>
  <c r="F1287" i="16"/>
  <c r="F1283" i="16"/>
  <c r="N1283" i="16"/>
  <c r="O1283" i="16"/>
  <c r="X1283" i="16"/>
  <c r="N1284" i="16"/>
  <c r="O1284" i="16"/>
  <c r="N1285" i="16"/>
  <c r="O1285" i="16"/>
  <c r="N1286" i="16"/>
  <c r="O1286" i="16"/>
  <c r="W1286" i="16" s="1"/>
  <c r="X1286" i="16" s="1"/>
  <c r="N1287" i="16"/>
  <c r="O1287" i="16"/>
  <c r="W1285" i="16" s="1"/>
  <c r="X1285" i="16" s="1"/>
  <c r="N1288" i="16"/>
  <c r="O1288" i="16"/>
  <c r="X1288" i="16"/>
  <c r="N1289" i="16"/>
  <c r="O1289" i="16"/>
  <c r="N1290" i="16"/>
  <c r="O1290" i="16"/>
  <c r="X1289" i="16" s="1"/>
  <c r="N1291" i="16"/>
  <c r="O1291" i="16"/>
  <c r="R1257" i="16"/>
  <c r="R1256" i="16"/>
  <c r="F1262" i="16"/>
  <c r="F1261" i="16"/>
  <c r="F1260" i="16"/>
  <c r="F1263" i="16"/>
  <c r="F1257" i="16"/>
  <c r="F1259" i="16"/>
  <c r="F1258" i="16"/>
  <c r="F1256" i="16"/>
  <c r="O1275" i="16"/>
  <c r="N1275" i="16"/>
  <c r="O1274" i="16"/>
  <c r="N1274" i="16"/>
  <c r="O1273" i="16"/>
  <c r="N1273" i="16"/>
  <c r="X1272" i="16"/>
  <c r="O1272" i="16"/>
  <c r="N1272" i="16"/>
  <c r="O1271" i="16"/>
  <c r="W1269" i="16" s="1"/>
  <c r="X1269" i="16" s="1"/>
  <c r="N1271" i="16"/>
  <c r="O1270" i="16"/>
  <c r="W1270" i="16" s="1"/>
  <c r="X1270" i="16" s="1"/>
  <c r="N1270" i="16"/>
  <c r="F1270" i="16"/>
  <c r="V1274" i="16"/>
  <c r="O1269" i="16"/>
  <c r="N1269" i="16"/>
  <c r="O1268" i="16"/>
  <c r="N1268" i="16"/>
  <c r="F1268" i="16"/>
  <c r="X1267" i="16"/>
  <c r="O1267" i="16"/>
  <c r="N1267" i="16"/>
  <c r="F1267" i="16"/>
  <c r="O1263" i="16"/>
  <c r="N1263" i="16"/>
  <c r="O1262" i="16"/>
  <c r="W1261" i="16" s="1"/>
  <c r="X1261" i="16" s="1"/>
  <c r="N1262" i="16"/>
  <c r="O1261" i="16"/>
  <c r="N1261" i="16"/>
  <c r="X1260" i="16"/>
  <c r="O1260" i="16"/>
  <c r="N1260" i="16"/>
  <c r="O1259" i="16"/>
  <c r="N1259" i="16"/>
  <c r="O1258" i="16"/>
  <c r="W1258" i="16" s="1"/>
  <c r="X1258" i="16" s="1"/>
  <c r="N1258" i="16"/>
  <c r="O1257" i="16"/>
  <c r="N1257" i="16"/>
  <c r="O1256" i="16"/>
  <c r="N1256" i="16"/>
  <c r="X1255" i="16"/>
  <c r="O1255" i="16"/>
  <c r="N1255" i="16"/>
  <c r="F1255" i="16"/>
  <c r="R1234" i="16"/>
  <c r="AB1232" i="16" s="1"/>
  <c r="F1250" i="16"/>
  <c r="F1249" i="16"/>
  <c r="R1235" i="16" s="1"/>
  <c r="AC1232" i="16" s="1"/>
  <c r="F1251" i="16"/>
  <c r="F1242" i="16"/>
  <c r="F1241" i="16"/>
  <c r="F1248" i="16"/>
  <c r="F1247" i="16"/>
  <c r="F1246" i="16"/>
  <c r="F1245" i="16"/>
  <c r="F1244" i="16"/>
  <c r="F1243" i="16"/>
  <c r="F1240" i="16"/>
  <c r="F1239" i="16"/>
  <c r="F1238" i="16"/>
  <c r="F1237" i="16"/>
  <c r="F1236" i="16"/>
  <c r="F1235" i="16"/>
  <c r="F1234" i="16"/>
  <c r="O1240" i="16"/>
  <c r="N1240" i="16"/>
  <c r="X1239" i="16"/>
  <c r="O1239" i="16"/>
  <c r="N1239" i="16"/>
  <c r="X1238" i="16"/>
  <c r="O1238" i="16"/>
  <c r="N1238" i="16"/>
  <c r="O1237" i="16"/>
  <c r="N1237" i="16"/>
  <c r="X1236" i="16"/>
  <c r="O1236" i="16"/>
  <c r="N1236" i="16"/>
  <c r="X1235" i="16"/>
  <c r="O1235" i="16"/>
  <c r="N1235" i="16"/>
  <c r="O1234" i="16"/>
  <c r="N1234" i="16"/>
  <c r="V1234" i="16"/>
  <c r="X1233" i="16"/>
  <c r="O1233" i="16"/>
  <c r="N1233" i="16"/>
  <c r="F1233" i="16"/>
  <c r="O1227" i="16"/>
  <c r="O1229" i="16"/>
  <c r="O1228" i="16"/>
  <c r="F1225" i="16"/>
  <c r="R1224" i="16" s="1"/>
  <c r="AC1221" i="16" s="1"/>
  <c r="F1223" i="16"/>
  <c r="R1222" i="16" s="1"/>
  <c r="AA1221" i="16" s="1"/>
  <c r="F1224" i="16"/>
  <c r="F1222" i="16"/>
  <c r="N1229" i="16"/>
  <c r="X1228" i="16"/>
  <c r="N1228" i="16"/>
  <c r="X1227" i="16"/>
  <c r="N1227" i="16"/>
  <c r="O1226" i="16"/>
  <c r="N1226" i="16"/>
  <c r="X1225" i="16"/>
  <c r="O1225" i="16"/>
  <c r="N1225" i="16"/>
  <c r="X1224" i="16"/>
  <c r="O1224" i="16"/>
  <c r="N1224" i="16"/>
  <c r="R1223" i="16"/>
  <c r="O1223" i="16"/>
  <c r="N1223" i="16"/>
  <c r="X1222" i="16"/>
  <c r="O1222" i="16"/>
  <c r="N1222" i="16"/>
  <c r="R1210" i="16"/>
  <c r="R1209" i="16"/>
  <c r="R1208" i="16"/>
  <c r="AA1207" i="16" s="1"/>
  <c r="F1218" i="16"/>
  <c r="F1217" i="16"/>
  <c r="F1216" i="16"/>
  <c r="F1215" i="16"/>
  <c r="F1214" i="16"/>
  <c r="F1213" i="16"/>
  <c r="F1212" i="16"/>
  <c r="F1211" i="16"/>
  <c r="V1208" i="16" s="1"/>
  <c r="X1208" i="16" s="1"/>
  <c r="F1210" i="16"/>
  <c r="F1209" i="16"/>
  <c r="F1208" i="16"/>
  <c r="O1216" i="16"/>
  <c r="N1216" i="16"/>
  <c r="O1215" i="16"/>
  <c r="W1214" i="16" s="1"/>
  <c r="X1214" i="16" s="1"/>
  <c r="N1215" i="16"/>
  <c r="O1214" i="16"/>
  <c r="N1214" i="16"/>
  <c r="X1213" i="16"/>
  <c r="O1213" i="16"/>
  <c r="N1213" i="16"/>
  <c r="O1212" i="16"/>
  <c r="W1210" i="16" s="1"/>
  <c r="X1210" i="16" s="1"/>
  <c r="N1212" i="16"/>
  <c r="O1211" i="16"/>
  <c r="W1211" i="16" s="1"/>
  <c r="X1211" i="16" s="1"/>
  <c r="N1211" i="16"/>
  <c r="O1210" i="16"/>
  <c r="N1210" i="16"/>
  <c r="O1209" i="16"/>
  <c r="N1209" i="16"/>
  <c r="O1208" i="16"/>
  <c r="N1208" i="16"/>
  <c r="X1167" i="16"/>
  <c r="R1190" i="16"/>
  <c r="V1192" i="16"/>
  <c r="R1188" i="16"/>
  <c r="AA1187" i="16" s="1"/>
  <c r="F1204" i="16"/>
  <c r="F1203" i="16"/>
  <c r="F1202" i="16"/>
  <c r="F1201" i="16"/>
  <c r="F1200" i="16"/>
  <c r="F1199" i="16"/>
  <c r="F1198" i="16"/>
  <c r="F1197" i="16"/>
  <c r="F1195" i="16"/>
  <c r="F1194" i="16"/>
  <c r="F1193" i="16"/>
  <c r="F1192" i="16"/>
  <c r="F1191" i="16"/>
  <c r="F1190" i="16"/>
  <c r="F1189" i="16"/>
  <c r="F1196" i="16"/>
  <c r="F1166" i="16"/>
  <c r="V1165" i="16" s="1"/>
  <c r="O1196" i="16"/>
  <c r="N1196" i="16"/>
  <c r="O1195" i="16"/>
  <c r="W1194" i="16" s="1"/>
  <c r="X1194" i="16" s="1"/>
  <c r="N1195" i="16"/>
  <c r="O1194" i="16"/>
  <c r="N1194" i="16"/>
  <c r="X1193" i="16"/>
  <c r="O1193" i="16"/>
  <c r="N1193" i="16"/>
  <c r="O1192" i="16"/>
  <c r="W1190" i="16" s="1"/>
  <c r="X1190" i="16" s="1"/>
  <c r="N1192" i="16"/>
  <c r="O1191" i="16"/>
  <c r="W1191" i="16" s="1"/>
  <c r="X1191" i="16" s="1"/>
  <c r="N1191" i="16"/>
  <c r="O1190" i="16"/>
  <c r="N1190" i="16"/>
  <c r="O1189" i="16"/>
  <c r="N1189" i="16"/>
  <c r="X1188" i="16"/>
  <c r="O1188" i="16"/>
  <c r="N1188" i="16"/>
  <c r="F1188" i="16"/>
  <c r="O1170" i="16"/>
  <c r="R1166" i="16"/>
  <c r="F1183" i="16"/>
  <c r="F1182" i="16"/>
  <c r="R1167" i="16" s="1"/>
  <c r="F1181" i="16"/>
  <c r="F1180" i="16"/>
  <c r="F1179" i="16"/>
  <c r="F1178" i="16"/>
  <c r="F1177" i="16"/>
  <c r="F1176" i="16"/>
  <c r="F1175" i="16"/>
  <c r="F1174" i="16"/>
  <c r="F1173" i="16"/>
  <c r="F1172" i="16"/>
  <c r="F1171" i="16"/>
  <c r="F1170" i="16"/>
  <c r="F1169" i="16"/>
  <c r="F1168" i="16"/>
  <c r="O1172" i="16"/>
  <c r="N1172" i="16"/>
  <c r="X1171" i="16"/>
  <c r="O1171" i="16"/>
  <c r="N1171" i="16"/>
  <c r="X1170" i="16"/>
  <c r="N1170" i="16"/>
  <c r="O1169" i="16"/>
  <c r="N1169" i="16"/>
  <c r="X1168" i="16"/>
  <c r="O1168" i="16"/>
  <c r="N1168" i="16"/>
  <c r="O1167" i="16"/>
  <c r="N1167" i="16"/>
  <c r="F1167" i="16"/>
  <c r="O1166" i="16"/>
  <c r="N1166" i="16"/>
  <c r="O1165" i="16"/>
  <c r="W1165" i="16" s="1"/>
  <c r="N1165" i="16"/>
  <c r="F1165" i="16"/>
  <c r="O1161" i="16"/>
  <c r="N1161" i="16"/>
  <c r="O1160" i="16"/>
  <c r="W1159" i="16" s="1"/>
  <c r="X1159" i="16" s="1"/>
  <c r="N1160" i="16"/>
  <c r="O1159" i="16"/>
  <c r="N1159" i="16"/>
  <c r="X1158" i="16"/>
  <c r="O1158" i="16"/>
  <c r="N1158" i="16"/>
  <c r="O1157" i="16"/>
  <c r="W1155" i="16" s="1"/>
  <c r="X1155" i="16" s="1"/>
  <c r="N1157" i="16"/>
  <c r="O1156" i="16"/>
  <c r="W1156" i="16" s="1"/>
  <c r="X1156" i="16" s="1"/>
  <c r="N1156" i="16"/>
  <c r="F1156" i="16"/>
  <c r="R1155" i="16"/>
  <c r="O1155" i="16"/>
  <c r="N1155" i="16"/>
  <c r="F1155" i="16"/>
  <c r="R1154" i="16"/>
  <c r="O1154" i="16"/>
  <c r="N1154" i="16"/>
  <c r="F1154" i="16"/>
  <c r="X1153" i="16"/>
  <c r="R1153" i="16"/>
  <c r="AA1152" i="16" s="1"/>
  <c r="O1153" i="16"/>
  <c r="N1153" i="16"/>
  <c r="F1153" i="16"/>
  <c r="N1146" i="16"/>
  <c r="O1146" i="16"/>
  <c r="R1143" i="16"/>
  <c r="R1142" i="16"/>
  <c r="R1141" i="16"/>
  <c r="F1144" i="16"/>
  <c r="F1142" i="16"/>
  <c r="O1149" i="16"/>
  <c r="N1149" i="16"/>
  <c r="O1148" i="16"/>
  <c r="W1147" i="16" s="1"/>
  <c r="N1148" i="16"/>
  <c r="X1147" i="16"/>
  <c r="O1147" i="16"/>
  <c r="N1147" i="16"/>
  <c r="X1146" i="16"/>
  <c r="O1145" i="16"/>
  <c r="N1145" i="16"/>
  <c r="O1144" i="16"/>
  <c r="W1144" i="16" s="1"/>
  <c r="X1144" i="16" s="1"/>
  <c r="N1144" i="16"/>
  <c r="O1143" i="16"/>
  <c r="N1143" i="16"/>
  <c r="F1143" i="16"/>
  <c r="O1142" i="16"/>
  <c r="N1142" i="16"/>
  <c r="X1141" i="16"/>
  <c r="O1141" i="16"/>
  <c r="N1141" i="16"/>
  <c r="F1141" i="16"/>
  <c r="R1130" i="16"/>
  <c r="AB1128" i="16" s="1"/>
  <c r="R1129" i="16"/>
  <c r="AA1128" i="16" s="1"/>
  <c r="F1134" i="16"/>
  <c r="F1133" i="16"/>
  <c r="F1132" i="16"/>
  <c r="R1131" i="16" s="1"/>
  <c r="AC1128" i="16" s="1"/>
  <c r="F1131" i="16"/>
  <c r="X1484" i="16" l="1"/>
  <c r="V1311" i="16"/>
  <c r="V1385" i="16"/>
  <c r="AC1377" i="16"/>
  <c r="V1379" i="16"/>
  <c r="AA1377" i="16"/>
  <c r="X1491" i="16"/>
  <c r="V1148" i="16"/>
  <c r="AC1140" i="16"/>
  <c r="V1172" i="16"/>
  <c r="AC1164" i="16"/>
  <c r="V1259" i="16"/>
  <c r="AB1254" i="16"/>
  <c r="V1332" i="16"/>
  <c r="AA1330" i="16"/>
  <c r="V1262" i="16"/>
  <c r="AC1254" i="16"/>
  <c r="V1350" i="16"/>
  <c r="AC1342" i="16"/>
  <c r="V1373" i="16"/>
  <c r="V1226" i="16"/>
  <c r="AB1221" i="16"/>
  <c r="V1290" i="16"/>
  <c r="AC1282" i="16"/>
  <c r="V1212" i="16"/>
  <c r="AB1207" i="16"/>
  <c r="V1169" i="16"/>
  <c r="AB1164" i="16"/>
  <c r="V1157" i="16"/>
  <c r="AB1152" i="16"/>
  <c r="V1195" i="16"/>
  <c r="AC1187" i="16"/>
  <c r="V1142" i="16"/>
  <c r="AA1140" i="16"/>
  <c r="V1215" i="16"/>
  <c r="AC1207" i="16"/>
  <c r="V1256" i="16"/>
  <c r="V1323" i="16"/>
  <c r="V1320" i="16"/>
  <c r="AA1318" i="16"/>
  <c r="V1145" i="16"/>
  <c r="AB1140" i="16"/>
  <c r="V1160" i="16"/>
  <c r="AC1152" i="16"/>
  <c r="S1166" i="16"/>
  <c r="V1370" i="16"/>
  <c r="V1299" i="16"/>
  <c r="S1234" i="16"/>
  <c r="V1271" i="16"/>
  <c r="V1287" i="16"/>
  <c r="S1256" i="16"/>
  <c r="S1142" i="16"/>
  <c r="S1378" i="16"/>
  <c r="AD1377" i="16" s="1"/>
  <c r="S1167" i="16"/>
  <c r="V1347" i="16"/>
  <c r="S1344" i="16"/>
  <c r="S1379" i="16"/>
  <c r="S1380" i="16"/>
  <c r="R1381" i="16"/>
  <c r="V1386" i="16" s="1"/>
  <c r="S1208" i="16"/>
  <c r="AD1207" i="16" s="1"/>
  <c r="V1237" i="16"/>
  <c r="S1269" i="16"/>
  <c r="S1154" i="16"/>
  <c r="S1223" i="16"/>
  <c r="R1258" i="16"/>
  <c r="V1263" i="16" s="1"/>
  <c r="R1156" i="16"/>
  <c r="V1161" i="16" s="1"/>
  <c r="S1189" i="16"/>
  <c r="S1143" i="16"/>
  <c r="AF1140" i="16" s="1"/>
  <c r="V1302" i="16"/>
  <c r="S1235" i="16"/>
  <c r="AF1232" i="16" s="1"/>
  <c r="S1331" i="16"/>
  <c r="AD1330" i="16" s="1"/>
  <c r="S1190" i="16"/>
  <c r="AF1187" i="16" s="1"/>
  <c r="S1321" i="16"/>
  <c r="AF1318" i="16" s="1"/>
  <c r="S1345" i="16"/>
  <c r="AF1342" i="16" s="1"/>
  <c r="R1211" i="16"/>
  <c r="V1216" i="16" s="1"/>
  <c r="R1310" i="16"/>
  <c r="V1315" i="16" s="1"/>
  <c r="V1314" i="16"/>
  <c r="V1335" i="16"/>
  <c r="S1153" i="16"/>
  <c r="AD1152" i="16" s="1"/>
  <c r="S1210" i="16"/>
  <c r="AF1207" i="16" s="1"/>
  <c r="S1309" i="16"/>
  <c r="AF1306" i="16" s="1"/>
  <c r="W1289" i="16"/>
  <c r="R1165" i="16"/>
  <c r="S1165" i="16"/>
  <c r="AD1164" i="16" s="1"/>
  <c r="S1188" i="16"/>
  <c r="AD1187" i="16" s="1"/>
  <c r="S1307" i="16"/>
  <c r="AD1306" i="16" s="1"/>
  <c r="S1283" i="16"/>
  <c r="S1295" i="16"/>
  <c r="AD1294" i="16" s="1"/>
  <c r="S1255" i="16"/>
  <c r="AD1254" i="16" s="1"/>
  <c r="S1267" i="16"/>
  <c r="AD1266" i="16" s="1"/>
  <c r="X1165" i="16"/>
  <c r="V1223" i="16"/>
  <c r="R1286" i="16"/>
  <c r="V1291" i="16" s="1"/>
  <c r="V1344" i="16"/>
  <c r="S1366" i="16"/>
  <c r="AD1365" i="16" s="1"/>
  <c r="AF1365" i="16"/>
  <c r="R1369" i="16"/>
  <c r="V1374" i="16" s="1"/>
  <c r="V1367" i="16"/>
  <c r="S1367" i="16"/>
  <c r="AE1365" i="16" s="1"/>
  <c r="S1343" i="16"/>
  <c r="AD1342" i="16" s="1"/>
  <c r="R1346" i="16"/>
  <c r="V1351" i="16" s="1"/>
  <c r="W1346" i="16"/>
  <c r="X1346" i="16" s="1"/>
  <c r="S1333" i="16"/>
  <c r="AF1330" i="16" s="1"/>
  <c r="R1334" i="16"/>
  <c r="V1339" i="16" s="1"/>
  <c r="V1338" i="16"/>
  <c r="S1332" i="16"/>
  <c r="AE1330" i="16" s="1"/>
  <c r="S1319" i="16"/>
  <c r="AD1318" i="16" s="1"/>
  <c r="R1322" i="16"/>
  <c r="V1327" i="16" s="1"/>
  <c r="S1320" i="16"/>
  <c r="AE1318" i="16" s="1"/>
  <c r="S1308" i="16"/>
  <c r="AE1306" i="16" s="1"/>
  <c r="V1308" i="16"/>
  <c r="S1297" i="16"/>
  <c r="AF1294" i="16" s="1"/>
  <c r="V1296" i="16"/>
  <c r="R1298" i="16"/>
  <c r="V1303" i="16" s="1"/>
  <c r="S1296" i="16"/>
  <c r="AE1294" i="16" s="1"/>
  <c r="S1285" i="16"/>
  <c r="S1284" i="16"/>
  <c r="AE1282" i="16" s="1"/>
  <c r="V1284" i="16"/>
  <c r="R1270" i="16"/>
  <c r="V1275" i="16" s="1"/>
  <c r="W1273" i="16"/>
  <c r="X1273" i="16" s="1"/>
  <c r="S1268" i="16"/>
  <c r="AE1266" i="16" s="1"/>
  <c r="W1257" i="16"/>
  <c r="X1257" i="16" s="1"/>
  <c r="S1257" i="16"/>
  <c r="AF1254" i="16" s="1"/>
  <c r="V1268" i="16"/>
  <c r="S1233" i="16"/>
  <c r="AD1232" i="16" s="1"/>
  <c r="V1240" i="16"/>
  <c r="R1236" i="16"/>
  <c r="V1241" i="16" s="1"/>
  <c r="S1222" i="16"/>
  <c r="AD1221" i="16" s="1"/>
  <c r="V1229" i="16"/>
  <c r="R1225" i="16"/>
  <c r="V1230" i="16" s="1"/>
  <c r="S1224" i="16"/>
  <c r="AF1221" i="16" s="1"/>
  <c r="S1209" i="16"/>
  <c r="AE1207" i="16" s="1"/>
  <c r="V1209" i="16"/>
  <c r="R1191" i="16"/>
  <c r="V1196" i="16" s="1"/>
  <c r="V1189" i="16"/>
  <c r="S1155" i="16"/>
  <c r="AF1152" i="16" s="1"/>
  <c r="V1154" i="16"/>
  <c r="W1143" i="16"/>
  <c r="X1143" i="16" s="1"/>
  <c r="S1141" i="16"/>
  <c r="R1144" i="16"/>
  <c r="V1149" i="16" s="1"/>
  <c r="O1136" i="16"/>
  <c r="N1136" i="16"/>
  <c r="X1135" i="16"/>
  <c r="O1135" i="16"/>
  <c r="N1135" i="16"/>
  <c r="X1134" i="16"/>
  <c r="O1134" i="16"/>
  <c r="N1134" i="16"/>
  <c r="O1133" i="16"/>
  <c r="N1133" i="16"/>
  <c r="X1132" i="16"/>
  <c r="O1132" i="16"/>
  <c r="N1132" i="16"/>
  <c r="X1131" i="16"/>
  <c r="V1136" i="16"/>
  <c r="O1131" i="16"/>
  <c r="N1131" i="16"/>
  <c r="V1133" i="16"/>
  <c r="O1130" i="16"/>
  <c r="N1130" i="16"/>
  <c r="X1129" i="16"/>
  <c r="V1130" i="16"/>
  <c r="O1129" i="16"/>
  <c r="N1129" i="16"/>
  <c r="F1129" i="16"/>
  <c r="F1120" i="16"/>
  <c r="R1119" i="16" s="1"/>
  <c r="AC1116" i="16" s="1"/>
  <c r="F1118" i="16"/>
  <c r="R1117" i="16" s="1"/>
  <c r="AA1116" i="16" s="1"/>
  <c r="F1119" i="16"/>
  <c r="F1117" i="16"/>
  <c r="O1125" i="16"/>
  <c r="N1125" i="16"/>
  <c r="O1124" i="16"/>
  <c r="W1123" i="16" s="1"/>
  <c r="N1124" i="16"/>
  <c r="X1123" i="16"/>
  <c r="O1123" i="16"/>
  <c r="N1123" i="16"/>
  <c r="X1122" i="16"/>
  <c r="O1122" i="16"/>
  <c r="N1122" i="16"/>
  <c r="V1121" i="16"/>
  <c r="O1121" i="16"/>
  <c r="W1119" i="16" s="1"/>
  <c r="X1119" i="16" s="1"/>
  <c r="N1121" i="16"/>
  <c r="O1120" i="16"/>
  <c r="W1120" i="16" s="1"/>
  <c r="X1120" i="16" s="1"/>
  <c r="N1120" i="16"/>
  <c r="O1119" i="16"/>
  <c r="N1119" i="16"/>
  <c r="O1118" i="16"/>
  <c r="N1118" i="16"/>
  <c r="X1117" i="16"/>
  <c r="O1117" i="16"/>
  <c r="N1117" i="16"/>
  <c r="F1105" i="16"/>
  <c r="R1104" i="16" s="1"/>
  <c r="AA1103" i="16" s="1"/>
  <c r="F1107" i="16"/>
  <c r="R1106" i="16" s="1"/>
  <c r="AC1103" i="16" s="1"/>
  <c r="F1106" i="16"/>
  <c r="F1104" i="16"/>
  <c r="O1112" i="16"/>
  <c r="N1112" i="16"/>
  <c r="O1111" i="16"/>
  <c r="W1110" i="16" s="1"/>
  <c r="N1111" i="16"/>
  <c r="X1110" i="16"/>
  <c r="O1110" i="16"/>
  <c r="N1110" i="16"/>
  <c r="X1109" i="16"/>
  <c r="O1109" i="16"/>
  <c r="N1109" i="16"/>
  <c r="V1108" i="16"/>
  <c r="O1108" i="16"/>
  <c r="W1106" i="16" s="1"/>
  <c r="X1106" i="16" s="1"/>
  <c r="N1108" i="16"/>
  <c r="O1107" i="16"/>
  <c r="W1107" i="16" s="1"/>
  <c r="X1107" i="16" s="1"/>
  <c r="N1107" i="16"/>
  <c r="O1106" i="16"/>
  <c r="N1106" i="16"/>
  <c r="O1105" i="16"/>
  <c r="N1105" i="16"/>
  <c r="X1104" i="16"/>
  <c r="O1104" i="16"/>
  <c r="N1104" i="16"/>
  <c r="O1100" i="16"/>
  <c r="N1100" i="16"/>
  <c r="O1099" i="16"/>
  <c r="W1098" i="16" s="1"/>
  <c r="X1098" i="16" s="1"/>
  <c r="N1099" i="16"/>
  <c r="O1098" i="16"/>
  <c r="N1098" i="16"/>
  <c r="X1097" i="16"/>
  <c r="O1097" i="16"/>
  <c r="N1097" i="16"/>
  <c r="V1096" i="16"/>
  <c r="O1096" i="16"/>
  <c r="W1094" i="16" s="1"/>
  <c r="X1094" i="16" s="1"/>
  <c r="N1096" i="16"/>
  <c r="O1095" i="16"/>
  <c r="W1095" i="16" s="1"/>
  <c r="X1095" i="16" s="1"/>
  <c r="N1095" i="16"/>
  <c r="F1095" i="16"/>
  <c r="R1094" i="16" s="1"/>
  <c r="AC1091" i="16" s="1"/>
  <c r="O1094" i="16"/>
  <c r="N1094" i="16"/>
  <c r="F1094" i="16"/>
  <c r="O1093" i="16"/>
  <c r="N1093" i="16"/>
  <c r="R1092" i="16"/>
  <c r="AA1091" i="16" s="1"/>
  <c r="X1092" i="16"/>
  <c r="O1092" i="16"/>
  <c r="N1092" i="16"/>
  <c r="F1092" i="16"/>
  <c r="R1081" i="16"/>
  <c r="AB1079" i="16" s="1"/>
  <c r="F1084" i="16"/>
  <c r="R1082" i="16" s="1"/>
  <c r="AC1079" i="16" s="1"/>
  <c r="N1085" i="16"/>
  <c r="N1086" i="16"/>
  <c r="N1087" i="16"/>
  <c r="N1075" i="16"/>
  <c r="N1074" i="16"/>
  <c r="N1073" i="16"/>
  <c r="O1087" i="16"/>
  <c r="X1086" i="16"/>
  <c r="O1086" i="16"/>
  <c r="X1085" i="16"/>
  <c r="O1085" i="16"/>
  <c r="O1084" i="16"/>
  <c r="N1084" i="16"/>
  <c r="X1083" i="16"/>
  <c r="O1083" i="16"/>
  <c r="N1083" i="16"/>
  <c r="F1083" i="16"/>
  <c r="X1082" i="16"/>
  <c r="O1082" i="16"/>
  <c r="N1082" i="16"/>
  <c r="F1082" i="16"/>
  <c r="O1081" i="16"/>
  <c r="N1081" i="16"/>
  <c r="R1080" i="16"/>
  <c r="AA1079" i="16" s="1"/>
  <c r="X1080" i="16"/>
  <c r="O1080" i="16"/>
  <c r="N1080" i="16"/>
  <c r="F1080" i="16"/>
  <c r="V1072" i="16"/>
  <c r="F1074" i="16"/>
  <c r="R1070" i="16" s="1"/>
  <c r="AC1067" i="16" s="1"/>
  <c r="F1075" i="16"/>
  <c r="F1069" i="16"/>
  <c r="R1068" i="16" s="1"/>
  <c r="AA1067" i="16" s="1"/>
  <c r="F1073" i="16"/>
  <c r="F1072" i="16"/>
  <c r="F1071" i="16"/>
  <c r="F1070" i="16"/>
  <c r="O1075" i="16"/>
  <c r="X1074" i="16"/>
  <c r="O1074" i="16"/>
  <c r="X1073" i="16"/>
  <c r="O1073" i="16"/>
  <c r="O1072" i="16"/>
  <c r="N1072" i="16"/>
  <c r="X1071" i="16"/>
  <c r="O1071" i="16"/>
  <c r="N1071" i="16"/>
  <c r="X1070" i="16"/>
  <c r="O1070" i="16"/>
  <c r="N1070" i="16"/>
  <c r="O1069" i="16"/>
  <c r="N1069" i="16"/>
  <c r="X1068" i="16"/>
  <c r="O1068" i="16"/>
  <c r="N1068" i="16"/>
  <c r="F1068" i="16"/>
  <c r="R1050" i="16"/>
  <c r="AB1048" i="16" s="1"/>
  <c r="O1056" i="16"/>
  <c r="N1056" i="16"/>
  <c r="O1055" i="16"/>
  <c r="N1055" i="16"/>
  <c r="O1054" i="16"/>
  <c r="N1054" i="16"/>
  <c r="F1056" i="16"/>
  <c r="R1049" i="16" s="1"/>
  <c r="AA1048" i="16" s="1"/>
  <c r="F1038" i="16"/>
  <c r="R1037" i="16" s="1"/>
  <c r="AA1036" i="16" s="1"/>
  <c r="F1064" i="16"/>
  <c r="F1063" i="16"/>
  <c r="F1062" i="16"/>
  <c r="R1051" i="16" s="1"/>
  <c r="AC1048" i="16" s="1"/>
  <c r="F1061" i="16"/>
  <c r="F1060" i="16"/>
  <c r="F1059" i="16"/>
  <c r="F1058" i="16"/>
  <c r="F1057" i="16"/>
  <c r="F1055" i="16"/>
  <c r="F1054" i="16"/>
  <c r="F1053" i="16"/>
  <c r="F1052" i="16"/>
  <c r="F1051" i="16"/>
  <c r="F1050" i="16"/>
  <c r="F1049" i="16"/>
  <c r="X1055" i="16"/>
  <c r="X1054" i="16"/>
  <c r="O1053" i="16"/>
  <c r="X1051" i="16" s="1"/>
  <c r="N1053" i="16"/>
  <c r="O1052" i="16"/>
  <c r="X1052" i="16" s="1"/>
  <c r="N1052" i="16"/>
  <c r="O1051" i="16"/>
  <c r="N1051" i="16"/>
  <c r="O1050" i="16"/>
  <c r="N1050" i="16"/>
  <c r="X1049" i="16"/>
  <c r="O1049" i="16"/>
  <c r="W1049" i="16" s="1"/>
  <c r="N1049" i="16"/>
  <c r="F1041" i="16"/>
  <c r="F1040" i="16"/>
  <c r="F1039" i="16"/>
  <c r="O1045" i="16"/>
  <c r="N1045" i="16"/>
  <c r="O1044" i="16"/>
  <c r="W1043" i="16" s="1"/>
  <c r="X1043" i="16" s="1"/>
  <c r="N1044" i="16"/>
  <c r="O1043" i="16"/>
  <c r="N1043" i="16"/>
  <c r="X1042" i="16"/>
  <c r="O1042" i="16"/>
  <c r="N1042" i="16"/>
  <c r="V1041" i="16"/>
  <c r="O1041" i="16"/>
  <c r="W1039" i="16" s="1"/>
  <c r="X1039" i="16" s="1"/>
  <c r="N1041" i="16"/>
  <c r="O1040" i="16"/>
  <c r="N1040" i="16"/>
  <c r="R1039" i="16"/>
  <c r="AC1036" i="16" s="1"/>
  <c r="O1039" i="16"/>
  <c r="N1039" i="16"/>
  <c r="O1038" i="16"/>
  <c r="N1038" i="16"/>
  <c r="X1037" i="16"/>
  <c r="O1037" i="16"/>
  <c r="N1037" i="16"/>
  <c r="F1037" i="16"/>
  <c r="F1029" i="16"/>
  <c r="R1026" i="16" s="1"/>
  <c r="AC1023" i="16" s="1"/>
  <c r="F1030" i="16"/>
  <c r="F1028" i="16"/>
  <c r="F1027" i="16"/>
  <c r="F1025" i="16"/>
  <c r="O1032" i="16"/>
  <c r="N1032" i="16"/>
  <c r="O1031" i="16"/>
  <c r="W1030" i="16" s="1"/>
  <c r="X1030" i="16" s="1"/>
  <c r="N1031" i="16"/>
  <c r="O1030" i="16"/>
  <c r="N1030" i="16"/>
  <c r="X1029" i="16"/>
  <c r="O1029" i="16"/>
  <c r="N1029" i="16"/>
  <c r="V1028" i="16"/>
  <c r="O1028" i="16"/>
  <c r="W1026" i="16" s="1"/>
  <c r="X1026" i="16" s="1"/>
  <c r="N1028" i="16"/>
  <c r="O1027" i="16"/>
  <c r="W1027" i="16" s="1"/>
  <c r="X1027" i="16" s="1"/>
  <c r="N1027" i="16"/>
  <c r="O1026" i="16"/>
  <c r="N1026" i="16"/>
  <c r="O1025" i="16"/>
  <c r="N1025" i="16"/>
  <c r="X1024" i="16"/>
  <c r="R1024" i="16"/>
  <c r="AA1023" i="16" s="1"/>
  <c r="O1024" i="16"/>
  <c r="N1024" i="16"/>
  <c r="F1024" i="16"/>
  <c r="F1020" i="16"/>
  <c r="F1019" i="16"/>
  <c r="R1012" i="16" s="1"/>
  <c r="F1017" i="16"/>
  <c r="F1016" i="16"/>
  <c r="R1010" i="16" s="1"/>
  <c r="AA1009" i="16" s="1"/>
  <c r="F1018" i="16"/>
  <c r="F1015" i="16"/>
  <c r="F1014" i="16"/>
  <c r="F1013" i="16"/>
  <c r="F1012" i="16"/>
  <c r="F1011" i="16"/>
  <c r="F1010" i="16"/>
  <c r="O1018" i="16"/>
  <c r="N1018" i="16"/>
  <c r="O1017" i="16"/>
  <c r="W1016" i="16" s="1"/>
  <c r="X1016" i="16" s="1"/>
  <c r="N1017" i="16"/>
  <c r="O1016" i="16"/>
  <c r="N1016" i="16"/>
  <c r="X1015" i="16"/>
  <c r="O1015" i="16"/>
  <c r="N1015" i="16"/>
  <c r="V1014" i="16"/>
  <c r="O1014" i="16"/>
  <c r="W1012" i="16" s="1"/>
  <c r="X1012" i="16" s="1"/>
  <c r="N1014" i="16"/>
  <c r="O1013" i="16"/>
  <c r="N1013" i="16"/>
  <c r="O1012" i="16"/>
  <c r="N1012" i="16"/>
  <c r="O1011" i="16"/>
  <c r="N1011" i="16"/>
  <c r="X1010" i="16"/>
  <c r="O1010" i="16"/>
  <c r="N1010" i="16"/>
  <c r="F1003" i="16"/>
  <c r="F1002" i="16"/>
  <c r="F1001" i="16"/>
  <c r="F999" i="16"/>
  <c r="O1006" i="16"/>
  <c r="N1006" i="16"/>
  <c r="O1005" i="16"/>
  <c r="W1004" i="16" s="1"/>
  <c r="X1004" i="16" s="1"/>
  <c r="N1005" i="16"/>
  <c r="O1004" i="16"/>
  <c r="N1004" i="16"/>
  <c r="X1003" i="16"/>
  <c r="O1003" i="16"/>
  <c r="N1003" i="16"/>
  <c r="O1002" i="16"/>
  <c r="N1002" i="16"/>
  <c r="O1001" i="16"/>
  <c r="N1001" i="16"/>
  <c r="O1000" i="16"/>
  <c r="N1000" i="16"/>
  <c r="V1002" i="16"/>
  <c r="O999" i="16"/>
  <c r="N999" i="16"/>
  <c r="X998" i="16"/>
  <c r="R998" i="16"/>
  <c r="O998" i="16"/>
  <c r="N998" i="16"/>
  <c r="F998" i="16"/>
  <c r="R986" i="16"/>
  <c r="R987" i="16"/>
  <c r="AB985" i="16" s="1"/>
  <c r="F990" i="16"/>
  <c r="F989" i="16"/>
  <c r="R988" i="16" s="1"/>
  <c r="F988" i="16"/>
  <c r="O994" i="16"/>
  <c r="N994" i="16"/>
  <c r="O993" i="16"/>
  <c r="W992" i="16" s="1"/>
  <c r="X992" i="16" s="1"/>
  <c r="N993" i="16"/>
  <c r="O992" i="16"/>
  <c r="N992" i="16"/>
  <c r="X991" i="16"/>
  <c r="O991" i="16"/>
  <c r="N991" i="16"/>
  <c r="F991" i="16"/>
  <c r="O990" i="16"/>
  <c r="W988" i="16" s="1"/>
  <c r="X988" i="16" s="1"/>
  <c r="N990" i="16"/>
  <c r="O989" i="16"/>
  <c r="W989" i="16" s="1"/>
  <c r="X989" i="16" s="1"/>
  <c r="N989" i="16"/>
  <c r="O988" i="16"/>
  <c r="N988" i="16"/>
  <c r="O987" i="16"/>
  <c r="N987" i="16"/>
  <c r="X986" i="16"/>
  <c r="O986" i="16"/>
  <c r="N986" i="16"/>
  <c r="F986" i="16"/>
  <c r="V974" i="16"/>
  <c r="F981" i="16"/>
  <c r="R972" i="16" s="1"/>
  <c r="F980" i="16"/>
  <c r="F979" i="16"/>
  <c r="F978" i="16"/>
  <c r="F977" i="16"/>
  <c r="F976" i="16"/>
  <c r="F975" i="16"/>
  <c r="F974" i="16"/>
  <c r="R970" i="16" s="1"/>
  <c r="F953" i="16"/>
  <c r="R952" i="16" s="1"/>
  <c r="R953" i="16"/>
  <c r="F973" i="16"/>
  <c r="F972" i="16"/>
  <c r="F971" i="16"/>
  <c r="F970" i="16"/>
  <c r="O978" i="16"/>
  <c r="N978" i="16"/>
  <c r="O977" i="16"/>
  <c r="X976" i="16" s="1"/>
  <c r="N977" i="16"/>
  <c r="O976" i="16"/>
  <c r="N976" i="16"/>
  <c r="X975" i="16"/>
  <c r="O975" i="16"/>
  <c r="N975" i="16"/>
  <c r="O974" i="16"/>
  <c r="W972" i="16" s="1"/>
  <c r="X972" i="16" s="1"/>
  <c r="N974" i="16"/>
  <c r="O973" i="16"/>
  <c r="N973" i="16"/>
  <c r="O972" i="16"/>
  <c r="N972" i="16"/>
  <c r="O971" i="16"/>
  <c r="N971" i="16"/>
  <c r="X970" i="16"/>
  <c r="O970" i="16"/>
  <c r="N970" i="16"/>
  <c r="O959" i="16"/>
  <c r="S954" i="16" s="1"/>
  <c r="N959" i="16"/>
  <c r="N958" i="16"/>
  <c r="N957" i="16"/>
  <c r="O956" i="16"/>
  <c r="N956" i="16"/>
  <c r="O955" i="16"/>
  <c r="N955" i="16"/>
  <c r="O954" i="16"/>
  <c r="N954" i="16"/>
  <c r="O953" i="16"/>
  <c r="N953" i="16"/>
  <c r="O952" i="16"/>
  <c r="N952" i="16"/>
  <c r="F952" i="16"/>
  <c r="F965" i="16"/>
  <c r="F964" i="16"/>
  <c r="F963" i="16"/>
  <c r="R954" i="16" s="1"/>
  <c r="F955" i="16"/>
  <c r="F956" i="16"/>
  <c r="F957" i="16"/>
  <c r="F958" i="16"/>
  <c r="F959" i="16"/>
  <c r="F960" i="16"/>
  <c r="F961" i="16"/>
  <c r="F962" i="16"/>
  <c r="F954" i="16"/>
  <c r="X958" i="16"/>
  <c r="X957" i="16"/>
  <c r="X955" i="16"/>
  <c r="X954" i="16"/>
  <c r="X952" i="16"/>
  <c r="W1379" i="16" l="1"/>
  <c r="X1379" i="16" s="1"/>
  <c r="W1382" i="16"/>
  <c r="X1382" i="16" s="1"/>
  <c r="AE1377" i="16"/>
  <c r="W1320" i="16"/>
  <c r="X1320" i="16" s="1"/>
  <c r="W1385" i="16"/>
  <c r="X1385" i="16" s="1"/>
  <c r="AF1377" i="16"/>
  <c r="AF1282" i="16"/>
  <c r="W1192" i="16"/>
  <c r="X1192" i="16" s="1"/>
  <c r="AE1187" i="16"/>
  <c r="W1237" i="16"/>
  <c r="AE1232" i="16"/>
  <c r="W1284" i="16"/>
  <c r="X1284" i="16" s="1"/>
  <c r="AD1282" i="16"/>
  <c r="W1157" i="16"/>
  <c r="X1157" i="16" s="1"/>
  <c r="AE1152" i="16"/>
  <c r="W1145" i="16"/>
  <c r="X1145" i="16" s="1"/>
  <c r="AE1140" i="16"/>
  <c r="W1259" i="16"/>
  <c r="X1259" i="16" s="1"/>
  <c r="AE1254" i="16"/>
  <c r="W1274" i="16"/>
  <c r="X1274" i="16" s="1"/>
  <c r="AF1266" i="16"/>
  <c r="V1166" i="16"/>
  <c r="AA1164" i="16"/>
  <c r="W1347" i="16"/>
  <c r="X1347" i="16" s="1"/>
  <c r="AE1342" i="16"/>
  <c r="W1142" i="16"/>
  <c r="X1142" i="16" s="1"/>
  <c r="AD1140" i="16"/>
  <c r="W1169" i="16"/>
  <c r="X1169" i="16" s="1"/>
  <c r="AE1164" i="16"/>
  <c r="W1226" i="16"/>
  <c r="X1226" i="16" s="1"/>
  <c r="AE1221" i="16"/>
  <c r="W1172" i="16"/>
  <c r="X1172" i="16" s="1"/>
  <c r="AF1164" i="16"/>
  <c r="X1237" i="16"/>
  <c r="S1081" i="16"/>
  <c r="AE1079" i="16" s="1"/>
  <c r="S1118" i="16"/>
  <c r="S1131" i="16"/>
  <c r="AF1141" i="16" s="1"/>
  <c r="W1209" i="16"/>
  <c r="X1209" i="16" s="1"/>
  <c r="AF1177" i="16"/>
  <c r="S1236" i="16"/>
  <c r="W1241" i="16" s="1"/>
  <c r="R1168" i="16"/>
  <c r="V1173" i="16" s="1"/>
  <c r="AF1279" i="16"/>
  <c r="W1148" i="16"/>
  <c r="X1148" i="16" s="1"/>
  <c r="S1051" i="16"/>
  <c r="S1082" i="16"/>
  <c r="AF1079" i="16" s="1"/>
  <c r="S1381" i="16"/>
  <c r="W1386" i="16" s="1"/>
  <c r="X1386" i="16" s="1"/>
  <c r="S1168" i="16"/>
  <c r="W1173" i="16" s="1"/>
  <c r="W1154" i="16"/>
  <c r="X1154" i="16" s="1"/>
  <c r="W1189" i="16"/>
  <c r="S971" i="16"/>
  <c r="AE969" i="16" s="1"/>
  <c r="S953" i="16"/>
  <c r="AE951" i="16" s="1"/>
  <c r="S987" i="16"/>
  <c r="AE985" i="16" s="1"/>
  <c r="W1256" i="16"/>
  <c r="X1256" i="16" s="1"/>
  <c r="S999" i="16"/>
  <c r="W1002" i="16" s="1"/>
  <c r="X1002" i="16" s="1"/>
  <c r="S1069" i="16"/>
  <c r="AE1067" i="16" s="1"/>
  <c r="AC985" i="16"/>
  <c r="V993" i="16"/>
  <c r="V1087" i="16"/>
  <c r="W959" i="16"/>
  <c r="AF951" i="16"/>
  <c r="V1031" i="16"/>
  <c r="W1087" i="16"/>
  <c r="S1025" i="16"/>
  <c r="AE1023" i="16" s="1"/>
  <c r="S970" i="16"/>
  <c r="AD969" i="16" s="1"/>
  <c r="W1373" i="16"/>
  <c r="X1373" i="16" s="1"/>
  <c r="AF1378" i="16"/>
  <c r="W973" i="16"/>
  <c r="X973" i="16" s="1"/>
  <c r="V956" i="16"/>
  <c r="AB951" i="16"/>
  <c r="V987" i="16"/>
  <c r="AA985" i="16"/>
  <c r="V1025" i="16"/>
  <c r="V1075" i="16"/>
  <c r="S1130" i="16"/>
  <c r="AE1128" i="16" s="1"/>
  <c r="W1332" i="16"/>
  <c r="X1332" i="16" s="1"/>
  <c r="W1195" i="16"/>
  <c r="X1195" i="16" s="1"/>
  <c r="W1160" i="16"/>
  <c r="X1160" i="16" s="1"/>
  <c r="AF1165" i="16"/>
  <c r="V999" i="16"/>
  <c r="AA997" i="16"/>
  <c r="V990" i="16"/>
  <c r="V1084" i="16"/>
  <c r="W1212" i="16"/>
  <c r="X1212" i="16" s="1"/>
  <c r="W1262" i="16"/>
  <c r="X1262" i="16" s="1"/>
  <c r="AF1267" i="16"/>
  <c r="W1311" i="16"/>
  <c r="X1311" i="16" s="1"/>
  <c r="W1370" i="16"/>
  <c r="X1370" i="16" s="1"/>
  <c r="W1287" i="16"/>
  <c r="X1287" i="16" s="1"/>
  <c r="W1229" i="16"/>
  <c r="X1229" i="16" s="1"/>
  <c r="W1271" i="16"/>
  <c r="X1271" i="16" s="1"/>
  <c r="W1323" i="16"/>
  <c r="X1323" i="16" s="1"/>
  <c r="W1338" i="16"/>
  <c r="X1338" i="16" s="1"/>
  <c r="W1240" i="16"/>
  <c r="X1240" i="16" s="1"/>
  <c r="S988" i="16"/>
  <c r="S1119" i="16"/>
  <c r="AF1116" i="16" s="1"/>
  <c r="W1314" i="16"/>
  <c r="X1314" i="16" s="1"/>
  <c r="AF1319" i="16"/>
  <c r="W1350" i="16"/>
  <c r="X1350" i="16" s="1"/>
  <c r="W1299" i="16"/>
  <c r="X1299" i="16" s="1"/>
  <c r="V1053" i="16"/>
  <c r="S972" i="16"/>
  <c r="AF969" i="16" s="1"/>
  <c r="W1290" i="16"/>
  <c r="X1290" i="16" s="1"/>
  <c r="W1302" i="16"/>
  <c r="X1302" i="16" s="1"/>
  <c r="AF1307" i="16"/>
  <c r="W1335" i="16"/>
  <c r="X1335" i="16" s="1"/>
  <c r="W1215" i="16"/>
  <c r="X1215" i="16" s="1"/>
  <c r="AF1220" i="16"/>
  <c r="W1326" i="16"/>
  <c r="AF1331" i="16"/>
  <c r="S952" i="16"/>
  <c r="AD951" i="16" s="1"/>
  <c r="S1286" i="16"/>
  <c r="W1291" i="16" s="1"/>
  <c r="X1291" i="16" s="1"/>
  <c r="W1166" i="16"/>
  <c r="S1191" i="16"/>
  <c r="W1196" i="16" s="1"/>
  <c r="X1196" i="16" s="1"/>
  <c r="W1308" i="16"/>
  <c r="X1308" i="16" s="1"/>
  <c r="S1092" i="16"/>
  <c r="AD1091" i="16" s="1"/>
  <c r="W1296" i="16"/>
  <c r="X1296" i="16" s="1"/>
  <c r="S1104" i="16"/>
  <c r="AD1103" i="16" s="1"/>
  <c r="X1189" i="16"/>
  <c r="S1346" i="16"/>
  <c r="W1351" i="16" s="1"/>
  <c r="X1351" i="16" s="1"/>
  <c r="W1367" i="16"/>
  <c r="X1367" i="16" s="1"/>
  <c r="W1344" i="16"/>
  <c r="X1344" i="16" s="1"/>
  <c r="S998" i="16"/>
  <c r="AD997" i="16" s="1"/>
  <c r="W1268" i="16"/>
  <c r="X1268" i="16" s="1"/>
  <c r="S986" i="16"/>
  <c r="AD985" i="16" s="1"/>
  <c r="W1223" i="16"/>
  <c r="X1223" i="16" s="1"/>
  <c r="S1080" i="16"/>
  <c r="AD1079" i="16" s="1"/>
  <c r="S1144" i="16"/>
  <c r="W1149" i="16" s="1"/>
  <c r="X1149" i="16" s="1"/>
  <c r="S1117" i="16"/>
  <c r="AD1116" i="16" s="1"/>
  <c r="W1234" i="16"/>
  <c r="X1234" i="16" s="1"/>
  <c r="R1071" i="16"/>
  <c r="V1076" i="16" s="1"/>
  <c r="V1038" i="16"/>
  <c r="V1326" i="16"/>
  <c r="R1107" i="16"/>
  <c r="V1112" i="16" s="1"/>
  <c r="V1017" i="16"/>
  <c r="AC1009" i="16"/>
  <c r="V1044" i="16"/>
  <c r="V1099" i="16"/>
  <c r="V953" i="16"/>
  <c r="AA951" i="16"/>
  <c r="V959" i="16"/>
  <c r="AC951" i="16"/>
  <c r="V977" i="16"/>
  <c r="AC969" i="16"/>
  <c r="R973" i="16"/>
  <c r="V978" i="16" s="1"/>
  <c r="AA969" i="16"/>
  <c r="V1124" i="16"/>
  <c r="V1111" i="16"/>
  <c r="S1369" i="16"/>
  <c r="W1374" i="16" s="1"/>
  <c r="X1374" i="16" s="1"/>
  <c r="S1334" i="16"/>
  <c r="W1339" i="16" s="1"/>
  <c r="X1339" i="16" s="1"/>
  <c r="S1322" i="16"/>
  <c r="W1327" i="16" s="1"/>
  <c r="X1327" i="16" s="1"/>
  <c r="S1310" i="16"/>
  <c r="W1315" i="16" s="1"/>
  <c r="X1315" i="16" s="1"/>
  <c r="S1298" i="16"/>
  <c r="W1303" i="16" s="1"/>
  <c r="X1303" i="16" s="1"/>
  <c r="S1258" i="16"/>
  <c r="W1263" i="16" s="1"/>
  <c r="X1263" i="16" s="1"/>
  <c r="S1270" i="16"/>
  <c r="W1275" i="16" s="1"/>
  <c r="X1275" i="16" s="1"/>
  <c r="X1241" i="16"/>
  <c r="S1225" i="16"/>
  <c r="W1230" i="16" s="1"/>
  <c r="X1230" i="16" s="1"/>
  <c r="S1211" i="16"/>
  <c r="W1216" i="16" s="1"/>
  <c r="X1216" i="16" s="1"/>
  <c r="S1156" i="16"/>
  <c r="W1161" i="16" s="1"/>
  <c r="X1161" i="16" s="1"/>
  <c r="R1132" i="16"/>
  <c r="V1137" i="16" s="1"/>
  <c r="S1129" i="16"/>
  <c r="AD1128" i="16" s="1"/>
  <c r="R1120" i="16"/>
  <c r="V1125" i="16" s="1"/>
  <c r="V1118" i="16"/>
  <c r="S1106" i="16"/>
  <c r="AF1103" i="16" s="1"/>
  <c r="S1105" i="16"/>
  <c r="AE1103" i="16" s="1"/>
  <c r="V1105" i="16"/>
  <c r="S1094" i="16"/>
  <c r="AF1091" i="16" s="1"/>
  <c r="R1095" i="16"/>
  <c r="V1100" i="16" s="1"/>
  <c r="V1093" i="16"/>
  <c r="S1093" i="16"/>
  <c r="AE1091" i="16" s="1"/>
  <c r="R1083" i="16"/>
  <c r="V1088" i="16" s="1"/>
  <c r="V1081" i="16"/>
  <c r="S1070" i="16"/>
  <c r="AF1067" i="16" s="1"/>
  <c r="S1068" i="16"/>
  <c r="AD1067" i="16" s="1"/>
  <c r="V1069" i="16"/>
  <c r="V1056" i="16"/>
  <c r="S1049" i="16"/>
  <c r="AD1048" i="16" s="1"/>
  <c r="V1050" i="16"/>
  <c r="S1050" i="16"/>
  <c r="AE1048" i="16" s="1"/>
  <c r="S1039" i="16"/>
  <c r="AF1036" i="16" s="1"/>
  <c r="S1037" i="16"/>
  <c r="AD1036" i="16" s="1"/>
  <c r="S1038" i="16"/>
  <c r="AE1036" i="16" s="1"/>
  <c r="R1040" i="16"/>
  <c r="V1045" i="16" s="1"/>
  <c r="W1040" i="16"/>
  <c r="X1040" i="16" s="1"/>
  <c r="R1027" i="16"/>
  <c r="V1032" i="16" s="1"/>
  <c r="S1026" i="16"/>
  <c r="AF1023" i="16" s="1"/>
  <c r="S1024" i="16"/>
  <c r="AD1023" i="16" s="1"/>
  <c r="S1011" i="16"/>
  <c r="S1012" i="16"/>
  <c r="AF1009" i="16" s="1"/>
  <c r="S1010" i="16"/>
  <c r="R1013" i="16"/>
  <c r="V1018" i="16" s="1"/>
  <c r="V1011" i="16"/>
  <c r="W1013" i="16"/>
  <c r="X1013" i="16" s="1"/>
  <c r="S1000" i="16"/>
  <c r="W1000" i="16"/>
  <c r="X1000" i="16" s="1"/>
  <c r="W1001" i="16"/>
  <c r="X1001" i="16" s="1"/>
  <c r="R1000" i="16"/>
  <c r="R989" i="16"/>
  <c r="V994" i="16" s="1"/>
  <c r="V971" i="16"/>
  <c r="R955" i="16"/>
  <c r="V960" i="16" s="1"/>
  <c r="W1084" i="16" l="1"/>
  <c r="AF1092" i="16"/>
  <c r="X1166" i="16"/>
  <c r="AF1061" i="16"/>
  <c r="AF1048" i="16"/>
  <c r="W990" i="16"/>
  <c r="X990" i="16" s="1"/>
  <c r="W971" i="16"/>
  <c r="X971" i="16" s="1"/>
  <c r="S973" i="16"/>
  <c r="W978" i="16" s="1"/>
  <c r="X978" i="16" s="1"/>
  <c r="W1121" i="16"/>
  <c r="X1121" i="16" s="1"/>
  <c r="AE1116" i="16"/>
  <c r="W1136" i="16"/>
  <c r="X1136" i="16" s="1"/>
  <c r="AF1128" i="16"/>
  <c r="X1087" i="16"/>
  <c r="W1056" i="16"/>
  <c r="X1056" i="16" s="1"/>
  <c r="W974" i="16"/>
  <c r="X974" i="16" s="1"/>
  <c r="X1173" i="16"/>
  <c r="W956" i="16"/>
  <c r="X956" i="16" s="1"/>
  <c r="W953" i="16"/>
  <c r="X1084" i="16"/>
  <c r="W987" i="16"/>
  <c r="X987" i="16" s="1"/>
  <c r="X959" i="16"/>
  <c r="S989" i="16"/>
  <c r="W994" i="16" s="1"/>
  <c r="X994" i="16" s="1"/>
  <c r="W1072" i="16"/>
  <c r="X1072" i="16" s="1"/>
  <c r="W1105" i="16"/>
  <c r="X1105" i="16" s="1"/>
  <c r="AE997" i="16"/>
  <c r="W1017" i="16"/>
  <c r="X1017" i="16" s="1"/>
  <c r="W1096" i="16"/>
  <c r="X1096" i="16" s="1"/>
  <c r="X1326" i="16"/>
  <c r="W1028" i="16"/>
  <c r="X1028" i="16" s="1"/>
  <c r="W1111" i="16"/>
  <c r="X1111" i="16" s="1"/>
  <c r="W1124" i="16"/>
  <c r="X1124" i="16" s="1"/>
  <c r="AF1129" i="16"/>
  <c r="W1108" i="16"/>
  <c r="X1108" i="16" s="1"/>
  <c r="W1005" i="16"/>
  <c r="AF997" i="16"/>
  <c r="W977" i="16"/>
  <c r="X977" i="16" s="1"/>
  <c r="S955" i="16"/>
  <c r="W960" i="16" s="1"/>
  <c r="X960" i="16" s="1"/>
  <c r="W1044" i="16"/>
  <c r="X1044" i="16" s="1"/>
  <c r="AF1049" i="16"/>
  <c r="W1075" i="16"/>
  <c r="X1075" i="16" s="1"/>
  <c r="AF1080" i="16"/>
  <c r="W1133" i="16"/>
  <c r="X1133" i="16" s="1"/>
  <c r="W1041" i="16"/>
  <c r="X1041" i="16" s="1"/>
  <c r="W1053" i="16"/>
  <c r="X1053" i="16" s="1"/>
  <c r="W993" i="16"/>
  <c r="X993" i="16" s="1"/>
  <c r="AF985" i="16"/>
  <c r="V1005" i="16"/>
  <c r="AC997" i="16"/>
  <c r="W1014" i="16"/>
  <c r="X1014" i="16" s="1"/>
  <c r="AE1009" i="16"/>
  <c r="W1031" i="16"/>
  <c r="X1031" i="16" s="1"/>
  <c r="R1001" i="16"/>
  <c r="V1006" i="16" s="1"/>
  <c r="S1083" i="16"/>
  <c r="W1088" i="16" s="1"/>
  <c r="X1088" i="16" s="1"/>
  <c r="W1099" i="16"/>
  <c r="X1099" i="16" s="1"/>
  <c r="AF1104" i="16"/>
  <c r="X953" i="16"/>
  <c r="W1093" i="16"/>
  <c r="X1093" i="16" s="1"/>
  <c r="W999" i="16"/>
  <c r="X999" i="16" s="1"/>
  <c r="W1050" i="16"/>
  <c r="X1050" i="16" s="1"/>
  <c r="W1038" i="16"/>
  <c r="X1038" i="16" s="1"/>
  <c r="W1130" i="16"/>
  <c r="X1130" i="16" s="1"/>
  <c r="W1011" i="16"/>
  <c r="X1011" i="16" s="1"/>
  <c r="AD1009" i="16"/>
  <c r="W1118" i="16"/>
  <c r="X1118" i="16" s="1"/>
  <c r="W1081" i="16"/>
  <c r="X1081" i="16" s="1"/>
  <c r="S1120" i="16"/>
  <c r="W1125" i="16" s="1"/>
  <c r="X1125" i="16" s="1"/>
  <c r="S1132" i="16"/>
  <c r="W1137" i="16" s="1"/>
  <c r="X1137" i="16" s="1"/>
  <c r="S1107" i="16"/>
  <c r="W1112" i="16" s="1"/>
  <c r="X1112" i="16" s="1"/>
  <c r="S1095" i="16"/>
  <c r="W1100" i="16" s="1"/>
  <c r="X1100" i="16" s="1"/>
  <c r="S1071" i="16"/>
  <c r="W1076" i="16" s="1"/>
  <c r="X1076" i="16" s="1"/>
  <c r="W1069" i="16"/>
  <c r="X1069" i="16" s="1"/>
  <c r="R1052" i="16"/>
  <c r="V1057" i="16" s="1"/>
  <c r="S1052" i="16"/>
  <c r="W1057" i="16" s="1"/>
  <c r="S1040" i="16"/>
  <c r="W1045" i="16" s="1"/>
  <c r="X1045" i="16" s="1"/>
  <c r="S1027" i="16"/>
  <c r="W1032" i="16" s="1"/>
  <c r="X1032" i="16" s="1"/>
  <c r="W1025" i="16"/>
  <c r="X1025" i="16" s="1"/>
  <c r="S1013" i="16"/>
  <c r="W1018" i="16" s="1"/>
  <c r="X1018" i="16" s="1"/>
  <c r="S1001" i="16"/>
  <c r="W1006" i="16" s="1"/>
  <c r="X1005" i="16"/>
  <c r="AE923" i="16"/>
  <c r="AC923" i="16"/>
  <c r="AC906" i="16"/>
  <c r="AC893" i="16"/>
  <c r="AB845" i="16"/>
  <c r="AB830" i="16"/>
  <c r="AC665" i="16"/>
  <c r="AC609" i="16"/>
  <c r="AC597" i="16"/>
  <c r="AB583" i="16"/>
  <c r="AB506" i="16"/>
  <c r="AC452" i="16"/>
  <c r="AC428" i="16"/>
  <c r="AF208" i="16"/>
  <c r="AE109" i="16"/>
  <c r="AD109" i="16"/>
  <c r="R937" i="16"/>
  <c r="V940" i="16" s="1"/>
  <c r="F947" i="16"/>
  <c r="F946" i="16"/>
  <c r="R938" i="16" s="1"/>
  <c r="V943" i="16" s="1"/>
  <c r="F944" i="16"/>
  <c r="R936" i="16" s="1"/>
  <c r="AA935" i="16" s="1"/>
  <c r="F945" i="16"/>
  <c r="F943" i="16"/>
  <c r="F942" i="16"/>
  <c r="F941" i="16"/>
  <c r="F940" i="16"/>
  <c r="F939" i="16"/>
  <c r="F938" i="16"/>
  <c r="F937" i="16"/>
  <c r="F936" i="16"/>
  <c r="O944" i="16"/>
  <c r="N944" i="16"/>
  <c r="O943" i="16"/>
  <c r="W942" i="16" s="1"/>
  <c r="X942" i="16" s="1"/>
  <c r="N943" i="16"/>
  <c r="O942" i="16"/>
  <c r="N942" i="16"/>
  <c r="X941" i="16"/>
  <c r="O941" i="16"/>
  <c r="N941" i="16"/>
  <c r="O940" i="16"/>
  <c r="W938" i="16" s="1"/>
  <c r="X938" i="16" s="1"/>
  <c r="N940" i="16"/>
  <c r="O939" i="16"/>
  <c r="N939" i="16"/>
  <c r="O938" i="16"/>
  <c r="N938" i="16"/>
  <c r="O937" i="16"/>
  <c r="N937" i="16"/>
  <c r="X936" i="16"/>
  <c r="O936" i="16"/>
  <c r="N936" i="16"/>
  <c r="V931" i="16"/>
  <c r="F926" i="16"/>
  <c r="F925" i="16"/>
  <c r="R924" i="16" s="1"/>
  <c r="AA923" i="16" s="1"/>
  <c r="F927" i="16"/>
  <c r="F928" i="16"/>
  <c r="O932" i="16"/>
  <c r="N932" i="16"/>
  <c r="O931" i="16"/>
  <c r="W930" i="16" s="1"/>
  <c r="X930" i="16" s="1"/>
  <c r="N931" i="16"/>
  <c r="O930" i="16"/>
  <c r="N930" i="16"/>
  <c r="X929" i="16"/>
  <c r="O929" i="16"/>
  <c r="N929" i="16"/>
  <c r="O928" i="16"/>
  <c r="W926" i="16" s="1"/>
  <c r="X926" i="16" s="1"/>
  <c r="N928" i="16"/>
  <c r="O927" i="16"/>
  <c r="W927" i="16" s="1"/>
  <c r="X927" i="16" s="1"/>
  <c r="N927" i="16"/>
  <c r="O926" i="16"/>
  <c r="N926" i="16"/>
  <c r="R925" i="16"/>
  <c r="V928" i="16" s="1"/>
  <c r="O925" i="16"/>
  <c r="N925" i="16"/>
  <c r="X924" i="16"/>
  <c r="O924" i="16"/>
  <c r="N924" i="16"/>
  <c r="F924" i="16"/>
  <c r="F920" i="16"/>
  <c r="F919" i="16"/>
  <c r="F918" i="16"/>
  <c r="F917" i="16"/>
  <c r="F916" i="16"/>
  <c r="F915" i="16"/>
  <c r="F914" i="16"/>
  <c r="F913" i="16"/>
  <c r="F912" i="16"/>
  <c r="F911" i="16"/>
  <c r="F910" i="16"/>
  <c r="F908" i="16"/>
  <c r="F907" i="16"/>
  <c r="F909" i="16"/>
  <c r="R907" i="16" s="1"/>
  <c r="AA906" i="16" s="1"/>
  <c r="O915" i="16"/>
  <c r="N915" i="16"/>
  <c r="O914" i="16"/>
  <c r="W913" i="16" s="1"/>
  <c r="X913" i="16" s="1"/>
  <c r="N914" i="16"/>
  <c r="O913" i="16"/>
  <c r="N913" i="16"/>
  <c r="X912" i="16"/>
  <c r="O912" i="16"/>
  <c r="N912" i="16"/>
  <c r="O911" i="16"/>
  <c r="W909" i="16" s="1"/>
  <c r="X909" i="16" s="1"/>
  <c r="N911" i="16"/>
  <c r="O910" i="16"/>
  <c r="N910" i="16"/>
  <c r="O909" i="16"/>
  <c r="N909" i="16"/>
  <c r="R908" i="16"/>
  <c r="V911" i="16" s="1"/>
  <c r="O908" i="16"/>
  <c r="N908" i="16"/>
  <c r="X907" i="16"/>
  <c r="O907" i="16"/>
  <c r="N907" i="16"/>
  <c r="R895" i="16"/>
  <c r="AB893" i="16" s="1"/>
  <c r="F896" i="16"/>
  <c r="F894" i="16"/>
  <c r="F895" i="16"/>
  <c r="R894" i="16" s="1"/>
  <c r="V895" i="16" s="1"/>
  <c r="F898" i="16"/>
  <c r="F897" i="16"/>
  <c r="F902" i="16"/>
  <c r="F901" i="16"/>
  <c r="F900" i="16"/>
  <c r="F903" i="16"/>
  <c r="O902" i="16"/>
  <c r="N902" i="16"/>
  <c r="O901" i="16"/>
  <c r="W900" i="16" s="1"/>
  <c r="X900" i="16" s="1"/>
  <c r="N901" i="16"/>
  <c r="O900" i="16"/>
  <c r="N900" i="16"/>
  <c r="X899" i="16"/>
  <c r="O899" i="16"/>
  <c r="N899" i="16"/>
  <c r="F899" i="16"/>
  <c r="O898" i="16"/>
  <c r="W896" i="16" s="1"/>
  <c r="X896" i="16" s="1"/>
  <c r="N898" i="16"/>
  <c r="O897" i="16"/>
  <c r="N897" i="16"/>
  <c r="O896" i="16"/>
  <c r="N896" i="16"/>
  <c r="O895" i="16"/>
  <c r="N895" i="16"/>
  <c r="X894" i="16"/>
  <c r="O894" i="16"/>
  <c r="N894" i="16"/>
  <c r="R874" i="16"/>
  <c r="AB872" i="16" s="1"/>
  <c r="R859" i="16"/>
  <c r="V862" i="16" s="1"/>
  <c r="F878" i="16"/>
  <c r="F877" i="16"/>
  <c r="R873" i="16" s="1"/>
  <c r="V874" i="16" s="1"/>
  <c r="F889" i="16"/>
  <c r="R875" i="16" s="1"/>
  <c r="AC872" i="16" s="1"/>
  <c r="F890" i="16"/>
  <c r="F888" i="16"/>
  <c r="F887" i="16"/>
  <c r="F886" i="16"/>
  <c r="F885" i="16"/>
  <c r="F884" i="16"/>
  <c r="F883" i="16"/>
  <c r="F882" i="16"/>
  <c r="F881" i="16"/>
  <c r="F880" i="16"/>
  <c r="F879" i="16"/>
  <c r="F876" i="16"/>
  <c r="F875" i="16"/>
  <c r="F874" i="16"/>
  <c r="F873" i="16"/>
  <c r="O881" i="16"/>
  <c r="N881" i="16"/>
  <c r="O880" i="16"/>
  <c r="N880" i="16"/>
  <c r="X879" i="16"/>
  <c r="O879" i="16"/>
  <c r="N879" i="16"/>
  <c r="X878" i="16"/>
  <c r="O878" i="16"/>
  <c r="N878" i="16"/>
  <c r="O877" i="16"/>
  <c r="N877" i="16"/>
  <c r="X876" i="16"/>
  <c r="O876" i="16"/>
  <c r="N876" i="16"/>
  <c r="X875" i="16"/>
  <c r="O875" i="16"/>
  <c r="N875" i="16"/>
  <c r="O874" i="16"/>
  <c r="N874" i="16"/>
  <c r="X873" i="16"/>
  <c r="O873" i="16"/>
  <c r="N873" i="16"/>
  <c r="F868" i="16"/>
  <c r="F865" i="16"/>
  <c r="F867" i="16"/>
  <c r="F866" i="16"/>
  <c r="F864" i="16"/>
  <c r="F863" i="16"/>
  <c r="F862" i="16"/>
  <c r="F861" i="16"/>
  <c r="F859" i="16"/>
  <c r="F858" i="16"/>
  <c r="F860" i="16"/>
  <c r="R858" i="16" s="1"/>
  <c r="AA857" i="16" s="1"/>
  <c r="O866" i="16"/>
  <c r="N866" i="16"/>
  <c r="O865" i="16"/>
  <c r="W864" i="16" s="1"/>
  <c r="X864" i="16" s="1"/>
  <c r="N865" i="16"/>
  <c r="O864" i="16"/>
  <c r="N864" i="16"/>
  <c r="X863" i="16"/>
  <c r="O863" i="16"/>
  <c r="N863" i="16"/>
  <c r="O862" i="16"/>
  <c r="W860" i="16" s="1"/>
  <c r="X860" i="16" s="1"/>
  <c r="N862" i="16"/>
  <c r="O861" i="16"/>
  <c r="W861" i="16" s="1"/>
  <c r="X861" i="16" s="1"/>
  <c r="N861" i="16"/>
  <c r="R860" i="16"/>
  <c r="AC857" i="16" s="1"/>
  <c r="O860" i="16"/>
  <c r="N860" i="16"/>
  <c r="O859" i="16"/>
  <c r="N859" i="16"/>
  <c r="X858" i="16"/>
  <c r="O858" i="16"/>
  <c r="N858" i="16"/>
  <c r="R846" i="16"/>
  <c r="AA845" i="16" s="1"/>
  <c r="F850" i="16"/>
  <c r="F849" i="16"/>
  <c r="R848" i="16" s="1"/>
  <c r="O854" i="16"/>
  <c r="N854" i="16"/>
  <c r="O853" i="16"/>
  <c r="X852" i="16" s="1"/>
  <c r="N853" i="16"/>
  <c r="O852" i="16"/>
  <c r="N852" i="16"/>
  <c r="X851" i="16"/>
  <c r="O851" i="16"/>
  <c r="N851" i="16"/>
  <c r="V850" i="16"/>
  <c r="O850" i="16"/>
  <c r="N850" i="16"/>
  <c r="X849" i="16"/>
  <c r="O849" i="16"/>
  <c r="N849" i="16"/>
  <c r="X848" i="16"/>
  <c r="O848" i="16"/>
  <c r="N848" i="16"/>
  <c r="F848" i="16"/>
  <c r="O847" i="16"/>
  <c r="N847" i="16"/>
  <c r="X846" i="16"/>
  <c r="O846" i="16"/>
  <c r="N846" i="16"/>
  <c r="F846" i="16"/>
  <c r="V835" i="16"/>
  <c r="F840" i="16"/>
  <c r="F839" i="16"/>
  <c r="F838" i="16"/>
  <c r="F836" i="16"/>
  <c r="F835" i="16"/>
  <c r="F834" i="16"/>
  <c r="F833" i="16"/>
  <c r="F832" i="16"/>
  <c r="F831" i="16"/>
  <c r="F842" i="16"/>
  <c r="F841" i="16"/>
  <c r="R833" i="16" s="1"/>
  <c r="F837" i="16"/>
  <c r="R831" i="16" s="1"/>
  <c r="AA830" i="16" s="1"/>
  <c r="F801" i="16"/>
  <c r="R794" i="16" s="1"/>
  <c r="AA793" i="16" s="1"/>
  <c r="F826" i="16"/>
  <c r="R796" i="16" s="1"/>
  <c r="V801" i="16" s="1"/>
  <c r="F827" i="16"/>
  <c r="O839" i="16"/>
  <c r="N839" i="16"/>
  <c r="O838" i="16"/>
  <c r="W837" i="16" s="1"/>
  <c r="X837" i="16" s="1"/>
  <c r="N838" i="16"/>
  <c r="O837" i="16"/>
  <c r="N837" i="16"/>
  <c r="X836" i="16"/>
  <c r="O836" i="16"/>
  <c r="N836" i="16"/>
  <c r="O835" i="16"/>
  <c r="X833" i="16" s="1"/>
  <c r="N835" i="16"/>
  <c r="O834" i="16"/>
  <c r="X834" i="16" s="1"/>
  <c r="N834" i="16"/>
  <c r="O833" i="16"/>
  <c r="N833" i="16"/>
  <c r="O832" i="16"/>
  <c r="N832" i="16"/>
  <c r="X831" i="16"/>
  <c r="O831" i="16"/>
  <c r="N831" i="16"/>
  <c r="R795" i="16"/>
  <c r="AB793" i="16" s="1"/>
  <c r="F825" i="16"/>
  <c r="F824" i="16"/>
  <c r="F823" i="16"/>
  <c r="F822" i="16"/>
  <c r="F821" i="16"/>
  <c r="F820" i="16"/>
  <c r="F819" i="16"/>
  <c r="F818" i="16"/>
  <c r="F817" i="16"/>
  <c r="F816" i="16"/>
  <c r="F815" i="16"/>
  <c r="F814" i="16"/>
  <c r="F813" i="16"/>
  <c r="F812" i="16"/>
  <c r="F811" i="16"/>
  <c r="F810" i="16"/>
  <c r="F809" i="16"/>
  <c r="F808" i="16"/>
  <c r="F807" i="16"/>
  <c r="F806" i="16"/>
  <c r="F805" i="16"/>
  <c r="F804" i="16"/>
  <c r="F803" i="16"/>
  <c r="O802" i="16"/>
  <c r="N802" i="16"/>
  <c r="F802" i="16"/>
  <c r="O801" i="16"/>
  <c r="N801" i="16"/>
  <c r="X800" i="16"/>
  <c r="O800" i="16"/>
  <c r="N800" i="16"/>
  <c r="F800" i="16"/>
  <c r="X799" i="16"/>
  <c r="O799" i="16"/>
  <c r="N799" i="16"/>
  <c r="F799" i="16"/>
  <c r="O798" i="16"/>
  <c r="X796" i="16" s="1"/>
  <c r="N798" i="16"/>
  <c r="F798" i="16"/>
  <c r="O797" i="16"/>
  <c r="X797" i="16" s="1"/>
  <c r="N797" i="16"/>
  <c r="F797" i="16"/>
  <c r="O796" i="16"/>
  <c r="N796" i="16"/>
  <c r="F796" i="16"/>
  <c r="O795" i="16"/>
  <c r="N795" i="16"/>
  <c r="F795" i="16"/>
  <c r="X794" i="16"/>
  <c r="O794" i="16"/>
  <c r="N794" i="16"/>
  <c r="F794" i="16"/>
  <c r="R765" i="16"/>
  <c r="AB763" i="16" s="1"/>
  <c r="R777" i="16"/>
  <c r="V780" i="16" s="1"/>
  <c r="F790" i="16"/>
  <c r="R778" i="16" s="1"/>
  <c r="V783" i="16" s="1"/>
  <c r="F779" i="16"/>
  <c r="R776" i="16" s="1"/>
  <c r="AA775" i="16" s="1"/>
  <c r="F789" i="16"/>
  <c r="F788" i="16"/>
  <c r="F787" i="16"/>
  <c r="F786" i="16"/>
  <c r="F785" i="16"/>
  <c r="F784" i="16"/>
  <c r="F783" i="16"/>
  <c r="F782" i="16"/>
  <c r="F781" i="16"/>
  <c r="F780" i="16"/>
  <c r="F778" i="16"/>
  <c r="F777" i="16"/>
  <c r="F776" i="16"/>
  <c r="O784" i="16"/>
  <c r="N784" i="16"/>
  <c r="O783" i="16"/>
  <c r="W782" i="16" s="1"/>
  <c r="X782" i="16" s="1"/>
  <c r="N783" i="16"/>
  <c r="O782" i="16"/>
  <c r="N782" i="16"/>
  <c r="X781" i="16"/>
  <c r="O781" i="16"/>
  <c r="N781" i="16"/>
  <c r="O780" i="16"/>
  <c r="W778" i="16" s="1"/>
  <c r="X778" i="16" s="1"/>
  <c r="N780" i="16"/>
  <c r="O779" i="16"/>
  <c r="W779" i="16" s="1"/>
  <c r="X779" i="16" s="1"/>
  <c r="N779" i="16"/>
  <c r="O778" i="16"/>
  <c r="N778" i="16"/>
  <c r="O777" i="16"/>
  <c r="N777" i="16"/>
  <c r="X776" i="16"/>
  <c r="O776" i="16"/>
  <c r="N776" i="16"/>
  <c r="F767" i="16"/>
  <c r="R766" i="16" s="1"/>
  <c r="V771" i="16" s="1"/>
  <c r="F768" i="16"/>
  <c r="O772" i="16"/>
  <c r="N772" i="16"/>
  <c r="O771" i="16"/>
  <c r="W770" i="16" s="1"/>
  <c r="X770" i="16" s="1"/>
  <c r="N771" i="16"/>
  <c r="O770" i="16"/>
  <c r="N770" i="16"/>
  <c r="X769" i="16"/>
  <c r="O769" i="16"/>
  <c r="N769" i="16"/>
  <c r="O768" i="16"/>
  <c r="W766" i="16" s="1"/>
  <c r="X766" i="16" s="1"/>
  <c r="N768" i="16"/>
  <c r="O767" i="16"/>
  <c r="W767" i="16" s="1"/>
  <c r="X767" i="16" s="1"/>
  <c r="N767" i="16"/>
  <c r="O766" i="16"/>
  <c r="N766" i="16"/>
  <c r="F766" i="16"/>
  <c r="O765" i="16"/>
  <c r="N765" i="16"/>
  <c r="F765" i="16"/>
  <c r="R764" i="16" s="1"/>
  <c r="AA763" i="16" s="1"/>
  <c r="X764" i="16"/>
  <c r="O764" i="16"/>
  <c r="N764" i="16"/>
  <c r="F764" i="16"/>
  <c r="R752" i="16"/>
  <c r="AA751" i="16" s="1"/>
  <c r="R753" i="16"/>
  <c r="AB751" i="16" s="1"/>
  <c r="F756" i="16"/>
  <c r="O760" i="16"/>
  <c r="N760" i="16"/>
  <c r="O759" i="16"/>
  <c r="W758" i="16" s="1"/>
  <c r="X758" i="16" s="1"/>
  <c r="N759" i="16"/>
  <c r="O758" i="16"/>
  <c r="N758" i="16"/>
  <c r="X757" i="16"/>
  <c r="O757" i="16"/>
  <c r="N757" i="16"/>
  <c r="O756" i="16"/>
  <c r="W754" i="16" s="1"/>
  <c r="X754" i="16" s="1"/>
  <c r="N756" i="16"/>
  <c r="O755" i="16"/>
  <c r="W755" i="16" s="1"/>
  <c r="N755" i="16"/>
  <c r="F755" i="16"/>
  <c r="O754" i="16"/>
  <c r="N754" i="16"/>
  <c r="F754" i="16"/>
  <c r="O753" i="16"/>
  <c r="N753" i="16"/>
  <c r="X752" i="16"/>
  <c r="O752" i="16"/>
  <c r="N752" i="16"/>
  <c r="F752" i="16"/>
  <c r="R741" i="16"/>
  <c r="V744" i="16" s="1"/>
  <c r="F743" i="16"/>
  <c r="R742" i="16" s="1"/>
  <c r="V747" i="16" s="1"/>
  <c r="F741" i="16"/>
  <c r="R740" i="16" s="1"/>
  <c r="V741" i="16" s="1"/>
  <c r="F687" i="16"/>
  <c r="R681" i="16" s="1"/>
  <c r="AA680" i="16" s="1"/>
  <c r="F742" i="16"/>
  <c r="F740" i="16"/>
  <c r="O748" i="16"/>
  <c r="N748" i="16"/>
  <c r="O747" i="16"/>
  <c r="W746" i="16" s="1"/>
  <c r="X746" i="16" s="1"/>
  <c r="N747" i="16"/>
  <c r="O746" i="16"/>
  <c r="N746" i="16"/>
  <c r="X745" i="16"/>
  <c r="O745" i="16"/>
  <c r="N745" i="16"/>
  <c r="O744" i="16"/>
  <c r="W742" i="16" s="1"/>
  <c r="X742" i="16" s="1"/>
  <c r="N744" i="16"/>
  <c r="O743" i="16"/>
  <c r="W743" i="16" s="1"/>
  <c r="X743" i="16" s="1"/>
  <c r="N743" i="16"/>
  <c r="O742" i="16"/>
  <c r="N742" i="16"/>
  <c r="O741" i="16"/>
  <c r="N741" i="16"/>
  <c r="X740" i="16"/>
  <c r="O740" i="16"/>
  <c r="N740" i="16"/>
  <c r="O709" i="16"/>
  <c r="S703" i="16" s="1"/>
  <c r="N709" i="16"/>
  <c r="O708" i="16"/>
  <c r="N708" i="16"/>
  <c r="O707" i="16"/>
  <c r="N707" i="16"/>
  <c r="O706" i="16"/>
  <c r="N706" i="16"/>
  <c r="O705" i="16"/>
  <c r="N705" i="16"/>
  <c r="O704" i="16"/>
  <c r="N704" i="16"/>
  <c r="O703" i="16"/>
  <c r="N703" i="16"/>
  <c r="O702" i="16"/>
  <c r="N702" i="16"/>
  <c r="O701" i="16"/>
  <c r="N701" i="16"/>
  <c r="F701" i="16"/>
  <c r="R682" i="16"/>
  <c r="V685" i="16" s="1"/>
  <c r="F695" i="16"/>
  <c r="R683" i="16" s="1"/>
  <c r="V688" i="16" s="1"/>
  <c r="F694" i="16"/>
  <c r="F693" i="16"/>
  <c r="F692" i="16"/>
  <c r="F691" i="16"/>
  <c r="F690" i="16"/>
  <c r="F689" i="16"/>
  <c r="F688" i="16"/>
  <c r="F686" i="16"/>
  <c r="F685" i="16"/>
  <c r="F684" i="16"/>
  <c r="F683" i="16"/>
  <c r="F682" i="16"/>
  <c r="F681" i="16"/>
  <c r="O689" i="16"/>
  <c r="N689" i="16"/>
  <c r="O688" i="16"/>
  <c r="W687" i="16" s="1"/>
  <c r="X687" i="16" s="1"/>
  <c r="N688" i="16"/>
  <c r="O687" i="16"/>
  <c r="N687" i="16"/>
  <c r="X686" i="16"/>
  <c r="O686" i="16"/>
  <c r="N686" i="16"/>
  <c r="O685" i="16"/>
  <c r="W683" i="16" s="1"/>
  <c r="X683" i="16" s="1"/>
  <c r="N685" i="16"/>
  <c r="O684" i="16"/>
  <c r="W684" i="16" s="1"/>
  <c r="X684" i="16" s="1"/>
  <c r="N684" i="16"/>
  <c r="O683" i="16"/>
  <c r="N683" i="16"/>
  <c r="O682" i="16"/>
  <c r="N682" i="16"/>
  <c r="X681" i="16"/>
  <c r="O681" i="16"/>
  <c r="N681" i="16"/>
  <c r="R667" i="16"/>
  <c r="AB665" i="16" s="1"/>
  <c r="V673" i="16"/>
  <c r="F668" i="16"/>
  <c r="R666" i="16" s="1"/>
  <c r="V667" i="16" s="1"/>
  <c r="F673" i="16"/>
  <c r="F672" i="16"/>
  <c r="F671" i="16"/>
  <c r="F676" i="16"/>
  <c r="F675" i="16"/>
  <c r="F674" i="16"/>
  <c r="F670" i="16"/>
  <c r="F669" i="16"/>
  <c r="F667" i="16"/>
  <c r="F666" i="16"/>
  <c r="O674" i="16"/>
  <c r="N674" i="16"/>
  <c r="O673" i="16"/>
  <c r="W672" i="16" s="1"/>
  <c r="X672" i="16" s="1"/>
  <c r="N673" i="16"/>
  <c r="O672" i="16"/>
  <c r="N672" i="16"/>
  <c r="X671" i="16"/>
  <c r="O671" i="16"/>
  <c r="N671" i="16"/>
  <c r="O670" i="16"/>
  <c r="N670" i="16"/>
  <c r="O669" i="16"/>
  <c r="N669" i="16"/>
  <c r="O668" i="16"/>
  <c r="N668" i="16"/>
  <c r="O667" i="16"/>
  <c r="N667" i="16"/>
  <c r="X666" i="16"/>
  <c r="O666" i="16"/>
  <c r="N666" i="16"/>
  <c r="O654" i="16"/>
  <c r="W708" i="16" l="1"/>
  <c r="X708" i="16" s="1"/>
  <c r="S704" i="16"/>
  <c r="W709" i="16" s="1"/>
  <c r="X709" i="16" s="1"/>
  <c r="Y26" i="16"/>
  <c r="Y15" i="16"/>
  <c r="Y23" i="16"/>
  <c r="Y21" i="16"/>
  <c r="Y18" i="16"/>
  <c r="Y28" i="16"/>
  <c r="Y16" i="16"/>
  <c r="Y17" i="16"/>
  <c r="X1006" i="16"/>
  <c r="V768" i="16"/>
  <c r="S847" i="16"/>
  <c r="W850" i="16" s="1"/>
  <c r="X850" i="16" s="1"/>
  <c r="S908" i="16"/>
  <c r="W939" i="16"/>
  <c r="X939" i="16" s="1"/>
  <c r="S937" i="16"/>
  <c r="X1057" i="16"/>
  <c r="V756" i="16"/>
  <c r="S938" i="16"/>
  <c r="AF935" i="16" s="1"/>
  <c r="S875" i="16"/>
  <c r="V898" i="16"/>
  <c r="S860" i="16"/>
  <c r="AF857" i="16" s="1"/>
  <c r="V798" i="16"/>
  <c r="S926" i="16"/>
  <c r="AF923" i="16" s="1"/>
  <c r="AC845" i="16"/>
  <c r="V853" i="16"/>
  <c r="V838" i="16"/>
  <c r="AC830" i="16"/>
  <c r="V670" i="16"/>
  <c r="S874" i="16"/>
  <c r="V877" i="16"/>
  <c r="S936" i="16"/>
  <c r="AD935" i="16" s="1"/>
  <c r="AA739" i="16"/>
  <c r="AA872" i="16"/>
  <c r="S895" i="16"/>
  <c r="AB739" i="16"/>
  <c r="AB935" i="16"/>
  <c r="S833" i="16"/>
  <c r="AC739" i="16"/>
  <c r="AC793" i="16"/>
  <c r="AC935" i="16"/>
  <c r="AB700" i="16"/>
  <c r="AB775" i="16"/>
  <c r="AB857" i="16"/>
  <c r="AB923" i="16"/>
  <c r="S667" i="16"/>
  <c r="R849" i="16"/>
  <c r="V854" i="16" s="1"/>
  <c r="AC700" i="16"/>
  <c r="AC775" i="16"/>
  <c r="AB680" i="16"/>
  <c r="AB906" i="16"/>
  <c r="S896" i="16"/>
  <c r="AA665" i="16"/>
  <c r="AC680" i="16"/>
  <c r="AC763" i="16"/>
  <c r="AA893" i="16"/>
  <c r="S873" i="16"/>
  <c r="AD872" i="16" s="1"/>
  <c r="S858" i="16"/>
  <c r="AD857" i="16" s="1"/>
  <c r="AD700" i="16"/>
  <c r="S831" i="16"/>
  <c r="S924" i="16"/>
  <c r="R939" i="16"/>
  <c r="V944" i="16" s="1"/>
  <c r="V937" i="16"/>
  <c r="W928" i="16"/>
  <c r="X928" i="16" s="1"/>
  <c r="R927" i="16"/>
  <c r="V932" i="16" s="1"/>
  <c r="V925" i="16"/>
  <c r="S909" i="16"/>
  <c r="W910" i="16"/>
  <c r="X910" i="16" s="1"/>
  <c r="S907" i="16"/>
  <c r="V908" i="16"/>
  <c r="R910" i="16"/>
  <c r="V915" i="16" s="1"/>
  <c r="R897" i="16"/>
  <c r="V902" i="16" s="1"/>
  <c r="W897" i="16"/>
  <c r="X897" i="16" s="1"/>
  <c r="S894" i="16"/>
  <c r="R876" i="16"/>
  <c r="V881" i="16" s="1"/>
  <c r="V880" i="16"/>
  <c r="R861" i="16"/>
  <c r="V866" i="16" s="1"/>
  <c r="V859" i="16"/>
  <c r="S859" i="16"/>
  <c r="S848" i="16"/>
  <c r="S846" i="16"/>
  <c r="V847" i="16"/>
  <c r="R834" i="16"/>
  <c r="V839" i="16" s="1"/>
  <c r="V832" i="16"/>
  <c r="S832" i="16"/>
  <c r="S753" i="16"/>
  <c r="S766" i="16"/>
  <c r="S776" i="16"/>
  <c r="R754" i="16"/>
  <c r="R755" i="16" s="1"/>
  <c r="V760" i="16" s="1"/>
  <c r="S794" i="16"/>
  <c r="S796" i="16"/>
  <c r="V795" i="16"/>
  <c r="R797" i="16"/>
  <c r="V802" i="16" s="1"/>
  <c r="S795" i="16"/>
  <c r="S778" i="16"/>
  <c r="R779" i="16"/>
  <c r="V784" i="16" s="1"/>
  <c r="V777" i="16"/>
  <c r="S777" i="16"/>
  <c r="S764" i="16"/>
  <c r="AD763" i="16" s="1"/>
  <c r="S765" i="16"/>
  <c r="R767" i="16"/>
  <c r="V772" i="16" s="1"/>
  <c r="V765" i="16"/>
  <c r="S754" i="16"/>
  <c r="S752" i="16"/>
  <c r="AD751" i="16" s="1"/>
  <c r="X755" i="16"/>
  <c r="V753" i="16"/>
  <c r="R743" i="16"/>
  <c r="V748" i="16" s="1"/>
  <c r="S742" i="16"/>
  <c r="S740" i="16"/>
  <c r="S741" i="16"/>
  <c r="S668" i="16"/>
  <c r="S683" i="16"/>
  <c r="S681" i="16"/>
  <c r="S682" i="16"/>
  <c r="R684" i="16"/>
  <c r="V689" i="16" s="1"/>
  <c r="V682" i="16"/>
  <c r="R669" i="16"/>
  <c r="V674" i="16" s="1"/>
  <c r="W668" i="16"/>
  <c r="X668" i="16" s="1"/>
  <c r="W669" i="16"/>
  <c r="X669" i="16" s="1"/>
  <c r="S666" i="16"/>
  <c r="AD665" i="16" s="1"/>
  <c r="AE845" i="16" l="1"/>
  <c r="W880" i="16"/>
  <c r="X880" i="16" s="1"/>
  <c r="AF872" i="16"/>
  <c r="AE935" i="16"/>
  <c r="W940" i="16"/>
  <c r="X940" i="16" s="1"/>
  <c r="W943" i="16"/>
  <c r="X943" i="16" s="1"/>
  <c r="W865" i="16"/>
  <c r="X865" i="16" s="1"/>
  <c r="W937" i="16"/>
  <c r="X937" i="16" s="1"/>
  <c r="W931" i="16"/>
  <c r="X931" i="16" s="1"/>
  <c r="W780" i="16"/>
  <c r="X780" i="16" s="1"/>
  <c r="AE775" i="16"/>
  <c r="W895" i="16"/>
  <c r="X895" i="16" s="1"/>
  <c r="AD893" i="16"/>
  <c r="W673" i="16"/>
  <c r="X673" i="16" s="1"/>
  <c r="AF665" i="16"/>
  <c r="W801" i="16"/>
  <c r="X801" i="16" s="1"/>
  <c r="AF793" i="16"/>
  <c r="W859" i="16"/>
  <c r="X859" i="16" s="1"/>
  <c r="W908" i="16"/>
  <c r="X908" i="16" s="1"/>
  <c r="AD906" i="16"/>
  <c r="W832" i="16"/>
  <c r="X832" i="16" s="1"/>
  <c r="AD830" i="16"/>
  <c r="W901" i="16"/>
  <c r="X901" i="16" s="1"/>
  <c r="AF893" i="16"/>
  <c r="W877" i="16"/>
  <c r="X877" i="16" s="1"/>
  <c r="AE872" i="16"/>
  <c r="W911" i="16"/>
  <c r="X911" i="16" s="1"/>
  <c r="AE906" i="16"/>
  <c r="W898" i="16"/>
  <c r="X898" i="16" s="1"/>
  <c r="AE893" i="16"/>
  <c r="V759" i="16"/>
  <c r="AC751" i="16"/>
  <c r="W741" i="16"/>
  <c r="X741" i="16" s="1"/>
  <c r="AD739" i="16"/>
  <c r="W795" i="16"/>
  <c r="X795" i="16" s="1"/>
  <c r="AD793" i="16"/>
  <c r="W685" i="16"/>
  <c r="X685" i="16" s="1"/>
  <c r="AE680" i="16"/>
  <c r="W747" i="16"/>
  <c r="X747" i="16" s="1"/>
  <c r="AF739" i="16"/>
  <c r="W798" i="16"/>
  <c r="X798" i="16" s="1"/>
  <c r="AE793" i="16"/>
  <c r="W771" i="16"/>
  <c r="X771" i="16" s="1"/>
  <c r="AF763" i="16"/>
  <c r="W847" i="16"/>
  <c r="X847" i="16" s="1"/>
  <c r="AD845" i="16"/>
  <c r="AA700" i="16"/>
  <c r="AE700" i="16"/>
  <c r="W744" i="16"/>
  <c r="X744" i="16" s="1"/>
  <c r="AE739" i="16"/>
  <c r="W759" i="16"/>
  <c r="AF751" i="16"/>
  <c r="W914" i="16"/>
  <c r="X914" i="16" s="1"/>
  <c r="AF906" i="16"/>
  <c r="W756" i="16"/>
  <c r="X756" i="16" s="1"/>
  <c r="AE751" i="16"/>
  <c r="W853" i="16"/>
  <c r="X853" i="16" s="1"/>
  <c r="AF845" i="16"/>
  <c r="S876" i="16"/>
  <c r="W881" i="16" s="1"/>
  <c r="X881" i="16" s="1"/>
  <c r="S861" i="16"/>
  <c r="W866" i="16" s="1"/>
  <c r="X866" i="16" s="1"/>
  <c r="AF700" i="16"/>
  <c r="W783" i="16"/>
  <c r="X783" i="16" s="1"/>
  <c r="AF775" i="16"/>
  <c r="W777" i="16"/>
  <c r="X777" i="16" s="1"/>
  <c r="AD775" i="16"/>
  <c r="W682" i="16"/>
  <c r="X682" i="16" s="1"/>
  <c r="AD680" i="16"/>
  <c r="W688" i="16"/>
  <c r="X688" i="16" s="1"/>
  <c r="AF680" i="16"/>
  <c r="W768" i="16"/>
  <c r="X768" i="16" s="1"/>
  <c r="AE763" i="16"/>
  <c r="W835" i="16"/>
  <c r="X835" i="16" s="1"/>
  <c r="AE830" i="16"/>
  <c r="W862" i="16"/>
  <c r="X862" i="16" s="1"/>
  <c r="AE857" i="16"/>
  <c r="W874" i="16"/>
  <c r="X874" i="16" s="1"/>
  <c r="S927" i="16"/>
  <c r="W932" i="16" s="1"/>
  <c r="X932" i="16" s="1"/>
  <c r="AD923" i="16"/>
  <c r="W670" i="16"/>
  <c r="X670" i="16" s="1"/>
  <c r="AE665" i="16"/>
  <c r="W838" i="16"/>
  <c r="X838" i="16" s="1"/>
  <c r="AF830" i="16"/>
  <c r="W925" i="16"/>
  <c r="X925" i="16" s="1"/>
  <c r="S939" i="16"/>
  <c r="W944" i="16" s="1"/>
  <c r="X944" i="16" s="1"/>
  <c r="S910" i="16"/>
  <c r="W915" i="16" s="1"/>
  <c r="X915" i="16" s="1"/>
  <c r="S897" i="16"/>
  <c r="W902" i="16" s="1"/>
  <c r="X902" i="16" s="1"/>
  <c r="S849" i="16"/>
  <c r="W854" i="16" s="1"/>
  <c r="X854" i="16" s="1"/>
  <c r="S834" i="16"/>
  <c r="W839" i="16" s="1"/>
  <c r="X839" i="16" s="1"/>
  <c r="S669" i="16"/>
  <c r="W674" i="16" s="1"/>
  <c r="X674" i="16" s="1"/>
  <c r="S797" i="16"/>
  <c r="W802" i="16" s="1"/>
  <c r="X802" i="16" s="1"/>
  <c r="S779" i="16"/>
  <c r="W784" i="16" s="1"/>
  <c r="X784" i="16" s="1"/>
  <c r="S767" i="16"/>
  <c r="W772" i="16" s="1"/>
  <c r="X772" i="16" s="1"/>
  <c r="W765" i="16"/>
  <c r="X765" i="16" s="1"/>
  <c r="S755" i="16"/>
  <c r="W760" i="16" s="1"/>
  <c r="X760" i="16" s="1"/>
  <c r="W753" i="16"/>
  <c r="X753" i="16" s="1"/>
  <c r="S743" i="16"/>
  <c r="W748" i="16" s="1"/>
  <c r="X748" i="16" s="1"/>
  <c r="S684" i="16"/>
  <c r="W689" i="16" s="1"/>
  <c r="X689" i="16" s="1"/>
  <c r="W667" i="16"/>
  <c r="X667" i="16" s="1"/>
  <c r="X759" i="16" l="1"/>
  <c r="R655" i="16" l="1"/>
  <c r="F657" i="16"/>
  <c r="R656" i="16" s="1"/>
  <c r="F655" i="16"/>
  <c r="R654" i="16" s="1"/>
  <c r="AA653" i="16" s="1"/>
  <c r="F656" i="16"/>
  <c r="F654" i="16"/>
  <c r="O662" i="16"/>
  <c r="N662" i="16"/>
  <c r="O661" i="16"/>
  <c r="W660" i="16" s="1"/>
  <c r="N661" i="16"/>
  <c r="X660" i="16"/>
  <c r="O660" i="16"/>
  <c r="N660" i="16"/>
  <c r="X659" i="16"/>
  <c r="O659" i="16"/>
  <c r="N659" i="16"/>
  <c r="O658" i="16"/>
  <c r="W656" i="16" s="1"/>
  <c r="X656" i="16" s="1"/>
  <c r="N658" i="16"/>
  <c r="O657" i="16"/>
  <c r="S655" i="16" s="1"/>
  <c r="N657" i="16"/>
  <c r="O656" i="16"/>
  <c r="N656" i="16"/>
  <c r="O655" i="16"/>
  <c r="N655" i="16"/>
  <c r="X654" i="16"/>
  <c r="N654" i="16"/>
  <c r="R624" i="16"/>
  <c r="F635" i="16"/>
  <c r="R623" i="16" s="1"/>
  <c r="AA622" i="16" s="1"/>
  <c r="F649" i="16"/>
  <c r="F644" i="16"/>
  <c r="F648" i="16"/>
  <c r="F647" i="16"/>
  <c r="F646" i="16"/>
  <c r="F645" i="16"/>
  <c r="F643" i="16"/>
  <c r="F642" i="16"/>
  <c r="R625" i="16" s="1"/>
  <c r="F641" i="16"/>
  <c r="F640" i="16"/>
  <c r="F639" i="16"/>
  <c r="F638" i="16"/>
  <c r="F637" i="16"/>
  <c r="F636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O631" i="16"/>
  <c r="N631" i="16"/>
  <c r="O630" i="16"/>
  <c r="W629" i="16" s="1"/>
  <c r="N630" i="16"/>
  <c r="O629" i="16"/>
  <c r="N629" i="16"/>
  <c r="X628" i="16"/>
  <c r="O628" i="16"/>
  <c r="N628" i="16"/>
  <c r="O627" i="16"/>
  <c r="W625" i="16" s="1"/>
  <c r="X625" i="16" s="1"/>
  <c r="N627" i="16"/>
  <c r="O626" i="16"/>
  <c r="S624" i="16" s="1"/>
  <c r="N626" i="16"/>
  <c r="O625" i="16"/>
  <c r="N625" i="16"/>
  <c r="O624" i="16"/>
  <c r="N624" i="16"/>
  <c r="X623" i="16"/>
  <c r="O623" i="16"/>
  <c r="N623" i="16"/>
  <c r="V617" i="16"/>
  <c r="R611" i="16"/>
  <c r="F618" i="16"/>
  <c r="F615" i="16"/>
  <c r="F617" i="16"/>
  <c r="F616" i="16"/>
  <c r="F614" i="16"/>
  <c r="F613" i="16"/>
  <c r="F611" i="16"/>
  <c r="R610" i="16" s="1"/>
  <c r="AA609" i="16" s="1"/>
  <c r="F612" i="16"/>
  <c r="F610" i="16"/>
  <c r="O618" i="16"/>
  <c r="N618" i="16"/>
  <c r="O617" i="16"/>
  <c r="W616" i="16" s="1"/>
  <c r="N617" i="16"/>
  <c r="O616" i="16"/>
  <c r="N616" i="16"/>
  <c r="X615" i="16"/>
  <c r="O615" i="16"/>
  <c r="N615" i="16"/>
  <c r="O614" i="16"/>
  <c r="W612" i="16" s="1"/>
  <c r="N614" i="16"/>
  <c r="O613" i="16"/>
  <c r="W613" i="16" s="1"/>
  <c r="N613" i="16"/>
  <c r="O612" i="16"/>
  <c r="N612" i="16"/>
  <c r="O611" i="16"/>
  <c r="N611" i="16"/>
  <c r="X610" i="16"/>
  <c r="O610" i="16"/>
  <c r="N610" i="16"/>
  <c r="R599" i="16"/>
  <c r="F601" i="16"/>
  <c r="F602" i="16"/>
  <c r="F599" i="16"/>
  <c r="R598" i="16" s="1"/>
  <c r="F600" i="16"/>
  <c r="F598" i="16"/>
  <c r="V588" i="16"/>
  <c r="O606" i="16"/>
  <c r="N606" i="16"/>
  <c r="O605" i="16"/>
  <c r="W604" i="16" s="1"/>
  <c r="N605" i="16"/>
  <c r="O604" i="16"/>
  <c r="N604" i="16"/>
  <c r="X603" i="16"/>
  <c r="O603" i="16"/>
  <c r="N603" i="16"/>
  <c r="O602" i="16"/>
  <c r="W600" i="16" s="1"/>
  <c r="N602" i="16"/>
  <c r="O601" i="16"/>
  <c r="W601" i="16" s="1"/>
  <c r="N601" i="16"/>
  <c r="V605" i="16"/>
  <c r="O600" i="16"/>
  <c r="N600" i="16"/>
  <c r="O599" i="16"/>
  <c r="N599" i="16"/>
  <c r="X598" i="16"/>
  <c r="O598" i="16"/>
  <c r="N598" i="16"/>
  <c r="F592" i="16"/>
  <c r="F591" i="16"/>
  <c r="F589" i="16"/>
  <c r="F588" i="16"/>
  <c r="F587" i="16"/>
  <c r="R586" i="16" s="1"/>
  <c r="F585" i="16"/>
  <c r="R584" i="16" s="1"/>
  <c r="AA583" i="16" s="1"/>
  <c r="F590" i="16"/>
  <c r="F593" i="16"/>
  <c r="F586" i="16"/>
  <c r="F584" i="16"/>
  <c r="O592" i="16"/>
  <c r="N592" i="16"/>
  <c r="O591" i="16"/>
  <c r="W590" i="16" s="1"/>
  <c r="N591" i="16"/>
  <c r="O590" i="16"/>
  <c r="N590" i="16"/>
  <c r="X589" i="16"/>
  <c r="O589" i="16"/>
  <c r="N589" i="16"/>
  <c r="O588" i="16"/>
  <c r="W586" i="16" s="1"/>
  <c r="N588" i="16"/>
  <c r="O587" i="16"/>
  <c r="W587" i="16" s="1"/>
  <c r="N587" i="16"/>
  <c r="O586" i="16"/>
  <c r="N586" i="16"/>
  <c r="O585" i="16"/>
  <c r="N585" i="16"/>
  <c r="X584" i="16"/>
  <c r="O584" i="16"/>
  <c r="N584" i="16"/>
  <c r="AA543" i="16"/>
  <c r="R557" i="16"/>
  <c r="AB555" i="16" s="1"/>
  <c r="R569" i="16"/>
  <c r="F579" i="16"/>
  <c r="R570" i="16" s="1"/>
  <c r="F571" i="16"/>
  <c r="F570" i="16"/>
  <c r="R568" i="16" s="1"/>
  <c r="F578" i="16"/>
  <c r="F577" i="16"/>
  <c r="F576" i="16"/>
  <c r="F575" i="16"/>
  <c r="F574" i="16"/>
  <c r="F573" i="16"/>
  <c r="F572" i="16"/>
  <c r="F569" i="16"/>
  <c r="F568" i="16"/>
  <c r="O576" i="16"/>
  <c r="N576" i="16"/>
  <c r="O575" i="16"/>
  <c r="W574" i="16" s="1"/>
  <c r="N575" i="16"/>
  <c r="O574" i="16"/>
  <c r="N574" i="16"/>
  <c r="X573" i="16"/>
  <c r="O573" i="16"/>
  <c r="N573" i="16"/>
  <c r="O572" i="16"/>
  <c r="W570" i="16" s="1"/>
  <c r="N572" i="16"/>
  <c r="O571" i="16"/>
  <c r="W571" i="16" s="1"/>
  <c r="N571" i="16"/>
  <c r="O570" i="16"/>
  <c r="N570" i="16"/>
  <c r="O569" i="16"/>
  <c r="N569" i="16"/>
  <c r="X568" i="16"/>
  <c r="O568" i="16"/>
  <c r="N568" i="16"/>
  <c r="F559" i="16"/>
  <c r="R558" i="16" s="1"/>
  <c r="F557" i="16"/>
  <c r="R556" i="16" s="1"/>
  <c r="F558" i="16"/>
  <c r="F556" i="16"/>
  <c r="O564" i="16"/>
  <c r="N564" i="16"/>
  <c r="O563" i="16"/>
  <c r="W562" i="16" s="1"/>
  <c r="N563" i="16"/>
  <c r="X562" i="16"/>
  <c r="O562" i="16"/>
  <c r="N562" i="16"/>
  <c r="X561" i="16"/>
  <c r="O561" i="16"/>
  <c r="N561" i="16"/>
  <c r="O560" i="16"/>
  <c r="W558" i="16" s="1"/>
  <c r="N560" i="16"/>
  <c r="O559" i="16"/>
  <c r="W559" i="16" s="1"/>
  <c r="N559" i="16"/>
  <c r="X558" i="16"/>
  <c r="O558" i="16"/>
  <c r="N558" i="16"/>
  <c r="O557" i="16"/>
  <c r="N557" i="16"/>
  <c r="X556" i="16"/>
  <c r="O556" i="16"/>
  <c r="N556" i="16"/>
  <c r="O552" i="16"/>
  <c r="N552" i="16"/>
  <c r="O551" i="16"/>
  <c r="W550" i="16" s="1"/>
  <c r="N551" i="16"/>
  <c r="X550" i="16"/>
  <c r="O550" i="16"/>
  <c r="N550" i="16"/>
  <c r="X549" i="16"/>
  <c r="O549" i="16"/>
  <c r="N549" i="16"/>
  <c r="O548" i="16"/>
  <c r="W546" i="16" s="1"/>
  <c r="N548" i="16"/>
  <c r="X546" i="16" s="1"/>
  <c r="O547" i="16"/>
  <c r="W547" i="16" s="1"/>
  <c r="N547" i="16"/>
  <c r="O546" i="16"/>
  <c r="N546" i="16"/>
  <c r="O545" i="16"/>
  <c r="N545" i="16"/>
  <c r="X544" i="16"/>
  <c r="O544" i="16"/>
  <c r="N544" i="16"/>
  <c r="R532" i="16"/>
  <c r="F539" i="16"/>
  <c r="R533" i="16" s="1"/>
  <c r="F537" i="16"/>
  <c r="R531" i="16" s="1"/>
  <c r="F538" i="16"/>
  <c r="F536" i="16"/>
  <c r="F535" i="16"/>
  <c r="F534" i="16"/>
  <c r="F533" i="16"/>
  <c r="F532" i="16"/>
  <c r="F531" i="16"/>
  <c r="O539" i="16"/>
  <c r="N539" i="16"/>
  <c r="O538" i="16"/>
  <c r="W537" i="16" s="1"/>
  <c r="X537" i="16" s="1"/>
  <c r="N538" i="16"/>
  <c r="O537" i="16"/>
  <c r="N537" i="16"/>
  <c r="X536" i="16"/>
  <c r="O536" i="16"/>
  <c r="N536" i="16"/>
  <c r="O535" i="16"/>
  <c r="W533" i="16" s="1"/>
  <c r="N535" i="16"/>
  <c r="O534" i="16"/>
  <c r="S532" i="16" s="1"/>
  <c r="N534" i="16"/>
  <c r="O533" i="16"/>
  <c r="N533" i="16"/>
  <c r="O532" i="16"/>
  <c r="N532" i="16"/>
  <c r="X531" i="16"/>
  <c r="O531" i="16"/>
  <c r="N531" i="16"/>
  <c r="R520" i="16"/>
  <c r="F520" i="16"/>
  <c r="R519" i="16" s="1"/>
  <c r="F522" i="16"/>
  <c r="R521" i="16" s="1"/>
  <c r="F512" i="16"/>
  <c r="R509" i="16" s="1"/>
  <c r="F521" i="16"/>
  <c r="F519" i="16"/>
  <c r="O527" i="16"/>
  <c r="N527" i="16"/>
  <c r="O526" i="16"/>
  <c r="W525" i="16" s="1"/>
  <c r="N526" i="16"/>
  <c r="O525" i="16"/>
  <c r="N525" i="16"/>
  <c r="X524" i="16"/>
  <c r="O524" i="16"/>
  <c r="N524" i="16"/>
  <c r="O523" i="16"/>
  <c r="W521" i="16" s="1"/>
  <c r="N523" i="16"/>
  <c r="O522" i="16"/>
  <c r="W522" i="16" s="1"/>
  <c r="N522" i="16"/>
  <c r="O521" i="16"/>
  <c r="N521" i="16"/>
  <c r="O520" i="16"/>
  <c r="N520" i="16"/>
  <c r="X519" i="16"/>
  <c r="O519" i="16"/>
  <c r="N519" i="16"/>
  <c r="V511" i="16"/>
  <c r="F511" i="16"/>
  <c r="F510" i="16"/>
  <c r="O515" i="16"/>
  <c r="N515" i="16"/>
  <c r="O514" i="16"/>
  <c r="W513" i="16" s="1"/>
  <c r="X513" i="16" s="1"/>
  <c r="N514" i="16"/>
  <c r="O513" i="16"/>
  <c r="N513" i="16"/>
  <c r="X512" i="16"/>
  <c r="O512" i="16"/>
  <c r="N512" i="16"/>
  <c r="O511" i="16"/>
  <c r="W509" i="16" s="1"/>
  <c r="N511" i="16"/>
  <c r="O510" i="16"/>
  <c r="W510" i="16" s="1"/>
  <c r="N510" i="16"/>
  <c r="O509" i="16"/>
  <c r="N509" i="16"/>
  <c r="F509" i="16"/>
  <c r="O508" i="16"/>
  <c r="N508" i="16"/>
  <c r="F508" i="16"/>
  <c r="R507" i="16" s="1"/>
  <c r="AA506" i="16" s="1"/>
  <c r="X507" i="16"/>
  <c r="O507" i="16"/>
  <c r="N507" i="16"/>
  <c r="F507" i="16"/>
  <c r="V538" i="16" l="1"/>
  <c r="AC530" i="16"/>
  <c r="W658" i="16"/>
  <c r="AE653" i="16"/>
  <c r="V532" i="16"/>
  <c r="AA530" i="16"/>
  <c r="V523" i="16"/>
  <c r="AB518" i="16"/>
  <c r="S533" i="16"/>
  <c r="V575" i="16"/>
  <c r="AC567" i="16"/>
  <c r="V572" i="16"/>
  <c r="AB567" i="16"/>
  <c r="V614" i="16"/>
  <c r="AB609" i="16"/>
  <c r="V630" i="16"/>
  <c r="AC622" i="16"/>
  <c r="V627" i="16"/>
  <c r="AB622" i="16"/>
  <c r="W627" i="16"/>
  <c r="AE622" i="16"/>
  <c r="V661" i="16"/>
  <c r="AC653" i="16"/>
  <c r="V548" i="16"/>
  <c r="AB543" i="16"/>
  <c r="V658" i="16"/>
  <c r="AB653" i="16"/>
  <c r="V599" i="16"/>
  <c r="AA597" i="16"/>
  <c r="V514" i="16"/>
  <c r="AC506" i="16"/>
  <c r="V563" i="16"/>
  <c r="AC555" i="16"/>
  <c r="V551" i="16"/>
  <c r="AC543" i="16"/>
  <c r="W657" i="16"/>
  <c r="X657" i="16" s="1"/>
  <c r="W535" i="16"/>
  <c r="AE530" i="16"/>
  <c r="V557" i="16"/>
  <c r="AA555" i="16"/>
  <c r="V526" i="16"/>
  <c r="AC518" i="16"/>
  <c r="V535" i="16"/>
  <c r="AB530" i="16"/>
  <c r="V569" i="16"/>
  <c r="AA567" i="16"/>
  <c r="V520" i="16"/>
  <c r="AA518" i="16"/>
  <c r="V591" i="16"/>
  <c r="AC583" i="16"/>
  <c r="V602" i="16"/>
  <c r="AB597" i="16"/>
  <c r="S656" i="16"/>
  <c r="S625" i="16"/>
  <c r="X601" i="16"/>
  <c r="X613" i="16"/>
  <c r="X604" i="16"/>
  <c r="X616" i="16"/>
  <c r="W626" i="16"/>
  <c r="X626" i="16" s="1"/>
  <c r="X533" i="16"/>
  <c r="W534" i="16"/>
  <c r="X534" i="16" s="1"/>
  <c r="X570" i="16"/>
  <c r="X586" i="16"/>
  <c r="X612" i="16"/>
  <c r="S558" i="16"/>
  <c r="X509" i="16"/>
  <c r="X571" i="16"/>
  <c r="S611" i="16"/>
  <c r="X510" i="16"/>
  <c r="X522" i="16"/>
  <c r="X547" i="16"/>
  <c r="S546" i="16"/>
  <c r="S598" i="16"/>
  <c r="X574" i="16"/>
  <c r="X587" i="16"/>
  <c r="X525" i="16"/>
  <c r="X559" i="16"/>
  <c r="X590" i="16"/>
  <c r="X521" i="16"/>
  <c r="X600" i="16"/>
  <c r="X629" i="16"/>
  <c r="R657" i="16"/>
  <c r="V662" i="16" s="1"/>
  <c r="V655" i="16"/>
  <c r="S654" i="16"/>
  <c r="R626" i="16"/>
  <c r="V631" i="16" s="1"/>
  <c r="V624" i="16"/>
  <c r="S623" i="16"/>
  <c r="S610" i="16"/>
  <c r="S507" i="16"/>
  <c r="S599" i="16"/>
  <c r="S612" i="16"/>
  <c r="R613" i="16"/>
  <c r="V618" i="16" s="1"/>
  <c r="V611" i="16"/>
  <c r="S600" i="16"/>
  <c r="S509" i="16"/>
  <c r="S508" i="16"/>
  <c r="S557" i="16"/>
  <c r="S570" i="16"/>
  <c r="S568" i="16"/>
  <c r="S584" i="16"/>
  <c r="S519" i="16"/>
  <c r="S556" i="16"/>
  <c r="R601" i="16"/>
  <c r="V606" i="16" s="1"/>
  <c r="S544" i="16"/>
  <c r="S586" i="16"/>
  <c r="R587" i="16"/>
  <c r="V592" i="16" s="1"/>
  <c r="S585" i="16"/>
  <c r="V585" i="16"/>
  <c r="S569" i="16"/>
  <c r="R571" i="16"/>
  <c r="V576" i="16" s="1"/>
  <c r="R559" i="16"/>
  <c r="V564" i="16" s="1"/>
  <c r="V560" i="16"/>
  <c r="S545" i="16"/>
  <c r="R547" i="16"/>
  <c r="V552" i="16" s="1"/>
  <c r="V545" i="16"/>
  <c r="S531" i="16"/>
  <c r="R534" i="16"/>
  <c r="V539" i="16" s="1"/>
  <c r="S521" i="16"/>
  <c r="S520" i="16"/>
  <c r="R522" i="16"/>
  <c r="V527" i="16" s="1"/>
  <c r="R510" i="16"/>
  <c r="V515" i="16" s="1"/>
  <c r="V508" i="16"/>
  <c r="X477" i="16"/>
  <c r="O479" i="16"/>
  <c r="N479" i="16"/>
  <c r="O478" i="16"/>
  <c r="W477" i="16" s="1"/>
  <c r="N478" i="16"/>
  <c r="O477" i="16"/>
  <c r="N477" i="16"/>
  <c r="X501" i="16"/>
  <c r="X500" i="16"/>
  <c r="X495" i="16"/>
  <c r="R496" i="16"/>
  <c r="F498" i="16"/>
  <c r="R497" i="16" s="1"/>
  <c r="F497" i="16"/>
  <c r="F496" i="16"/>
  <c r="R495" i="16" s="1"/>
  <c r="F495" i="16"/>
  <c r="O503" i="16"/>
  <c r="N503" i="16"/>
  <c r="O502" i="16"/>
  <c r="W501" i="16" s="1"/>
  <c r="N502" i="16"/>
  <c r="O501" i="16"/>
  <c r="N501" i="16"/>
  <c r="O500" i="16"/>
  <c r="N500" i="16"/>
  <c r="O499" i="16"/>
  <c r="W497" i="16" s="1"/>
  <c r="N499" i="16"/>
  <c r="O498" i="16"/>
  <c r="W498" i="16" s="1"/>
  <c r="N498" i="16"/>
  <c r="O497" i="16"/>
  <c r="N497" i="16"/>
  <c r="O496" i="16"/>
  <c r="N496" i="16"/>
  <c r="O495" i="16"/>
  <c r="N495" i="16"/>
  <c r="R484" i="16"/>
  <c r="F485" i="16"/>
  <c r="R483" i="16" s="1"/>
  <c r="AA482" i="16" s="1"/>
  <c r="F488" i="16"/>
  <c r="R485" i="16" s="1"/>
  <c r="F487" i="16"/>
  <c r="F486" i="16"/>
  <c r="F484" i="16"/>
  <c r="F483" i="16"/>
  <c r="O491" i="16"/>
  <c r="N491" i="16"/>
  <c r="O490" i="16"/>
  <c r="W489" i="16" s="1"/>
  <c r="N490" i="16"/>
  <c r="X489" i="16"/>
  <c r="O489" i="16"/>
  <c r="N489" i="16"/>
  <c r="X488" i="16"/>
  <c r="O488" i="16"/>
  <c r="N488" i="16"/>
  <c r="O487" i="16"/>
  <c r="W485" i="16" s="1"/>
  <c r="N487" i="16"/>
  <c r="O486" i="16"/>
  <c r="W486" i="16" s="1"/>
  <c r="N486" i="16"/>
  <c r="O485" i="16"/>
  <c r="N485" i="16"/>
  <c r="O484" i="16"/>
  <c r="N484" i="16"/>
  <c r="X483" i="16"/>
  <c r="O483" i="16"/>
  <c r="N483" i="16"/>
  <c r="R472" i="16"/>
  <c r="F474" i="16"/>
  <c r="R473" i="16" s="1"/>
  <c r="F473" i="16"/>
  <c r="F471" i="16"/>
  <c r="F472" i="16"/>
  <c r="R471" i="16" s="1"/>
  <c r="AA470" i="16" s="1"/>
  <c r="X476" i="16"/>
  <c r="O476" i="16"/>
  <c r="N476" i="16"/>
  <c r="O475" i="16"/>
  <c r="W473" i="16" s="1"/>
  <c r="N475" i="16"/>
  <c r="O474" i="16"/>
  <c r="W474" i="16" s="1"/>
  <c r="N474" i="16"/>
  <c r="O473" i="16"/>
  <c r="N473" i="16"/>
  <c r="O472" i="16"/>
  <c r="N472" i="16"/>
  <c r="X471" i="16"/>
  <c r="O471" i="16"/>
  <c r="N471" i="16"/>
  <c r="R454" i="16"/>
  <c r="R442" i="16"/>
  <c r="AB440" i="16" s="1"/>
  <c r="R430" i="16"/>
  <c r="AB428" i="16" s="1"/>
  <c r="R418" i="16"/>
  <c r="AB416" i="16" s="1"/>
  <c r="R406" i="16"/>
  <c r="AB404" i="16" s="1"/>
  <c r="R394" i="16"/>
  <c r="AB392" i="16" s="1"/>
  <c r="R382" i="16"/>
  <c r="AB380" i="16" s="1"/>
  <c r="R365" i="16"/>
  <c r="AA364" i="16" s="1"/>
  <c r="R366" i="16"/>
  <c r="AB364" i="16" s="1"/>
  <c r="R354" i="16"/>
  <c r="AB352" i="16" s="1"/>
  <c r="R342" i="16"/>
  <c r="AB340" i="16" s="1"/>
  <c r="R329" i="16"/>
  <c r="AB327" i="16" s="1"/>
  <c r="R317" i="16"/>
  <c r="AB315" i="16" s="1"/>
  <c r="R305" i="16"/>
  <c r="AB303" i="16" s="1"/>
  <c r="R293" i="16"/>
  <c r="AB291" i="16" s="1"/>
  <c r="R281" i="16"/>
  <c r="AB279" i="16" s="1"/>
  <c r="R269" i="16"/>
  <c r="AB267" i="16" s="1"/>
  <c r="R257" i="16"/>
  <c r="AB255" i="16" s="1"/>
  <c r="R246" i="16"/>
  <c r="AB244" i="16" s="1"/>
  <c r="R233" i="16"/>
  <c r="AB231" i="16" s="1"/>
  <c r="R222" i="16"/>
  <c r="AB220" i="16" s="1"/>
  <c r="R210" i="16"/>
  <c r="AB208" i="16" s="1"/>
  <c r="R192" i="16"/>
  <c r="AC189" i="16" s="1"/>
  <c r="R190" i="16"/>
  <c r="AA189" i="16" s="1"/>
  <c r="R191" i="16"/>
  <c r="AB189" i="16" s="1"/>
  <c r="R155" i="16"/>
  <c r="AB153" i="16" s="1"/>
  <c r="R143" i="16"/>
  <c r="AB141" i="16" s="1"/>
  <c r="R123" i="16"/>
  <c r="AB121" i="16" s="1"/>
  <c r="R111" i="16"/>
  <c r="AB109" i="16" s="1"/>
  <c r="R99" i="16"/>
  <c r="AB97" i="16" s="1"/>
  <c r="R87" i="16"/>
  <c r="AB85" i="16" s="1"/>
  <c r="R75" i="16"/>
  <c r="AB73" i="16" s="1"/>
  <c r="R59" i="16"/>
  <c r="AB57" i="16" s="1"/>
  <c r="R45" i="16"/>
  <c r="AB43" i="16" s="1"/>
  <c r="F454" i="16"/>
  <c r="R453" i="16" s="1"/>
  <c r="AA452" i="16" s="1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3" i="16"/>
  <c r="O461" i="16"/>
  <c r="N461" i="16"/>
  <c r="V460" i="16"/>
  <c r="O460" i="16"/>
  <c r="W459" i="16" s="1"/>
  <c r="N460" i="16"/>
  <c r="X459" i="16"/>
  <c r="O459" i="16"/>
  <c r="N459" i="16"/>
  <c r="X458" i="16"/>
  <c r="O458" i="16"/>
  <c r="N458" i="16"/>
  <c r="O457" i="16"/>
  <c r="W455" i="16" s="1"/>
  <c r="N457" i="16"/>
  <c r="O456" i="16"/>
  <c r="W456" i="16" s="1"/>
  <c r="N456" i="16"/>
  <c r="O455" i="16"/>
  <c r="N455" i="16"/>
  <c r="O454" i="16"/>
  <c r="N454" i="16"/>
  <c r="X453" i="16"/>
  <c r="O453" i="16"/>
  <c r="N453" i="16"/>
  <c r="D35" i="16"/>
  <c r="C35" i="16"/>
  <c r="B35" i="16"/>
  <c r="D30" i="16"/>
  <c r="C30" i="16"/>
  <c r="B30" i="16"/>
  <c r="D24" i="16"/>
  <c r="C24" i="16"/>
  <c r="B24" i="16"/>
  <c r="D23" i="16"/>
  <c r="C23" i="16"/>
  <c r="B23" i="16"/>
  <c r="D21" i="16"/>
  <c r="C21" i="16"/>
  <c r="B21" i="16"/>
  <c r="D20" i="16"/>
  <c r="C20" i="16"/>
  <c r="B20" i="16"/>
  <c r="D18" i="16"/>
  <c r="C18" i="16"/>
  <c r="B18" i="16"/>
  <c r="I9" i="16"/>
  <c r="H9" i="16"/>
  <c r="I4" i="16"/>
  <c r="H4" i="16"/>
  <c r="C9" i="16"/>
  <c r="C4" i="16"/>
  <c r="B9" i="16"/>
  <c r="B4" i="16"/>
  <c r="X486" i="16" l="1"/>
  <c r="X627" i="16"/>
  <c r="X658" i="16"/>
  <c r="X535" i="16"/>
  <c r="V475" i="16"/>
  <c r="AB470" i="16"/>
  <c r="V496" i="16"/>
  <c r="AA494" i="16"/>
  <c r="W520" i="16"/>
  <c r="X520" i="16" s="1"/>
  <c r="AD518" i="16"/>
  <c r="W511" i="16"/>
  <c r="X511" i="16" s="1"/>
  <c r="AE506" i="16"/>
  <c r="W588" i="16"/>
  <c r="X588" i="16" s="1"/>
  <c r="AE583" i="16"/>
  <c r="W514" i="16"/>
  <c r="X514" i="16" s="1"/>
  <c r="AF506" i="16"/>
  <c r="W617" i="16"/>
  <c r="X617" i="16" s="1"/>
  <c r="AF609" i="16"/>
  <c r="W655" i="16"/>
  <c r="X655" i="16" s="1"/>
  <c r="AD653" i="16"/>
  <c r="X485" i="16"/>
  <c r="V490" i="16"/>
  <c r="AC482" i="16"/>
  <c r="V502" i="16"/>
  <c r="AC494" i="16"/>
  <c r="W548" i="16"/>
  <c r="X548" i="16" s="1"/>
  <c r="AE543" i="16"/>
  <c r="W605" i="16"/>
  <c r="X605" i="16" s="1"/>
  <c r="AF597" i="16"/>
  <c r="W602" i="16"/>
  <c r="X602" i="16" s="1"/>
  <c r="AE597" i="16"/>
  <c r="W614" i="16"/>
  <c r="X614" i="16" s="1"/>
  <c r="AE609" i="16"/>
  <c r="W630" i="16"/>
  <c r="X630" i="16" s="1"/>
  <c r="AF622" i="16"/>
  <c r="V499" i="16"/>
  <c r="AB494" i="16"/>
  <c r="W523" i="16"/>
  <c r="X523" i="16" s="1"/>
  <c r="AE518" i="16"/>
  <c r="W591" i="16"/>
  <c r="X591" i="16" s="1"/>
  <c r="AF583" i="16"/>
  <c r="W585" i="16"/>
  <c r="X585" i="16" s="1"/>
  <c r="AD583" i="16"/>
  <c r="W508" i="16"/>
  <c r="X508" i="16" s="1"/>
  <c r="AD506" i="16"/>
  <c r="W661" i="16"/>
  <c r="X661" i="16" s="1"/>
  <c r="AF653" i="16"/>
  <c r="V487" i="16"/>
  <c r="AB482" i="16"/>
  <c r="W526" i="16"/>
  <c r="X526" i="16" s="1"/>
  <c r="AF518" i="16"/>
  <c r="W545" i="16"/>
  <c r="AD543" i="16"/>
  <c r="W569" i="16"/>
  <c r="X569" i="16" s="1"/>
  <c r="AD567" i="16"/>
  <c r="W611" i="16"/>
  <c r="X611" i="16" s="1"/>
  <c r="AD609" i="16"/>
  <c r="V457" i="16"/>
  <c r="AB452" i="16"/>
  <c r="W624" i="16"/>
  <c r="X624" i="16" s="1"/>
  <c r="AD622" i="16"/>
  <c r="W563" i="16"/>
  <c r="X563" i="16" s="1"/>
  <c r="AF555" i="16"/>
  <c r="S534" i="16"/>
  <c r="W539" i="16" s="1"/>
  <c r="X539" i="16" s="1"/>
  <c r="AD530" i="16"/>
  <c r="S559" i="16"/>
  <c r="W564" i="16" s="1"/>
  <c r="X564" i="16" s="1"/>
  <c r="AD555" i="16"/>
  <c r="W575" i="16"/>
  <c r="X575" i="16" s="1"/>
  <c r="AF567" i="16"/>
  <c r="W551" i="16"/>
  <c r="X551" i="16" s="1"/>
  <c r="AF543" i="16"/>
  <c r="V478" i="16"/>
  <c r="AC470" i="16"/>
  <c r="W572" i="16"/>
  <c r="X572" i="16" s="1"/>
  <c r="AE567" i="16"/>
  <c r="W560" i="16"/>
  <c r="X560" i="16" s="1"/>
  <c r="AE555" i="16"/>
  <c r="W599" i="16"/>
  <c r="X599" i="16" s="1"/>
  <c r="AD597" i="16"/>
  <c r="W538" i="16"/>
  <c r="X538" i="16" s="1"/>
  <c r="AF530" i="16"/>
  <c r="X497" i="16"/>
  <c r="X498" i="16"/>
  <c r="S510" i="16"/>
  <c r="W515" i="16" s="1"/>
  <c r="X515" i="16" s="1"/>
  <c r="S657" i="16"/>
  <c r="W662" i="16" s="1"/>
  <c r="X662" i="16" s="1"/>
  <c r="S626" i="16"/>
  <c r="W631" i="16" s="1"/>
  <c r="X631" i="16" s="1"/>
  <c r="S547" i="16"/>
  <c r="W552" i="16" s="1"/>
  <c r="X552" i="16" s="1"/>
  <c r="S613" i="16"/>
  <c r="W618" i="16" s="1"/>
  <c r="X618" i="16" s="1"/>
  <c r="S601" i="16"/>
  <c r="W606" i="16" s="1"/>
  <c r="X606" i="16" s="1"/>
  <c r="W557" i="16"/>
  <c r="X557" i="16" s="1"/>
  <c r="S496" i="16"/>
  <c r="S587" i="16"/>
  <c r="W592" i="16" s="1"/>
  <c r="X592" i="16" s="1"/>
  <c r="S571" i="16"/>
  <c r="W576" i="16" s="1"/>
  <c r="X576" i="16" s="1"/>
  <c r="X545" i="16"/>
  <c r="W532" i="16"/>
  <c r="X532" i="16" s="1"/>
  <c r="S522" i="16"/>
  <c r="W527" i="16" s="1"/>
  <c r="X527" i="16" s="1"/>
  <c r="R474" i="16"/>
  <c r="V479" i="16" s="1"/>
  <c r="S497" i="16"/>
  <c r="S473" i="16"/>
  <c r="S453" i="16"/>
  <c r="S485" i="16"/>
  <c r="S495" i="16"/>
  <c r="S454" i="16"/>
  <c r="R498" i="16"/>
  <c r="V503" i="16" s="1"/>
  <c r="S483" i="16"/>
  <c r="AD482" i="16" s="1"/>
  <c r="S484" i="16"/>
  <c r="R486" i="16"/>
  <c r="V491" i="16" s="1"/>
  <c r="V484" i="16"/>
  <c r="S471" i="16"/>
  <c r="AD470" i="16" s="1"/>
  <c r="X473" i="16"/>
  <c r="S472" i="16"/>
  <c r="X474" i="16"/>
  <c r="V472" i="16"/>
  <c r="X455" i="16"/>
  <c r="S455" i="16"/>
  <c r="R456" i="16"/>
  <c r="V461" i="16" s="1"/>
  <c r="X456" i="16"/>
  <c r="V454" i="16"/>
  <c r="W496" i="16" l="1"/>
  <c r="X496" i="16" s="1"/>
  <c r="AD494" i="16"/>
  <c r="W475" i="16"/>
  <c r="X475" i="16" s="1"/>
  <c r="AE470" i="16"/>
  <c r="W457" i="16"/>
  <c r="X457" i="16" s="1"/>
  <c r="AE452" i="16"/>
  <c r="W490" i="16"/>
  <c r="X490" i="16" s="1"/>
  <c r="AF482" i="16"/>
  <c r="W454" i="16"/>
  <c r="AD452" i="16"/>
  <c r="W460" i="16"/>
  <c r="X460" i="16" s="1"/>
  <c r="AF452" i="16"/>
  <c r="W478" i="16"/>
  <c r="X478" i="16" s="1"/>
  <c r="AF470" i="16"/>
  <c r="W487" i="16"/>
  <c r="X487" i="16" s="1"/>
  <c r="AE482" i="16"/>
  <c r="W502" i="16"/>
  <c r="X502" i="16" s="1"/>
  <c r="AF494" i="16"/>
  <c r="W499" i="16"/>
  <c r="X499" i="16" s="1"/>
  <c r="AE494" i="16"/>
  <c r="S474" i="16"/>
  <c r="W479" i="16" s="1"/>
  <c r="X479" i="16" s="1"/>
  <c r="S456" i="16"/>
  <c r="W461" i="16" s="1"/>
  <c r="X461" i="16" s="1"/>
  <c r="S498" i="16"/>
  <c r="W503" i="16" s="1"/>
  <c r="X503" i="16" s="1"/>
  <c r="W472" i="16"/>
  <c r="X472" i="16" s="1"/>
  <c r="S486" i="16"/>
  <c r="W491" i="16" s="1"/>
  <c r="X491" i="16" s="1"/>
  <c r="W484" i="16"/>
  <c r="X484" i="16" s="1"/>
  <c r="X454" i="16"/>
  <c r="O261" i="16"/>
  <c r="O276" i="16"/>
  <c r="O288" i="16"/>
  <c r="O300" i="16"/>
  <c r="O312" i="16"/>
  <c r="O324" i="16"/>
  <c r="O336" i="16"/>
  <c r="O349" i="16"/>
  <c r="O361" i="16"/>
  <c r="O373" i="16"/>
  <c r="O389" i="16"/>
  <c r="O401" i="16"/>
  <c r="O413" i="16"/>
  <c r="O425" i="16"/>
  <c r="O437" i="16"/>
  <c r="O449" i="16"/>
  <c r="N449" i="16"/>
  <c r="O448" i="16"/>
  <c r="W447" i="16" s="1"/>
  <c r="N448" i="16"/>
  <c r="X447" i="16"/>
  <c r="O447" i="16"/>
  <c r="N447" i="16"/>
  <c r="X446" i="16"/>
  <c r="O446" i="16"/>
  <c r="N446" i="16"/>
  <c r="O445" i="16"/>
  <c r="W443" i="16" s="1"/>
  <c r="N445" i="16"/>
  <c r="O444" i="16"/>
  <c r="W444" i="16" s="1"/>
  <c r="N444" i="16"/>
  <c r="O443" i="16"/>
  <c r="N443" i="16"/>
  <c r="F443" i="16"/>
  <c r="R443" i="16" s="1"/>
  <c r="V445" i="16"/>
  <c r="O442" i="16"/>
  <c r="N442" i="16"/>
  <c r="F442" i="16"/>
  <c r="X441" i="16"/>
  <c r="R441" i="16"/>
  <c r="AA440" i="16" s="1"/>
  <c r="O441" i="16"/>
  <c r="N441" i="16"/>
  <c r="F441" i="16"/>
  <c r="N437" i="16"/>
  <c r="V436" i="16"/>
  <c r="O436" i="16"/>
  <c r="W435" i="16" s="1"/>
  <c r="N436" i="16"/>
  <c r="F436" i="16"/>
  <c r="O435" i="16"/>
  <c r="N435" i="16"/>
  <c r="F435" i="16"/>
  <c r="X434" i="16"/>
  <c r="O434" i="16"/>
  <c r="N434" i="16"/>
  <c r="F434" i="16"/>
  <c r="O433" i="16"/>
  <c r="W431" i="16" s="1"/>
  <c r="N433" i="16"/>
  <c r="X431" i="16" s="1"/>
  <c r="F433" i="16"/>
  <c r="O432" i="16"/>
  <c r="W432" i="16" s="1"/>
  <c r="N432" i="16"/>
  <c r="F432" i="16"/>
  <c r="O431" i="16"/>
  <c r="N431" i="16"/>
  <c r="F431" i="16"/>
  <c r="V433" i="16"/>
  <c r="O430" i="16"/>
  <c r="N430" i="16"/>
  <c r="F430" i="16"/>
  <c r="R429" i="16" s="1"/>
  <c r="AA428" i="16" s="1"/>
  <c r="X429" i="16"/>
  <c r="O429" i="16"/>
  <c r="N429" i="16"/>
  <c r="F429" i="16"/>
  <c r="N425" i="16"/>
  <c r="O424" i="16"/>
  <c r="W423" i="16" s="1"/>
  <c r="N424" i="16"/>
  <c r="X423" i="16"/>
  <c r="O423" i="16"/>
  <c r="N423" i="16"/>
  <c r="X422" i="16"/>
  <c r="O422" i="16"/>
  <c r="N422" i="16"/>
  <c r="O421" i="16"/>
  <c r="W419" i="16" s="1"/>
  <c r="N421" i="16"/>
  <c r="O420" i="16"/>
  <c r="W420" i="16" s="1"/>
  <c r="N420" i="16"/>
  <c r="F420" i="16"/>
  <c r="R419" i="16" s="1"/>
  <c r="O419" i="16"/>
  <c r="N419" i="16"/>
  <c r="F419" i="16"/>
  <c r="O418" i="16"/>
  <c r="N418" i="16"/>
  <c r="F418" i="16"/>
  <c r="R417" i="16" s="1"/>
  <c r="X417" i="16"/>
  <c r="O417" i="16"/>
  <c r="N417" i="16"/>
  <c r="F417" i="16"/>
  <c r="V421" i="16" s="1"/>
  <c r="N413" i="16"/>
  <c r="O412" i="16"/>
  <c r="W411" i="16" s="1"/>
  <c r="N412" i="16"/>
  <c r="X411" i="16"/>
  <c r="O411" i="16"/>
  <c r="N411" i="16"/>
  <c r="X410" i="16"/>
  <c r="O410" i="16"/>
  <c r="N410" i="16"/>
  <c r="O409" i="16"/>
  <c r="W407" i="16" s="1"/>
  <c r="N409" i="16"/>
  <c r="O408" i="16"/>
  <c r="W408" i="16" s="1"/>
  <c r="N408" i="16"/>
  <c r="F408" i="16"/>
  <c r="R407" i="16" s="1"/>
  <c r="O407" i="16"/>
  <c r="N407" i="16"/>
  <c r="F407" i="16"/>
  <c r="V409" i="16"/>
  <c r="O406" i="16"/>
  <c r="N406" i="16"/>
  <c r="F406" i="16"/>
  <c r="R405" i="16" s="1"/>
  <c r="AA404" i="16" s="1"/>
  <c r="X405" i="16"/>
  <c r="O405" i="16"/>
  <c r="N405" i="16"/>
  <c r="F405" i="16"/>
  <c r="N401" i="16"/>
  <c r="O400" i="16"/>
  <c r="W399" i="16" s="1"/>
  <c r="N400" i="16"/>
  <c r="O399" i="16"/>
  <c r="N399" i="16"/>
  <c r="X398" i="16"/>
  <c r="O398" i="16"/>
  <c r="N398" i="16"/>
  <c r="O397" i="16"/>
  <c r="N397" i="16"/>
  <c r="X396" i="16"/>
  <c r="O396" i="16"/>
  <c r="N396" i="16"/>
  <c r="F396" i="16"/>
  <c r="R395" i="16" s="1"/>
  <c r="X395" i="16"/>
  <c r="O395" i="16"/>
  <c r="N395" i="16"/>
  <c r="F395" i="16"/>
  <c r="O394" i="16"/>
  <c r="N394" i="16"/>
  <c r="F394" i="16"/>
  <c r="R393" i="16" s="1"/>
  <c r="AA392" i="16" s="1"/>
  <c r="X393" i="16"/>
  <c r="O393" i="16"/>
  <c r="N393" i="16"/>
  <c r="F393" i="16"/>
  <c r="V397" i="16" s="1"/>
  <c r="X397" i="16" s="1"/>
  <c r="N389" i="16"/>
  <c r="O388" i="16"/>
  <c r="W387" i="16" s="1"/>
  <c r="N388" i="16"/>
  <c r="O387" i="16"/>
  <c r="N387" i="16"/>
  <c r="X386" i="16"/>
  <c r="O386" i="16"/>
  <c r="N386" i="16"/>
  <c r="V385" i="16"/>
  <c r="O385" i="16"/>
  <c r="W383" i="16" s="1"/>
  <c r="N385" i="16"/>
  <c r="O384" i="16"/>
  <c r="W384" i="16" s="1"/>
  <c r="N384" i="16"/>
  <c r="F384" i="16"/>
  <c r="R383" i="16" s="1"/>
  <c r="O383" i="16"/>
  <c r="N383" i="16"/>
  <c r="F383" i="16"/>
  <c r="O382" i="16"/>
  <c r="N382" i="16"/>
  <c r="F382" i="16"/>
  <c r="R381" i="16" s="1"/>
  <c r="AA380" i="16" s="1"/>
  <c r="X381" i="16"/>
  <c r="O381" i="16"/>
  <c r="N381" i="16"/>
  <c r="F381" i="16"/>
  <c r="F376" i="16"/>
  <c r="F375" i="16"/>
  <c r="F374" i="16"/>
  <c r="N373" i="16"/>
  <c r="F373" i="16"/>
  <c r="O372" i="16"/>
  <c r="W371" i="16" s="1"/>
  <c r="N372" i="16"/>
  <c r="F372" i="16"/>
  <c r="O371" i="16"/>
  <c r="N371" i="16"/>
  <c r="F371" i="16"/>
  <c r="X370" i="16"/>
  <c r="O370" i="16"/>
  <c r="N370" i="16"/>
  <c r="F370" i="16"/>
  <c r="O369" i="16"/>
  <c r="W367" i="16" s="1"/>
  <c r="N369" i="16"/>
  <c r="F369" i="16"/>
  <c r="O368" i="16"/>
  <c r="W368" i="16" s="1"/>
  <c r="N368" i="16"/>
  <c r="F368" i="16"/>
  <c r="O367" i="16"/>
  <c r="N367" i="16"/>
  <c r="F367" i="16"/>
  <c r="O366" i="16"/>
  <c r="N366" i="16"/>
  <c r="F366" i="16"/>
  <c r="X365" i="16"/>
  <c r="V366" i="16"/>
  <c r="X366" i="16" s="1"/>
  <c r="O365" i="16"/>
  <c r="N365" i="16"/>
  <c r="F365" i="16"/>
  <c r="V369" i="16" s="1"/>
  <c r="N361" i="16"/>
  <c r="O360" i="16"/>
  <c r="W359" i="16" s="1"/>
  <c r="N360" i="16"/>
  <c r="X359" i="16"/>
  <c r="O359" i="16"/>
  <c r="N359" i="16"/>
  <c r="X358" i="16"/>
  <c r="O358" i="16"/>
  <c r="N358" i="16"/>
  <c r="V357" i="16"/>
  <c r="O357" i="16"/>
  <c r="W355" i="16" s="1"/>
  <c r="N357" i="16"/>
  <c r="O356" i="16"/>
  <c r="W356" i="16" s="1"/>
  <c r="N356" i="16"/>
  <c r="F356" i="16"/>
  <c r="R355" i="16" s="1"/>
  <c r="O355" i="16"/>
  <c r="N355" i="16"/>
  <c r="F355" i="16"/>
  <c r="O354" i="16"/>
  <c r="N354" i="16"/>
  <c r="F354" i="16"/>
  <c r="R353" i="16" s="1"/>
  <c r="X353" i="16"/>
  <c r="O353" i="16"/>
  <c r="N353" i="16"/>
  <c r="F353" i="16"/>
  <c r="N349" i="16"/>
  <c r="O348" i="16"/>
  <c r="W347" i="16" s="1"/>
  <c r="N348" i="16"/>
  <c r="X347" i="16"/>
  <c r="O347" i="16"/>
  <c r="N347" i="16"/>
  <c r="X346" i="16"/>
  <c r="O346" i="16"/>
  <c r="N346" i="16"/>
  <c r="O345" i="16"/>
  <c r="W343" i="16" s="1"/>
  <c r="N345" i="16"/>
  <c r="O344" i="16"/>
  <c r="W344" i="16" s="1"/>
  <c r="N344" i="16"/>
  <c r="F344" i="16"/>
  <c r="R343" i="16" s="1"/>
  <c r="O343" i="16"/>
  <c r="N343" i="16"/>
  <c r="F343" i="16"/>
  <c r="V345" i="16"/>
  <c r="O342" i="16"/>
  <c r="N342" i="16"/>
  <c r="F342" i="16"/>
  <c r="R341" i="16" s="1"/>
  <c r="AA340" i="16" s="1"/>
  <c r="X341" i="16"/>
  <c r="O341" i="16"/>
  <c r="N341" i="16"/>
  <c r="F341" i="16"/>
  <c r="N336" i="16"/>
  <c r="F336" i="16"/>
  <c r="O335" i="16"/>
  <c r="W334" i="16" s="1"/>
  <c r="N335" i="16"/>
  <c r="F335" i="16"/>
  <c r="O334" i="16"/>
  <c r="N334" i="16"/>
  <c r="F334" i="16"/>
  <c r="X333" i="16"/>
  <c r="O333" i="16"/>
  <c r="N333" i="16"/>
  <c r="F333" i="16"/>
  <c r="O332" i="16"/>
  <c r="W330" i="16" s="1"/>
  <c r="N332" i="16"/>
  <c r="F332" i="16"/>
  <c r="O331" i="16"/>
  <c r="W331" i="16" s="1"/>
  <c r="N331" i="16"/>
  <c r="F331" i="16"/>
  <c r="X330" i="16"/>
  <c r="O330" i="16"/>
  <c r="N330" i="16"/>
  <c r="F330" i="16"/>
  <c r="R330" i="16" s="1"/>
  <c r="O329" i="16"/>
  <c r="N329" i="16"/>
  <c r="F329" i="16"/>
  <c r="X328" i="16"/>
  <c r="O328" i="16"/>
  <c r="N328" i="16"/>
  <c r="F328" i="16"/>
  <c r="V332" i="16" s="1"/>
  <c r="N324" i="16"/>
  <c r="O323" i="16"/>
  <c r="W322" i="16" s="1"/>
  <c r="N323" i="16"/>
  <c r="X322" i="16"/>
  <c r="O322" i="16"/>
  <c r="N322" i="16"/>
  <c r="X321" i="16"/>
  <c r="O321" i="16"/>
  <c r="N321" i="16"/>
  <c r="O320" i="16"/>
  <c r="W318" i="16" s="1"/>
  <c r="N320" i="16"/>
  <c r="O319" i="16"/>
  <c r="W319" i="16" s="1"/>
  <c r="F319" i="16"/>
  <c r="R318" i="16" s="1"/>
  <c r="O318" i="16"/>
  <c r="N318" i="16"/>
  <c r="F318" i="16"/>
  <c r="V320" i="16"/>
  <c r="O317" i="16"/>
  <c r="N317" i="16"/>
  <c r="F317" i="16"/>
  <c r="R316" i="16" s="1"/>
  <c r="AA315" i="16" s="1"/>
  <c r="X316" i="16"/>
  <c r="O316" i="16"/>
  <c r="N316" i="16"/>
  <c r="F316" i="16"/>
  <c r="O311" i="16"/>
  <c r="X310" i="16"/>
  <c r="O310" i="16"/>
  <c r="X309" i="16"/>
  <c r="O309" i="16"/>
  <c r="V308" i="16"/>
  <c r="O308" i="16"/>
  <c r="X307" i="16"/>
  <c r="O307" i="16"/>
  <c r="F307" i="16"/>
  <c r="R306" i="16" s="1"/>
  <c r="X306" i="16"/>
  <c r="O306" i="16"/>
  <c r="F306" i="16"/>
  <c r="O305" i="16"/>
  <c r="F305" i="16"/>
  <c r="R304" i="16" s="1"/>
  <c r="AA303" i="16" s="1"/>
  <c r="X304" i="16"/>
  <c r="O304" i="16"/>
  <c r="F304" i="16"/>
  <c r="O299" i="16"/>
  <c r="X298" i="16"/>
  <c r="O298" i="16"/>
  <c r="X297" i="16"/>
  <c r="O297" i="16"/>
  <c r="O296" i="16"/>
  <c r="X295" i="16"/>
  <c r="O295" i="16"/>
  <c r="F295" i="16"/>
  <c r="R294" i="16" s="1"/>
  <c r="X294" i="16"/>
  <c r="O294" i="16"/>
  <c r="F294" i="16"/>
  <c r="O293" i="16"/>
  <c r="F293" i="16"/>
  <c r="R292" i="16" s="1"/>
  <c r="AA291" i="16" s="1"/>
  <c r="X292" i="16"/>
  <c r="O292" i="16"/>
  <c r="F292" i="16"/>
  <c r="V296" i="16" s="1"/>
  <c r="O287" i="16"/>
  <c r="X286" i="16"/>
  <c r="O286" i="16"/>
  <c r="X285" i="16"/>
  <c r="O285" i="16"/>
  <c r="O284" i="16"/>
  <c r="X283" i="16"/>
  <c r="O283" i="16"/>
  <c r="F283" i="16"/>
  <c r="R282" i="16" s="1"/>
  <c r="X282" i="16"/>
  <c r="O282" i="16"/>
  <c r="F282" i="16"/>
  <c r="O281" i="16"/>
  <c r="F281" i="16"/>
  <c r="R280" i="16" s="1"/>
  <c r="X280" i="16"/>
  <c r="O280" i="16"/>
  <c r="F280" i="16"/>
  <c r="V284" i="16" s="1"/>
  <c r="O275" i="16"/>
  <c r="X274" i="16"/>
  <c r="O274" i="16"/>
  <c r="X273" i="16"/>
  <c r="O273" i="16"/>
  <c r="O272" i="16"/>
  <c r="F272" i="16"/>
  <c r="X271" i="16"/>
  <c r="O271" i="16"/>
  <c r="F271" i="16"/>
  <c r="R270" i="16" s="1"/>
  <c r="X270" i="16"/>
  <c r="O270" i="16"/>
  <c r="F270" i="16"/>
  <c r="O269" i="16"/>
  <c r="F269" i="16"/>
  <c r="R268" i="16" s="1"/>
  <c r="AA267" i="16" s="1"/>
  <c r="X268" i="16"/>
  <c r="O268" i="16"/>
  <c r="F268" i="16"/>
  <c r="V272" i="16" s="1"/>
  <c r="O264" i="16"/>
  <c r="O263" i="16"/>
  <c r="X262" i="16"/>
  <c r="O262" i="16"/>
  <c r="X261" i="16"/>
  <c r="O260" i="16"/>
  <c r="X259" i="16"/>
  <c r="O259" i="16"/>
  <c r="F259" i="16"/>
  <c r="R258" i="16" s="1"/>
  <c r="X258" i="16"/>
  <c r="O258" i="16"/>
  <c r="F258" i="16"/>
  <c r="O257" i="16"/>
  <c r="F257" i="16"/>
  <c r="R256" i="16" s="1"/>
  <c r="X256" i="16"/>
  <c r="O256" i="16"/>
  <c r="F256" i="16"/>
  <c r="O252" i="16"/>
  <c r="X251" i="16"/>
  <c r="O251" i="16"/>
  <c r="X250" i="16"/>
  <c r="O250" i="16"/>
  <c r="O249" i="16"/>
  <c r="F249" i="16"/>
  <c r="R247" i="16" s="1"/>
  <c r="X248" i="16"/>
  <c r="O248" i="16"/>
  <c r="F248" i="16"/>
  <c r="X247" i="16"/>
  <c r="O247" i="16"/>
  <c r="F247" i="16"/>
  <c r="R245" i="16" s="1"/>
  <c r="V249" i="16"/>
  <c r="O246" i="16"/>
  <c r="F246" i="16"/>
  <c r="X245" i="16"/>
  <c r="O245" i="16"/>
  <c r="F245" i="16"/>
  <c r="O239" i="16"/>
  <c r="X238" i="16"/>
  <c r="O238" i="16"/>
  <c r="X237" i="16"/>
  <c r="O237" i="16"/>
  <c r="O236" i="16"/>
  <c r="F236" i="16"/>
  <c r="R234" i="16" s="1"/>
  <c r="X235" i="16"/>
  <c r="O235" i="16"/>
  <c r="F235" i="16"/>
  <c r="X234" i="16"/>
  <c r="O234" i="16"/>
  <c r="F234" i="16"/>
  <c r="V236" i="16"/>
  <c r="O233" i="16"/>
  <c r="F233" i="16"/>
  <c r="R232" i="16" s="1"/>
  <c r="X232" i="16"/>
  <c r="O232" i="16"/>
  <c r="F232" i="16"/>
  <c r="O228" i="16"/>
  <c r="X227" i="16"/>
  <c r="O227" i="16"/>
  <c r="F227" i="16"/>
  <c r="R223" i="16" s="1"/>
  <c r="X226" i="16"/>
  <c r="O226" i="16"/>
  <c r="F226" i="16"/>
  <c r="O225" i="16"/>
  <c r="F225" i="16"/>
  <c r="X224" i="16"/>
  <c r="O224" i="16"/>
  <c r="F224" i="16"/>
  <c r="X223" i="16"/>
  <c r="O223" i="16"/>
  <c r="F223" i="16"/>
  <c r="R221" i="16" s="1"/>
  <c r="V225" i="16"/>
  <c r="O222" i="16"/>
  <c r="F222" i="16"/>
  <c r="X221" i="16"/>
  <c r="O221" i="16"/>
  <c r="F221" i="16"/>
  <c r="W216" i="16"/>
  <c r="O216" i="16"/>
  <c r="X215" i="16"/>
  <c r="O215" i="16"/>
  <c r="X214" i="16"/>
  <c r="O214" i="16"/>
  <c r="O213" i="16"/>
  <c r="X212" i="16"/>
  <c r="O212" i="16"/>
  <c r="X211" i="16"/>
  <c r="R211" i="16"/>
  <c r="O211" i="16"/>
  <c r="F211" i="16"/>
  <c r="V213" i="16"/>
  <c r="X213" i="16" s="1"/>
  <c r="O210" i="16"/>
  <c r="F210" i="16"/>
  <c r="X209" i="16"/>
  <c r="O209" i="16"/>
  <c r="F209" i="16"/>
  <c r="R209" i="16" s="1"/>
  <c r="AA208" i="16" s="1"/>
  <c r="F204" i="16"/>
  <c r="F203" i="16"/>
  <c r="F202" i="16"/>
  <c r="F201" i="16"/>
  <c r="F200" i="16"/>
  <c r="F199" i="16"/>
  <c r="F198" i="16"/>
  <c r="O197" i="16"/>
  <c r="F197" i="16"/>
  <c r="X196" i="16"/>
  <c r="O196" i="16"/>
  <c r="F196" i="16"/>
  <c r="X195" i="16"/>
  <c r="O195" i="16"/>
  <c r="F195" i="16"/>
  <c r="V194" i="16"/>
  <c r="O194" i="16"/>
  <c r="F194" i="16"/>
  <c r="X193" i="16"/>
  <c r="O193" i="16"/>
  <c r="F193" i="16"/>
  <c r="X192" i="16"/>
  <c r="V197" i="16"/>
  <c r="O192" i="16"/>
  <c r="F192" i="16"/>
  <c r="O191" i="16"/>
  <c r="F191" i="16"/>
  <c r="X190" i="16"/>
  <c r="O190" i="16"/>
  <c r="F190" i="16"/>
  <c r="F185" i="16"/>
  <c r="F184" i="16"/>
  <c r="F183" i="16"/>
  <c r="F182" i="16"/>
  <c r="F181" i="16"/>
  <c r="F180" i="16"/>
  <c r="R156" i="16" s="1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R154" i="16" s="1"/>
  <c r="F167" i="16"/>
  <c r="F166" i="16"/>
  <c r="F165" i="16"/>
  <c r="F164" i="16"/>
  <c r="F163" i="16"/>
  <c r="F162" i="16"/>
  <c r="O161" i="16"/>
  <c r="F161" i="16"/>
  <c r="X160" i="16"/>
  <c r="O160" i="16"/>
  <c r="F160" i="16"/>
  <c r="X159" i="16"/>
  <c r="O159" i="16"/>
  <c r="F159" i="16"/>
  <c r="O158" i="16"/>
  <c r="F158" i="16"/>
  <c r="X157" i="16"/>
  <c r="O157" i="16"/>
  <c r="F157" i="16"/>
  <c r="X156" i="16"/>
  <c r="O156" i="16"/>
  <c r="F156" i="16"/>
  <c r="O155" i="16"/>
  <c r="F155" i="16"/>
  <c r="X154" i="16"/>
  <c r="O154" i="16"/>
  <c r="F154" i="16"/>
  <c r="O149" i="16"/>
  <c r="X148" i="16"/>
  <c r="O148" i="16"/>
  <c r="X147" i="16"/>
  <c r="O147" i="16"/>
  <c r="O146" i="16"/>
  <c r="X145" i="16"/>
  <c r="O145" i="16"/>
  <c r="F145" i="16"/>
  <c r="R144" i="16" s="1"/>
  <c r="AC141" i="16" s="1"/>
  <c r="X144" i="16"/>
  <c r="O144" i="16"/>
  <c r="F144" i="16"/>
  <c r="V146" i="16"/>
  <c r="O143" i="16"/>
  <c r="F143" i="16"/>
  <c r="R142" i="16" s="1"/>
  <c r="X142" i="16"/>
  <c r="O142" i="16"/>
  <c r="F142" i="16"/>
  <c r="F136" i="16"/>
  <c r="R124" i="16" s="1"/>
  <c r="F135" i="16"/>
  <c r="F134" i="16"/>
  <c r="F133" i="16"/>
  <c r="F132" i="16"/>
  <c r="F131" i="16"/>
  <c r="F130" i="16"/>
  <c r="O129" i="16"/>
  <c r="F129" i="16"/>
  <c r="X128" i="16"/>
  <c r="O128" i="16"/>
  <c r="F128" i="16"/>
  <c r="X127" i="16"/>
  <c r="O127" i="16"/>
  <c r="F127" i="16"/>
  <c r="O126" i="16"/>
  <c r="F126" i="16"/>
  <c r="X125" i="16"/>
  <c r="O125" i="16"/>
  <c r="F125" i="16"/>
  <c r="X124" i="16"/>
  <c r="O124" i="16"/>
  <c r="F124" i="16"/>
  <c r="V126" i="16"/>
  <c r="O123" i="16"/>
  <c r="F123" i="16"/>
  <c r="X122" i="16"/>
  <c r="O122" i="16"/>
  <c r="F122" i="16"/>
  <c r="R122" i="16" s="1"/>
  <c r="O117" i="16"/>
  <c r="X116" i="16"/>
  <c r="O116" i="16"/>
  <c r="X115" i="16"/>
  <c r="O115" i="16"/>
  <c r="W114" i="16"/>
  <c r="O114" i="16"/>
  <c r="X113" i="16"/>
  <c r="O113" i="16"/>
  <c r="X112" i="16"/>
  <c r="O112" i="16"/>
  <c r="F112" i="16"/>
  <c r="W111" i="16"/>
  <c r="O111" i="16"/>
  <c r="F111" i="16"/>
  <c r="R112" i="16" s="1"/>
  <c r="X110" i="16"/>
  <c r="R110" i="16"/>
  <c r="O110" i="16"/>
  <c r="F110" i="16"/>
  <c r="O105" i="16"/>
  <c r="X104" i="16"/>
  <c r="O104" i="16"/>
  <c r="X103" i="16"/>
  <c r="O103" i="16"/>
  <c r="O102" i="16"/>
  <c r="X101" i="16"/>
  <c r="O101" i="16"/>
  <c r="X100" i="16"/>
  <c r="R100" i="16"/>
  <c r="O100" i="16"/>
  <c r="F100" i="16"/>
  <c r="O99" i="16"/>
  <c r="F99" i="16"/>
  <c r="R98" i="16" s="1"/>
  <c r="AA97" i="16" s="1"/>
  <c r="X98" i="16"/>
  <c r="O98" i="16"/>
  <c r="F98" i="16"/>
  <c r="V102" i="16" s="1"/>
  <c r="O93" i="16"/>
  <c r="F93" i="16"/>
  <c r="X92" i="16"/>
  <c r="O92" i="16"/>
  <c r="F92" i="16"/>
  <c r="R88" i="16" s="1"/>
  <c r="X91" i="16"/>
  <c r="O91" i="16"/>
  <c r="F91" i="16"/>
  <c r="O90" i="16"/>
  <c r="F90" i="16"/>
  <c r="R86" i="16" s="1"/>
  <c r="AA85" i="16" s="1"/>
  <c r="X89" i="16"/>
  <c r="O89" i="16"/>
  <c r="F89" i="16"/>
  <c r="X88" i="16"/>
  <c r="O88" i="16"/>
  <c r="F88" i="16"/>
  <c r="V90" i="16"/>
  <c r="X90" i="16" s="1"/>
  <c r="O87" i="16"/>
  <c r="F87" i="16"/>
  <c r="X86" i="16"/>
  <c r="O86" i="16"/>
  <c r="F86" i="16"/>
  <c r="O81" i="16"/>
  <c r="X80" i="16"/>
  <c r="O80" i="16"/>
  <c r="X79" i="16"/>
  <c r="O79" i="16"/>
  <c r="O78" i="16"/>
  <c r="F78" i="16"/>
  <c r="X77" i="16"/>
  <c r="O77" i="16"/>
  <c r="F77" i="16"/>
  <c r="R76" i="16" s="1"/>
  <c r="X76" i="16"/>
  <c r="O76" i="16"/>
  <c r="F76" i="16"/>
  <c r="V78" i="16"/>
  <c r="O75" i="16"/>
  <c r="F75" i="16"/>
  <c r="X74" i="16"/>
  <c r="R74" i="16"/>
  <c r="O74" i="16"/>
  <c r="F74" i="16"/>
  <c r="F69" i="16"/>
  <c r="F68" i="16"/>
  <c r="R60" i="16" s="1"/>
  <c r="F67" i="16"/>
  <c r="F66" i="16"/>
  <c r="O65" i="16"/>
  <c r="F65" i="16"/>
  <c r="X64" i="16"/>
  <c r="O64" i="16"/>
  <c r="F64" i="16"/>
  <c r="X63" i="16"/>
  <c r="O63" i="16"/>
  <c r="F63" i="16"/>
  <c r="O62" i="16"/>
  <c r="F62" i="16"/>
  <c r="X61" i="16"/>
  <c r="O61" i="16"/>
  <c r="F61" i="16"/>
  <c r="X60" i="16"/>
  <c r="O60" i="16"/>
  <c r="F60" i="16"/>
  <c r="O59" i="16"/>
  <c r="F59" i="16"/>
  <c r="R58" i="16" s="1"/>
  <c r="AA57" i="16" s="1"/>
  <c r="X58" i="16"/>
  <c r="O58" i="16"/>
  <c r="F58" i="16"/>
  <c r="V62" i="16" s="1"/>
  <c r="X50" i="16"/>
  <c r="O50" i="16"/>
  <c r="F50" i="16"/>
  <c r="R46" i="16" s="1"/>
  <c r="E50" i="16"/>
  <c r="X49" i="16"/>
  <c r="O49" i="16"/>
  <c r="F49" i="16"/>
  <c r="R44" i="16" s="1"/>
  <c r="AA43" i="16" s="1"/>
  <c r="E49" i="16"/>
  <c r="O48" i="16"/>
  <c r="F48" i="16"/>
  <c r="E48" i="16"/>
  <c r="X47" i="16"/>
  <c r="O47" i="16"/>
  <c r="F47" i="16"/>
  <c r="E47" i="16"/>
  <c r="X46" i="16"/>
  <c r="O46" i="16"/>
  <c r="F46" i="16"/>
  <c r="E46" i="16"/>
  <c r="V48" i="16"/>
  <c r="O45" i="16"/>
  <c r="F45" i="16"/>
  <c r="E45" i="16"/>
  <c r="X44" i="16"/>
  <c r="O44" i="16"/>
  <c r="F44" i="16"/>
  <c r="E44" i="16"/>
  <c r="O43" i="16"/>
  <c r="F43" i="16"/>
  <c r="E43" i="16"/>
  <c r="N24" i="16"/>
  <c r="N21" i="16"/>
  <c r="N20" i="16"/>
  <c r="N18" i="16"/>
  <c r="X408" i="16" l="1"/>
  <c r="X420" i="16"/>
  <c r="X443" i="16"/>
  <c r="V155" i="16"/>
  <c r="AA153" i="16"/>
  <c r="V216" i="16"/>
  <c r="X216" i="16" s="1"/>
  <c r="AC208" i="16"/>
  <c r="V323" i="16"/>
  <c r="AC315" i="16"/>
  <c r="V412" i="16"/>
  <c r="AC404" i="16"/>
  <c r="V424" i="16"/>
  <c r="AC416" i="16"/>
  <c r="V105" i="16"/>
  <c r="X105" i="16" s="1"/>
  <c r="AC97" i="16"/>
  <c r="V222" i="16"/>
  <c r="AA220" i="16"/>
  <c r="V246" i="16"/>
  <c r="AA244" i="16"/>
  <c r="V257" i="16"/>
  <c r="AA255" i="16"/>
  <c r="V287" i="16"/>
  <c r="AC279" i="16"/>
  <c r="V111" i="16"/>
  <c r="X111" i="16" s="1"/>
  <c r="AA109" i="16"/>
  <c r="V65" i="16"/>
  <c r="AC57" i="16"/>
  <c r="V75" i="16"/>
  <c r="X75" i="16" s="1"/>
  <c r="AA73" i="16"/>
  <c r="V81" i="16"/>
  <c r="AC73" i="16"/>
  <c r="V129" i="16"/>
  <c r="AC121" i="16"/>
  <c r="V299" i="16"/>
  <c r="AC291" i="16"/>
  <c r="X399" i="16"/>
  <c r="V418" i="16"/>
  <c r="AA416" i="16"/>
  <c r="X432" i="16"/>
  <c r="V233" i="16"/>
  <c r="AA231" i="16"/>
  <c r="V311" i="16"/>
  <c r="AC303" i="16"/>
  <c r="V161" i="16"/>
  <c r="AC153" i="16"/>
  <c r="V228" i="16"/>
  <c r="AC220" i="16"/>
  <c r="V239" i="16"/>
  <c r="AC231" i="16"/>
  <c r="V281" i="16"/>
  <c r="AA279" i="16"/>
  <c r="V335" i="16"/>
  <c r="AC327" i="16"/>
  <c r="V448" i="16"/>
  <c r="AC440" i="16"/>
  <c r="V348" i="16"/>
  <c r="AC340" i="16"/>
  <c r="V360" i="16"/>
  <c r="AC352" i="16"/>
  <c r="V388" i="16"/>
  <c r="AC380" i="16"/>
  <c r="V51" i="16"/>
  <c r="AC43" i="16"/>
  <c r="V93" i="16"/>
  <c r="AC85" i="16"/>
  <c r="V123" i="16"/>
  <c r="AA121" i="16"/>
  <c r="V143" i="16"/>
  <c r="AA141" i="16"/>
  <c r="V263" i="16"/>
  <c r="AC255" i="16"/>
  <c r="V117" i="16"/>
  <c r="AC109" i="16"/>
  <c r="V252" i="16"/>
  <c r="AC244" i="16"/>
  <c r="V275" i="16"/>
  <c r="AC267" i="16"/>
  <c r="V354" i="16"/>
  <c r="AA352" i="16"/>
  <c r="V400" i="16"/>
  <c r="AC392" i="16"/>
  <c r="X371" i="16"/>
  <c r="X343" i="16"/>
  <c r="X355" i="16"/>
  <c r="X344" i="16"/>
  <c r="X356" i="16"/>
  <c r="X435" i="16"/>
  <c r="X444" i="16"/>
  <c r="X368" i="16"/>
  <c r="S394" i="16"/>
  <c r="AE392" i="16" s="1"/>
  <c r="X407" i="16"/>
  <c r="X419" i="16"/>
  <c r="R89" i="16"/>
  <c r="V94" i="16" s="1"/>
  <c r="S59" i="16"/>
  <c r="S305" i="16"/>
  <c r="S354" i="16"/>
  <c r="S76" i="16"/>
  <c r="S87" i="16"/>
  <c r="AE85" i="16" s="1"/>
  <c r="S234" i="16"/>
  <c r="S406" i="16"/>
  <c r="S329" i="16"/>
  <c r="S86" i="16"/>
  <c r="S365" i="16"/>
  <c r="AD364" i="16" s="1"/>
  <c r="S442" i="16"/>
  <c r="S429" i="16"/>
  <c r="S293" i="16"/>
  <c r="S156" i="16"/>
  <c r="S257" i="16"/>
  <c r="S192" i="16"/>
  <c r="S232" i="16"/>
  <c r="S45" i="16"/>
  <c r="S98" i="16"/>
  <c r="S112" i="16"/>
  <c r="AF109" i="16" s="1"/>
  <c r="S419" i="16"/>
  <c r="AF416" i="16" s="1"/>
  <c r="S317" i="16"/>
  <c r="S223" i="16"/>
  <c r="S247" i="16"/>
  <c r="AF244" i="16" s="1"/>
  <c r="S316" i="16"/>
  <c r="S417" i="16"/>
  <c r="AD416" i="16" s="1"/>
  <c r="S60" i="16"/>
  <c r="S155" i="16"/>
  <c r="S281" i="16"/>
  <c r="S341" i="16"/>
  <c r="S342" i="16"/>
  <c r="S123" i="16"/>
  <c r="S124" i="16"/>
  <c r="S268" i="16"/>
  <c r="AD267" i="16" s="1"/>
  <c r="R384" i="16"/>
  <c r="V389" i="16" s="1"/>
  <c r="S382" i="16"/>
  <c r="C32" i="16"/>
  <c r="I6" i="16"/>
  <c r="B32" i="16"/>
  <c r="D32" i="16"/>
  <c r="C6" i="16"/>
  <c r="X318" i="16"/>
  <c r="H7" i="16"/>
  <c r="B7" i="16"/>
  <c r="X331" i="16"/>
  <c r="S74" i="16"/>
  <c r="R77" i="16"/>
  <c r="V82" i="16" s="1"/>
  <c r="S269" i="16"/>
  <c r="R367" i="16"/>
  <c r="S430" i="16"/>
  <c r="S367" i="16"/>
  <c r="AF364" i="16" s="1"/>
  <c r="S270" i="16"/>
  <c r="S210" i="16"/>
  <c r="I7" i="16"/>
  <c r="D33" i="16"/>
  <c r="C7" i="16"/>
  <c r="C33" i="16"/>
  <c r="B33" i="16"/>
  <c r="R328" i="16"/>
  <c r="X334" i="16"/>
  <c r="B10" i="16"/>
  <c r="H10" i="16"/>
  <c r="X387" i="16"/>
  <c r="C10" i="16"/>
  <c r="I10" i="16"/>
  <c r="S355" i="16"/>
  <c r="S258" i="16"/>
  <c r="B36" i="16"/>
  <c r="D36" i="16"/>
  <c r="C36" i="16"/>
  <c r="X367" i="16"/>
  <c r="H6" i="16"/>
  <c r="B6" i="16"/>
  <c r="S443" i="16"/>
  <c r="S343" i="16"/>
  <c r="K9" i="16"/>
  <c r="D9" i="16"/>
  <c r="J9" i="16"/>
  <c r="S431" i="16"/>
  <c r="S330" i="16"/>
  <c r="S318" i="16"/>
  <c r="S246" i="16"/>
  <c r="S418" i="16"/>
  <c r="S407" i="16"/>
  <c r="S306" i="16"/>
  <c r="D4" i="16"/>
  <c r="K4" i="16"/>
  <c r="J4" i="16"/>
  <c r="S46" i="16"/>
  <c r="S191" i="16"/>
  <c r="R444" i="16"/>
  <c r="V449" i="16" s="1"/>
  <c r="S395" i="16"/>
  <c r="S294" i="16"/>
  <c r="S99" i="16"/>
  <c r="S75" i="16"/>
  <c r="S122" i="16"/>
  <c r="S144" i="16"/>
  <c r="AF141" i="16" s="1"/>
  <c r="S393" i="16"/>
  <c r="S383" i="16"/>
  <c r="S282" i="16"/>
  <c r="X197" i="16"/>
  <c r="S256" i="16"/>
  <c r="S44" i="16"/>
  <c r="AD43" i="16" s="1"/>
  <c r="S58" i="16"/>
  <c r="S154" i="16"/>
  <c r="S280" i="16"/>
  <c r="S405" i="16"/>
  <c r="S245" i="16"/>
  <c r="S292" i="16"/>
  <c r="S381" i="16"/>
  <c r="S142" i="16"/>
  <c r="S221" i="16"/>
  <c r="S353" i="16"/>
  <c r="S441" i="16"/>
  <c r="V342" i="16"/>
  <c r="R344" i="16"/>
  <c r="V349" i="16" s="1"/>
  <c r="R145" i="16"/>
  <c r="V150" i="16" s="1"/>
  <c r="M20" i="16"/>
  <c r="V149" i="16"/>
  <c r="X149" i="16" s="1"/>
  <c r="R125" i="16"/>
  <c r="V130" i="16" s="1"/>
  <c r="R408" i="16"/>
  <c r="V413" i="16" s="1"/>
  <c r="M23" i="16"/>
  <c r="N30" i="16"/>
  <c r="N35" i="16"/>
  <c r="R157" i="16"/>
  <c r="V162" i="16" s="1"/>
  <c r="V158" i="16"/>
  <c r="R259" i="16"/>
  <c r="V264" i="16" s="1"/>
  <c r="V260" i="16"/>
  <c r="V59" i="16"/>
  <c r="R61" i="16"/>
  <c r="V66" i="16" s="1"/>
  <c r="R212" i="16"/>
  <c r="V217" i="16" s="1"/>
  <c r="V210" i="16"/>
  <c r="X384" i="16"/>
  <c r="V114" i="16"/>
  <c r="X114" i="16" s="1"/>
  <c r="R113" i="16"/>
  <c r="V118" i="16" s="1"/>
  <c r="R271" i="16"/>
  <c r="V276" i="16" s="1"/>
  <c r="V269" i="16"/>
  <c r="X383" i="16"/>
  <c r="W117" i="16"/>
  <c r="X117" i="16" s="1"/>
  <c r="S113" i="16"/>
  <c r="W118" i="16" s="1"/>
  <c r="R101" i="16"/>
  <c r="V106" i="16" s="1"/>
  <c r="V99" i="16"/>
  <c r="N23" i="16"/>
  <c r="R193" i="16"/>
  <c r="V198" i="16" s="1"/>
  <c r="V191" i="16"/>
  <c r="S304" i="16"/>
  <c r="AD303" i="16" s="1"/>
  <c r="R356" i="16"/>
  <c r="V361" i="16" s="1"/>
  <c r="V406" i="16"/>
  <c r="R295" i="16"/>
  <c r="V300" i="16" s="1"/>
  <c r="V293" i="16"/>
  <c r="R307" i="16"/>
  <c r="V312" i="16" s="1"/>
  <c r="V305" i="16"/>
  <c r="V430" i="16"/>
  <c r="R432" i="16"/>
  <c r="V437" i="16" s="1"/>
  <c r="S100" i="16"/>
  <c r="R248" i="16"/>
  <c r="V253" i="16" s="1"/>
  <c r="R283" i="16"/>
  <c r="V288" i="16" s="1"/>
  <c r="X319" i="16"/>
  <c r="M30" i="16"/>
  <c r="R47" i="16"/>
  <c r="V52" i="16" s="1"/>
  <c r="V45" i="16"/>
  <c r="V87" i="16"/>
  <c r="S88" i="16"/>
  <c r="M24" i="16"/>
  <c r="M35" i="16"/>
  <c r="S328" i="16"/>
  <c r="AD327" i="16" s="1"/>
  <c r="V382" i="16"/>
  <c r="R396" i="16"/>
  <c r="V401" i="16" s="1"/>
  <c r="M21" i="16"/>
  <c r="S209" i="16"/>
  <c r="AD208" i="16" s="1"/>
  <c r="S233" i="16"/>
  <c r="M18" i="16"/>
  <c r="S222" i="16"/>
  <c r="R235" i="16"/>
  <c r="V240" i="16" s="1"/>
  <c r="R319" i="16"/>
  <c r="V324" i="16" s="1"/>
  <c r="W366" i="16"/>
  <c r="S366" i="16"/>
  <c r="S143" i="16"/>
  <c r="S190" i="16"/>
  <c r="AD189" i="16" s="1"/>
  <c r="R224" i="16"/>
  <c r="V229" i="16" s="1"/>
  <c r="R420" i="16"/>
  <c r="V425" i="16" s="1"/>
  <c r="V317" i="16"/>
  <c r="V394" i="16"/>
  <c r="V442" i="16"/>
  <c r="X442" i="16" s="1"/>
  <c r="W372" i="16" l="1"/>
  <c r="W252" i="16"/>
  <c r="X252" i="16" s="1"/>
  <c r="J10" i="16"/>
  <c r="D10" i="16"/>
  <c r="V372" i="16"/>
  <c r="B25" i="16" s="1"/>
  <c r="AC364" i="16"/>
  <c r="W272" i="16"/>
  <c r="X272" i="16" s="1"/>
  <c r="AE267" i="16"/>
  <c r="W129" i="16"/>
  <c r="X129" i="16" s="1"/>
  <c r="AF121" i="16"/>
  <c r="W317" i="16"/>
  <c r="X317" i="16" s="1"/>
  <c r="AD315" i="16"/>
  <c r="W233" i="16"/>
  <c r="X233" i="16" s="1"/>
  <c r="AD231" i="16"/>
  <c r="W87" i="16"/>
  <c r="X87" i="16" s="1"/>
  <c r="AD85" i="16"/>
  <c r="W62" i="16"/>
  <c r="X62" i="16" s="1"/>
  <c r="AE57" i="16"/>
  <c r="W48" i="16"/>
  <c r="X48" i="16" s="1"/>
  <c r="AE43" i="16"/>
  <c r="W308" i="16"/>
  <c r="X308" i="16" s="1"/>
  <c r="AE303" i="16"/>
  <c r="S444" i="16"/>
  <c r="W449" i="16" s="1"/>
  <c r="X449" i="16" s="1"/>
  <c r="AD440" i="16"/>
  <c r="W281" i="16"/>
  <c r="X281" i="16" s="1"/>
  <c r="AD279" i="16"/>
  <c r="W287" i="16"/>
  <c r="X287" i="16" s="1"/>
  <c r="AF279" i="16"/>
  <c r="W335" i="16"/>
  <c r="X335" i="16" s="1"/>
  <c r="AF327" i="16"/>
  <c r="W369" i="16"/>
  <c r="X369" i="16" s="1"/>
  <c r="AE364" i="16"/>
  <c r="W269" i="16"/>
  <c r="X269" i="16" s="1"/>
  <c r="W418" i="16"/>
  <c r="X418" i="16" s="1"/>
  <c r="W354" i="16"/>
  <c r="X354" i="16" s="1"/>
  <c r="AD352" i="16"/>
  <c r="S157" i="16"/>
  <c r="W162" i="16" s="1"/>
  <c r="X162" i="16" s="1"/>
  <c r="AD153" i="16"/>
  <c r="W388" i="16"/>
  <c r="X388" i="16" s="1"/>
  <c r="AF380" i="16"/>
  <c r="W102" i="16"/>
  <c r="X102" i="16" s="1"/>
  <c r="AE97" i="16"/>
  <c r="W436" i="16"/>
  <c r="X436" i="16" s="1"/>
  <c r="AF428" i="16"/>
  <c r="W126" i="16"/>
  <c r="X126" i="16" s="1"/>
  <c r="AE121" i="16"/>
  <c r="W197" i="16"/>
  <c r="AF189" i="16"/>
  <c r="W332" i="16"/>
  <c r="X332" i="16" s="1"/>
  <c r="AE327" i="16"/>
  <c r="W409" i="16"/>
  <c r="X409" i="16" s="1"/>
  <c r="AE404" i="16"/>
  <c r="W412" i="16"/>
  <c r="X412" i="16" s="1"/>
  <c r="AF404" i="16"/>
  <c r="W342" i="16"/>
  <c r="X342" i="16" s="1"/>
  <c r="AD340" i="16"/>
  <c r="W320" i="16"/>
  <c r="X320" i="16" s="1"/>
  <c r="AE315" i="16"/>
  <c r="W161" i="16"/>
  <c r="X161" i="16" s="1"/>
  <c r="AF153" i="16"/>
  <c r="W239" i="16"/>
  <c r="X239" i="16" s="1"/>
  <c r="AF231" i="16"/>
  <c r="W146" i="16"/>
  <c r="AE141" i="16"/>
  <c r="W406" i="16"/>
  <c r="X406" i="16" s="1"/>
  <c r="AD404" i="16"/>
  <c r="W228" i="16"/>
  <c r="X228" i="16" s="1"/>
  <c r="AF220" i="16"/>
  <c r="W236" i="16"/>
  <c r="X236" i="16" s="1"/>
  <c r="AE231" i="16"/>
  <c r="W260" i="16"/>
  <c r="AE255" i="16"/>
  <c r="W143" i="16"/>
  <c r="X143" i="16" s="1"/>
  <c r="AD141" i="16"/>
  <c r="W400" i="16"/>
  <c r="X400" i="16" s="1"/>
  <c r="AF392" i="16"/>
  <c r="W213" i="16"/>
  <c r="AE208" i="16"/>
  <c r="R368" i="16"/>
  <c r="V373" i="16" s="1"/>
  <c r="S259" i="16"/>
  <c r="W264" i="16" s="1"/>
  <c r="X264" i="16" s="1"/>
  <c r="AD255" i="16"/>
  <c r="W275" i="16"/>
  <c r="X275" i="16" s="1"/>
  <c r="AF267" i="16"/>
  <c r="S344" i="16"/>
  <c r="W349" i="16" s="1"/>
  <c r="X349" i="16" s="1"/>
  <c r="W293" i="16"/>
  <c r="X293" i="16" s="1"/>
  <c r="AD291" i="16"/>
  <c r="W123" i="16"/>
  <c r="X123" i="16" s="1"/>
  <c r="AD121" i="16"/>
  <c r="W194" i="16"/>
  <c r="X194" i="16" s="1"/>
  <c r="AE189" i="16"/>
  <c r="W348" i="16"/>
  <c r="X348" i="16" s="1"/>
  <c r="AF340" i="16"/>
  <c r="W263" i="16"/>
  <c r="X263" i="16" s="1"/>
  <c r="AF255" i="16"/>
  <c r="V329" i="16"/>
  <c r="B19" i="16" s="1"/>
  <c r="AA327" i="16"/>
  <c r="W385" i="16"/>
  <c r="X385" i="16" s="1"/>
  <c r="AE380" i="16"/>
  <c r="W158" i="16"/>
  <c r="X158" i="16" s="1"/>
  <c r="AE153" i="16"/>
  <c r="W430" i="16"/>
  <c r="X430" i="16" s="1"/>
  <c r="AD428" i="16"/>
  <c r="W81" i="16"/>
  <c r="X81" i="16" s="1"/>
  <c r="AF73" i="16"/>
  <c r="W323" i="16"/>
  <c r="X323" i="16" s="1"/>
  <c r="AF315" i="16"/>
  <c r="W222" i="16"/>
  <c r="X222" i="16" s="1"/>
  <c r="AD220" i="16"/>
  <c r="W59" i="16"/>
  <c r="X59" i="16" s="1"/>
  <c r="AD57" i="16"/>
  <c r="W394" i="16"/>
  <c r="X394" i="16" s="1"/>
  <c r="AD392" i="16"/>
  <c r="W299" i="16"/>
  <c r="X299" i="16" s="1"/>
  <c r="AF291" i="16"/>
  <c r="W311" i="16"/>
  <c r="X311" i="16" s="1"/>
  <c r="AF303" i="16"/>
  <c r="W345" i="16"/>
  <c r="X345" i="16" s="1"/>
  <c r="AE340" i="16"/>
  <c r="W75" i="16"/>
  <c r="AD73" i="16"/>
  <c r="W382" i="16"/>
  <c r="X382" i="16" s="1"/>
  <c r="AD380" i="16"/>
  <c r="W421" i="16"/>
  <c r="X421" i="16" s="1"/>
  <c r="AE416" i="16"/>
  <c r="W284" i="16"/>
  <c r="X284" i="16" s="1"/>
  <c r="AE279" i="16"/>
  <c r="W296" i="16"/>
  <c r="X296" i="16" s="1"/>
  <c r="AE291" i="16"/>
  <c r="W225" i="16"/>
  <c r="X225" i="16" s="1"/>
  <c r="AE220" i="16"/>
  <c r="W93" i="16"/>
  <c r="X93" i="16" s="1"/>
  <c r="AF85" i="16"/>
  <c r="W105" i="16"/>
  <c r="AF97" i="16"/>
  <c r="W424" i="16"/>
  <c r="X424" i="16" s="1"/>
  <c r="W246" i="16"/>
  <c r="X246" i="16" s="1"/>
  <c r="AD244" i="16"/>
  <c r="W78" i="16"/>
  <c r="X78" i="16" s="1"/>
  <c r="AE73" i="16"/>
  <c r="W51" i="16"/>
  <c r="X51" i="16" s="1"/>
  <c r="AF43" i="16"/>
  <c r="W249" i="16"/>
  <c r="X249" i="16" s="1"/>
  <c r="AE244" i="16"/>
  <c r="W448" i="16"/>
  <c r="X448" i="16" s="1"/>
  <c r="AF440" i="16"/>
  <c r="W360" i="16"/>
  <c r="X360" i="16" s="1"/>
  <c r="AF352" i="16"/>
  <c r="W433" i="16"/>
  <c r="X433" i="16" s="1"/>
  <c r="AE428" i="16"/>
  <c r="W65" i="16"/>
  <c r="X65" i="16" s="1"/>
  <c r="AF57" i="16"/>
  <c r="W99" i="16"/>
  <c r="X99" i="16" s="1"/>
  <c r="AD97" i="16"/>
  <c r="W445" i="16"/>
  <c r="X445" i="16" s="1"/>
  <c r="AE440" i="16"/>
  <c r="W357" i="16"/>
  <c r="X357" i="16" s="1"/>
  <c r="AE352" i="16"/>
  <c r="S47" i="16"/>
  <c r="W52" i="16" s="1"/>
  <c r="X52" i="16" s="1"/>
  <c r="X260" i="16"/>
  <c r="R331" i="16"/>
  <c r="V336" i="16" s="1"/>
  <c r="S125" i="16"/>
  <c r="W130" i="16" s="1"/>
  <c r="X130" i="16" s="1"/>
  <c r="K10" i="16"/>
  <c r="N36" i="16"/>
  <c r="J6" i="16"/>
  <c r="W442" i="16"/>
  <c r="S319" i="16"/>
  <c r="W324" i="16" s="1"/>
  <c r="X324" i="16" s="1"/>
  <c r="K7" i="16"/>
  <c r="S432" i="16"/>
  <c r="W437" i="16" s="1"/>
  <c r="X437" i="16" s="1"/>
  <c r="S77" i="16"/>
  <c r="W82" i="16" s="1"/>
  <c r="X82" i="16" s="1"/>
  <c r="S408" i="16"/>
  <c r="W413" i="16" s="1"/>
  <c r="X413" i="16" s="1"/>
  <c r="S295" i="16"/>
  <c r="W300" i="16" s="1"/>
  <c r="X300" i="16" s="1"/>
  <c r="W257" i="16"/>
  <c r="X257" i="16" s="1"/>
  <c r="W45" i="16"/>
  <c r="X45" i="16" s="1"/>
  <c r="X118" i="16"/>
  <c r="S61" i="16"/>
  <c r="W66" i="16" s="1"/>
  <c r="X66" i="16" s="1"/>
  <c r="S396" i="16"/>
  <c r="W401" i="16" s="1"/>
  <c r="X401" i="16" s="1"/>
  <c r="K6" i="16"/>
  <c r="N33" i="16"/>
  <c r="D6" i="16"/>
  <c r="N4" i="16"/>
  <c r="M4" i="16"/>
  <c r="N9" i="16"/>
  <c r="P9" i="16" s="1"/>
  <c r="S420" i="16"/>
  <c r="W425" i="16" s="1"/>
  <c r="X425" i="16" s="1"/>
  <c r="M36" i="16"/>
  <c r="S384" i="16"/>
  <c r="W389" i="16" s="1"/>
  <c r="X389" i="16" s="1"/>
  <c r="S235" i="16"/>
  <c r="W240" i="16" s="1"/>
  <c r="X240" i="16" s="1"/>
  <c r="M9" i="16"/>
  <c r="W155" i="16"/>
  <c r="X155" i="16" s="1"/>
  <c r="S356" i="16"/>
  <c r="W361" i="16" s="1"/>
  <c r="D7" i="16"/>
  <c r="J7" i="16"/>
  <c r="X191" i="16"/>
  <c r="D22" i="16"/>
  <c r="B22" i="16"/>
  <c r="C22" i="16"/>
  <c r="M33" i="16"/>
  <c r="S368" i="16"/>
  <c r="W373" i="16" s="1"/>
  <c r="S89" i="16"/>
  <c r="W94" i="16" s="1"/>
  <c r="X94" i="16" s="1"/>
  <c r="S101" i="16"/>
  <c r="W106" i="16" s="1"/>
  <c r="S307" i="16"/>
  <c r="W312" i="16" s="1"/>
  <c r="X312" i="16" s="1"/>
  <c r="W305" i="16"/>
  <c r="S224" i="16"/>
  <c r="W229" i="16" s="1"/>
  <c r="X229" i="16" s="1"/>
  <c r="S145" i="16"/>
  <c r="W150" i="16" s="1"/>
  <c r="X150" i="16" s="1"/>
  <c r="N32" i="16"/>
  <c r="M32" i="16"/>
  <c r="W329" i="16"/>
  <c r="S331" i="16"/>
  <c r="W336" i="16" s="1"/>
  <c r="S248" i="16"/>
  <c r="W253" i="16" s="1"/>
  <c r="X253" i="16" s="1"/>
  <c r="S271" i="16"/>
  <c r="W276" i="16" s="1"/>
  <c r="X276" i="16" s="1"/>
  <c r="W210" i="16"/>
  <c r="S212" i="16"/>
  <c r="W217" i="16" s="1"/>
  <c r="S193" i="16"/>
  <c r="W198" i="16" s="1"/>
  <c r="X198" i="16" s="1"/>
  <c r="W191" i="16"/>
  <c r="S283" i="16"/>
  <c r="W288" i="16" s="1"/>
  <c r="X288" i="16" s="1"/>
  <c r="X372" i="16" l="1"/>
  <c r="AL29" i="16"/>
  <c r="AM29" i="16" s="1"/>
  <c r="AL19" i="16"/>
  <c r="AL17" i="16"/>
  <c r="AL20" i="16"/>
  <c r="AF15" i="16"/>
  <c r="AL23" i="16"/>
  <c r="AT24" i="16"/>
  <c r="AT20" i="16"/>
  <c r="AL28" i="16"/>
  <c r="AM28" i="16" s="1"/>
  <c r="AF18" i="16"/>
  <c r="AL26" i="16"/>
  <c r="AM26" i="16" s="1"/>
  <c r="AT19" i="16"/>
  <c r="AT27" i="16"/>
  <c r="AF23" i="16"/>
  <c r="AT30" i="16"/>
  <c r="AT29" i="16"/>
  <c r="AT26" i="16"/>
  <c r="AF21" i="16"/>
  <c r="AF20" i="16"/>
  <c r="AT16" i="16"/>
  <c r="AT28" i="16"/>
  <c r="AF22" i="16"/>
  <c r="AT31" i="16"/>
  <c r="AL30" i="16"/>
  <c r="AM30" i="16" s="1"/>
  <c r="AL16" i="16"/>
  <c r="AM16" i="16" s="1"/>
  <c r="AL37" i="16"/>
  <c r="AL31" i="16"/>
  <c r="AM31" i="16" s="1"/>
  <c r="AT23" i="16"/>
  <c r="AL34" i="16"/>
  <c r="AF16" i="16"/>
  <c r="AT22" i="16"/>
  <c r="AT35" i="16"/>
  <c r="AF27" i="16"/>
  <c r="AT34" i="16"/>
  <c r="AT38" i="16"/>
  <c r="AT37" i="16"/>
  <c r="AT33" i="16"/>
  <c r="AF26" i="16"/>
  <c r="AF25" i="16"/>
  <c r="AT17" i="16"/>
  <c r="AT36" i="16"/>
  <c r="AF28" i="16"/>
  <c r="AL27" i="16"/>
  <c r="AM27" i="16" s="1"/>
  <c r="AL22" i="16"/>
  <c r="AL21" i="16"/>
  <c r="AL38" i="16"/>
  <c r="AT21" i="16"/>
  <c r="AF17" i="16"/>
  <c r="AL33" i="16"/>
  <c r="AL35" i="16"/>
  <c r="AT15" i="16"/>
  <c r="AL36" i="16"/>
  <c r="AL24" i="16"/>
  <c r="B26" i="16"/>
  <c r="H8" i="16"/>
  <c r="D25" i="16"/>
  <c r="C25" i="16"/>
  <c r="N25" i="16" s="1"/>
  <c r="M10" i="16"/>
  <c r="C34" i="16"/>
  <c r="N10" i="16"/>
  <c r="P10" i="16" s="1"/>
  <c r="X146" i="16"/>
  <c r="J8" i="16" s="1"/>
  <c r="C19" i="16"/>
  <c r="N19" i="16" s="1"/>
  <c r="X336" i="16"/>
  <c r="X329" i="16"/>
  <c r="D19" i="16"/>
  <c r="C26" i="16"/>
  <c r="C8" i="16"/>
  <c r="C11" i="16"/>
  <c r="H11" i="16"/>
  <c r="X373" i="16"/>
  <c r="I8" i="16"/>
  <c r="B11" i="16"/>
  <c r="C37" i="16"/>
  <c r="C5" i="16"/>
  <c r="B8" i="16"/>
  <c r="D26" i="16"/>
  <c r="D37" i="16"/>
  <c r="B34" i="16"/>
  <c r="I11" i="16"/>
  <c r="D34" i="16"/>
  <c r="B37" i="16"/>
  <c r="H14" i="16"/>
  <c r="I14" i="16"/>
  <c r="I5" i="16"/>
  <c r="C14" i="16"/>
  <c r="M6" i="16"/>
  <c r="N6" i="16"/>
  <c r="P6" i="16" s="1"/>
  <c r="X361" i="16"/>
  <c r="H5" i="16"/>
  <c r="K11" i="16"/>
  <c r="D11" i="16"/>
  <c r="D38" i="16"/>
  <c r="B38" i="16"/>
  <c r="B14" i="16"/>
  <c r="C38" i="16"/>
  <c r="X106" i="16"/>
  <c r="B5" i="16"/>
  <c r="B31" i="16"/>
  <c r="J11" i="16"/>
  <c r="C31" i="16"/>
  <c r="D31" i="16"/>
  <c r="X305" i="16"/>
  <c r="N22" i="16"/>
  <c r="M22" i="16"/>
  <c r="N7" i="16"/>
  <c r="P7" i="16" s="1"/>
  <c r="M7" i="16"/>
  <c r="X210" i="16"/>
  <c r="X217" i="16"/>
  <c r="D8" i="16" l="1"/>
  <c r="N8" i="16" s="1"/>
  <c r="P8" i="16" s="1"/>
  <c r="AU19" i="16"/>
  <c r="AM38" i="16"/>
  <c r="K8" i="16"/>
  <c r="AM35" i="16"/>
  <c r="AM37" i="16"/>
  <c r="AM33" i="16"/>
  <c r="AM34" i="16"/>
  <c r="M25" i="16"/>
  <c r="N34" i="16"/>
  <c r="M19" i="16"/>
  <c r="N26" i="16"/>
  <c r="M26" i="16"/>
  <c r="AM17" i="16"/>
  <c r="AM36" i="16"/>
  <c r="N37" i="16"/>
  <c r="M37" i="16"/>
  <c r="AU20" i="16"/>
  <c r="AU23" i="16"/>
  <c r="AU22" i="16"/>
  <c r="AU21" i="16"/>
  <c r="AU24" i="16"/>
  <c r="AU27" i="16"/>
  <c r="AU28" i="16"/>
  <c r="AU29" i="16"/>
  <c r="AU30" i="16"/>
  <c r="AU31" i="16"/>
  <c r="AU26" i="16"/>
  <c r="AU37" i="16"/>
  <c r="AU38" i="16"/>
  <c r="AU33" i="16"/>
  <c r="AU36" i="16"/>
  <c r="AU35" i="16"/>
  <c r="AU34" i="16"/>
  <c r="AM24" i="16"/>
  <c r="AM22" i="16"/>
  <c r="AM19" i="16"/>
  <c r="AM23" i="16"/>
  <c r="AM21" i="16"/>
  <c r="AM20" i="16"/>
  <c r="M34" i="16"/>
  <c r="D14" i="16"/>
  <c r="K5" i="16"/>
  <c r="J14" i="16"/>
  <c r="D5" i="16"/>
  <c r="N31" i="16"/>
  <c r="N11" i="16"/>
  <c r="P11" i="16" s="1"/>
  <c r="M31" i="16"/>
  <c r="J5" i="16"/>
  <c r="K14" i="16"/>
  <c r="M11" i="16"/>
  <c r="N38" i="16"/>
  <c r="M38" i="16"/>
  <c r="M8" i="16" l="1"/>
  <c r="N5" i="16"/>
  <c r="P5" i="16" s="1"/>
  <c r="M5" i="16"/>
  <c r="N14" i="16"/>
  <c r="P14" i="16" s="1"/>
  <c r="M14" i="16"/>
</calcChain>
</file>

<file path=xl/sharedStrings.xml><?xml version="1.0" encoding="utf-8"?>
<sst xmlns="http://schemas.openxmlformats.org/spreadsheetml/2006/main" count="25879" uniqueCount="592">
  <si>
    <t>LRA</t>
  </si>
  <si>
    <t>LSK</t>
  </si>
  <si>
    <t>Garage </t>
  </si>
  <si>
    <t>Ceiling</t>
  </si>
  <si>
    <t>mg/cm2</t>
  </si>
  <si>
    <t>Yes</t>
  </si>
  <si>
    <t>Soil #1</t>
  </si>
  <si>
    <t>ppm*</t>
  </si>
  <si>
    <t>Back wall</t>
  </si>
  <si>
    <t>No</t>
  </si>
  <si>
    <t>Door Casing</t>
  </si>
  <si>
    <t>Soil #2</t>
  </si>
  <si>
    <t>ppm</t>
  </si>
  <si>
    <t>Near garage</t>
  </si>
  <si>
    <t>Garage Door</t>
  </si>
  <si>
    <t>Soil #3</t>
  </si>
  <si>
    <t>Near sidewalk</t>
  </si>
  <si>
    <t>WhiteHouse </t>
  </si>
  <si>
    <t>Siding</t>
  </si>
  <si>
    <t>Paint #1</t>
  </si>
  <si>
    <t>Floor trim in dining room</t>
  </si>
  <si>
    <t>House </t>
  </si>
  <si>
    <t>Paint #2</t>
  </si>
  <si>
    <t>Exterior paint from house</t>
  </si>
  <si>
    <t>Window</t>
  </si>
  <si>
    <t>Dust #1</t>
  </si>
  <si>
    <t>Basement window sill</t>
  </si>
  <si>
    <t>Play Area </t>
  </si>
  <si>
    <t>Bare Soil External Play Area</t>
  </si>
  <si>
    <t>Dust #2</t>
  </si>
  <si>
    <t>Inside side door</t>
  </si>
  <si>
    <t>Entry </t>
  </si>
  <si>
    <t>Floor Surface</t>
  </si>
  <si>
    <t>ug/ft2</t>
  </si>
  <si>
    <t>Dust #3</t>
  </si>
  <si>
    <t>Outside near chipping paint</t>
  </si>
  <si>
    <t>Side of home</t>
  </si>
  <si>
    <t>mg/Kg</t>
  </si>
  <si>
    <t>Garden</t>
  </si>
  <si>
    <t>Basement </t>
  </si>
  <si>
    <t>Wall Surface</t>
  </si>
  <si>
    <t>Near road</t>
  </si>
  <si>
    <t>Bathroom1 </t>
  </si>
  <si>
    <t>Interior</t>
  </si>
  <si>
    <t>Not</t>
  </si>
  <si>
    <t>detected</t>
  </si>
  <si>
    <t>Exterior</t>
  </si>
  <si>
    <t>Bedroom1 </t>
  </si>
  <si>
    <t>All windows</t>
  </si>
  <si>
    <t>Bedroom2 </t>
  </si>
  <si>
    <t>Old dust</t>
  </si>
  <si>
    <t>No information provided</t>
  </si>
  <si>
    <t>Hallway </t>
  </si>
  <si>
    <t>Kitchen </t>
  </si>
  <si>
    <t>Window Sill</t>
  </si>
  <si>
    <t>House Interior </t>
  </si>
  <si>
    <t>Bathtub</t>
  </si>
  <si>
    <t>Living Room </t>
  </si>
  <si>
    <t>Bathroom</t>
  </si>
  <si>
    <t>Downstairs windows</t>
  </si>
  <si>
    <t>Ceiling fan</t>
  </si>
  <si>
    <t>Porch floor/entrance to house/stone steps</t>
  </si>
  <si>
    <t>Garage</t>
  </si>
  <si>
    <t>House</t>
  </si>
  <si>
    <t>Other</t>
  </si>
  <si>
    <t>n/a</t>
  </si>
  <si>
    <t>No sample provided</t>
  </si>
  <si>
    <t>Yard</t>
  </si>
  <si>
    <t>Yard Area</t>
  </si>
  <si>
    <t>Bare Soil Common Area</t>
  </si>
  <si>
    <t>Kitchen</t>
  </si>
  <si>
    <t>Entry</t>
  </si>
  <si>
    <t>Top of door</t>
  </si>
  <si>
    <t>House Interior</t>
  </si>
  <si>
    <t>Entrance to home</t>
  </si>
  <si>
    <t>House Exterior</t>
  </si>
  <si>
    <t>Bathroom 2</t>
  </si>
  <si>
    <t>Door Face</t>
  </si>
  <si>
    <t>Not enough sample</t>
  </si>
  <si>
    <t>Patio</t>
  </si>
  <si>
    <t>Downstairs window</t>
  </si>
  <si>
    <t>Porch floor</t>
  </si>
  <si>
    <t>No information</t>
  </si>
  <si>
    <t>Garden Area</t>
  </si>
  <si>
    <t>Bare Soil Common</t>
  </si>
  <si>
    <t>"ppm"</t>
  </si>
  <si>
    <t>Door Casing"</t>
  </si>
  <si>
    <t>"ppm*"</t>
  </si>
  <si>
    <t>"Side of home"</t>
  </si>
  <si>
    <t>Door Face"</t>
  </si>
  <si>
    <t>"n/a"</t>
  </si>
  <si>
    <t>"No sample provided"</t>
  </si>
  <si>
    <t>Soil - Play Area</t>
  </si>
  <si>
    <t>Baseboard"</t>
  </si>
  <si>
    <t>"Near road"</t>
  </si>
  <si>
    <t>Soil - Overall</t>
  </si>
  <si>
    <t>Cabinets"</t>
  </si>
  <si>
    <t>"Bathroom"</t>
  </si>
  <si>
    <t>Paint</t>
  </si>
  <si>
    <t>Wall Surface"</t>
  </si>
  <si>
    <t>"Front of home"</t>
  </si>
  <si>
    <t>Dust - Floor</t>
  </si>
  <si>
    <t>Window"</t>
  </si>
  <si>
    <t>"Downstairs windows"</t>
  </si>
  <si>
    <t>Dust - Window Sill</t>
  </si>
  <si>
    <t>"Ceiling fan"</t>
  </si>
  <si>
    <t>Dust - Overall</t>
  </si>
  <si>
    <t>"Other--porch window"</t>
  </si>
  <si>
    <t>Bathtub"</t>
  </si>
  <si>
    <t>Bedroom1</t>
  </si>
  <si>
    <t>Floor Surface"</t>
  </si>
  <si>
    <t>Marion County</t>
  </si>
  <si>
    <t>Dripline</t>
  </si>
  <si>
    <t>Bathroom1</t>
  </si>
  <si>
    <t>Street</t>
  </si>
  <si>
    <t>Type</t>
  </si>
  <si>
    <t>Soil</t>
  </si>
  <si>
    <t>Dust</t>
  </si>
  <si>
    <t>Overall</t>
  </si>
  <si>
    <t>Haz LRA</t>
  </si>
  <si>
    <t>N/A</t>
  </si>
  <si>
    <t>Overall Lead</t>
  </si>
  <si>
    <t>Agreement</t>
  </si>
  <si>
    <t>Red Cap ID</t>
  </si>
  <si>
    <t>Date Ran of Code</t>
  </si>
  <si>
    <t>Version of Code</t>
  </si>
  <si>
    <t>Threshold</t>
  </si>
  <si>
    <t>Comments</t>
  </si>
  <si>
    <t>LRA_LSK_30Aug22.m</t>
  </si>
  <si>
    <t>Agreement table</t>
  </si>
  <si>
    <t>All good</t>
  </si>
  <si>
    <t>LRA_LSK_30Aug22_v2.m</t>
  </si>
  <si>
    <t>LRA_LSK_21Jun22.m</t>
  </si>
  <si>
    <t>Comparison table</t>
  </si>
  <si>
    <t>LRA_LSK_23Jun22.m</t>
  </si>
  <si>
    <t>Erroring</t>
  </si>
  <si>
    <t>Erroring line 89 - addressing location mismatches on LRA</t>
  </si>
  <si>
    <t>line 90 - addressing location mismatches on LRA</t>
  </si>
  <si>
    <t>Missing LRA as of 30 Aug 22</t>
  </si>
  <si>
    <t>Erroring line 55 - </t>
  </si>
  <si>
    <t>Hand</t>
  </si>
  <si>
    <t>Performed by hand</t>
  </si>
  <si>
    <t>Erroring line 55 - House Interior -- Bathtub's result is in the format mg/cm2 without a number accompanying the units causing a mismatch in number of locations and number of quantification; will need to be done by hand</t>
  </si>
  <si>
    <t>Erroring line 71 - House Exterior -- Bathtub entry contains no result data, creating a mismatch in number of locations and number of quantification; will need to be done by hand</t>
  </si>
  <si>
    <t>No LRA or LSK data as of 30 Aug 22</t>
  </si>
  <si>
    <t>LRA_LSK_5Sep22</t>
  </si>
  <si>
    <t>Most was able to be done with code, but there was a blip with identifying hazards with the kit that was resolved by hand</t>
  </si>
  <si>
    <t>Date</t>
  </si>
  <si>
    <t>Excel generated</t>
  </si>
  <si>
    <t>Missing interior/exterior paint</t>
  </si>
  <si>
    <t>LRA_31May22</t>
  </si>
  <si>
    <t>All good for LRA</t>
  </si>
  <si>
    <t>SJC</t>
  </si>
  <si>
    <t>Equipment</t>
  </si>
  <si>
    <t>Porch/Stoop</t>
  </si>
  <si>
    <t>Floor</t>
  </si>
  <si>
    <t>Bathroom 1</t>
  </si>
  <si>
    <t>Dining Room</t>
  </si>
  <si>
    <t>Living Room</t>
  </si>
  <si>
    <t>Bedroom 1</t>
  </si>
  <si>
    <t>Side of Home</t>
  </si>
  <si>
    <t>Play Area</t>
  </si>
  <si>
    <t>Paint - Overall</t>
  </si>
  <si>
    <t>Paint - Interior</t>
  </si>
  <si>
    <t>Paint - Exterior</t>
  </si>
  <si>
    <t>LRA_31Aug22.m</t>
  </si>
  <si>
    <t>line 63 - indexing error</t>
  </si>
  <si>
    <t>LRA_31May22.m</t>
  </si>
  <si>
    <t>line 45 - indexing error</t>
  </si>
  <si>
    <t>Window Casing</t>
  </si>
  <si>
    <t>Column</t>
  </si>
  <si>
    <t>Stairwell</t>
  </si>
  <si>
    <t>Foyer</t>
  </si>
  <si>
    <t xml:space="preserve">Door  </t>
  </si>
  <si>
    <t>Baseboard</t>
  </si>
  <si>
    <t>Door</t>
  </si>
  <si>
    <t>Play area</t>
  </si>
  <si>
    <t>Dining room</t>
  </si>
  <si>
    <t>No info</t>
  </si>
  <si>
    <t>LSK_8Jun22</t>
  </si>
  <si>
    <t>Summary table</t>
  </si>
  <si>
    <t>All good for LSK</t>
  </si>
  <si>
    <t>Backyard</t>
  </si>
  <si>
    <t>Front yard</t>
  </si>
  <si>
    <t>LRA in format of analytical report; contains only soil samples</t>
  </si>
  <si>
    <t xml:space="preserve">House </t>
  </si>
  <si>
    <t xml:space="preserve"> Other</t>
  </si>
  <si>
    <t xml:space="preserve">Garden Area </t>
  </si>
  <si>
    <t xml:space="preserve">Family Room </t>
  </si>
  <si>
    <t xml:space="preserve"> Wall Surface</t>
  </si>
  <si>
    <t xml:space="preserve">Hallway </t>
  </si>
  <si>
    <t xml:space="preserve">Living Room </t>
  </si>
  <si>
    <t xml:space="preserve"> Window Sill</t>
  </si>
  <si>
    <t xml:space="preserve"> Bare Soil Within 3 ft of garage</t>
  </si>
  <si>
    <t>No location specified</t>
  </si>
  <si>
    <t>Erroring line 55 - indexing error</t>
  </si>
  <si>
    <t>Erroring line 40 - indexing error</t>
  </si>
  <si>
    <t>Guest room trim</t>
  </si>
  <si>
    <t>Front steps</t>
  </si>
  <si>
    <t>Erroring line 45 - indexing error</t>
  </si>
  <si>
    <t xml:space="preserve">House Exterior </t>
  </si>
  <si>
    <t xml:space="preserve">Entry </t>
  </si>
  <si>
    <t xml:space="preserve"> Bare Soil Within 3 Feet of House</t>
  </si>
  <si>
    <t>Post</t>
  </si>
  <si>
    <t>Railing</t>
  </si>
  <si>
    <t>Bare Soil Within 3 Feet of House</t>
  </si>
  <si>
    <t>Ceiling fan, top of door and all windows</t>
  </si>
  <si>
    <t>Porch floor and entrance to home</t>
  </si>
  <si>
    <t>Dust #4</t>
  </si>
  <si>
    <t>Bulk dust</t>
  </si>
  <si>
    <t>Windowsill</t>
  </si>
  <si>
    <t xml:space="preserve"> Window</t>
  </si>
  <si>
    <t xml:space="preserve">Bedroom2 </t>
  </si>
  <si>
    <t xml:space="preserve">Bedroom1 </t>
  </si>
  <si>
    <t xml:space="preserve"> Floor Surface</t>
  </si>
  <si>
    <t xml:space="preserve"> Bare Soil Common Area</t>
  </si>
  <si>
    <t>Erroring line 70 - horzcat error</t>
  </si>
  <si>
    <t xml:space="preserve"> Siding</t>
  </si>
  <si>
    <t>Housing Interior</t>
  </si>
  <si>
    <t>ug/g</t>
  </si>
  <si>
    <t xml:space="preserve"> Post</t>
  </si>
  <si>
    <t xml:space="preserve"> Door Casing</t>
  </si>
  <si>
    <t>Old Dust</t>
  </si>
  <si>
    <t>Bulk Dust</t>
  </si>
  <si>
    <t>5000 ppm</t>
  </si>
  <si>
    <t>400 ppm</t>
  </si>
  <si>
    <t>Soil - Non Play Area</t>
  </si>
  <si>
    <t>1200 ppm</t>
  </si>
  <si>
    <t>Dust - Windowsill</t>
  </si>
  <si>
    <t>230 ppm</t>
  </si>
  <si>
    <t>20 ppm</t>
  </si>
  <si>
    <t>1 mg/cm2</t>
  </si>
  <si>
    <t>100 ug/ft2</t>
  </si>
  <si>
    <t>10 ug/ft2</t>
  </si>
  <si>
    <t>Dust - Floor/Other</t>
  </si>
  <si>
    <t xml:space="preserve">Garage </t>
  </si>
  <si>
    <t xml:space="preserve"> Door Face</t>
  </si>
  <si>
    <t xml:space="preserve">Other </t>
  </si>
  <si>
    <t xml:space="preserve"> Baseboard</t>
  </si>
  <si>
    <t xml:space="preserve">Bedroom3 </t>
  </si>
  <si>
    <t xml:space="preserve"> Bare Soil External Play Area</t>
  </si>
  <si>
    <t xml:space="preserve">Dining Room </t>
  </si>
  <si>
    <t>Question about threshold level for bulk dust</t>
  </si>
  <si>
    <t xml:space="preserve">Play Area </t>
  </si>
  <si>
    <t>Erroring line 63 - indexing error</t>
  </si>
  <si>
    <t>Basement</t>
  </si>
  <si>
    <t>Stair Component</t>
  </si>
  <si>
    <t>Stairway</t>
  </si>
  <si>
    <t>Bedroom 2</t>
  </si>
  <si>
    <t xml:space="preserve">Kitchen </t>
  </si>
  <si>
    <t xml:space="preserve">Equipment </t>
  </si>
  <si>
    <t xml:space="preserve"> Ceiling</t>
  </si>
  <si>
    <t>Number of Agreements</t>
  </si>
  <si>
    <t>Where LRA is detecting Pb</t>
  </si>
  <si>
    <t>Where LSK is detecting Pb</t>
  </si>
  <si>
    <t>Both Yes</t>
  </si>
  <si>
    <t>Both No</t>
  </si>
  <si>
    <t>Total</t>
  </si>
  <si>
    <t>LRA Found</t>
  </si>
  <si>
    <t>LSK Found</t>
  </si>
  <si>
    <t>LRA and LSK Agreed</t>
  </si>
  <si>
    <t>LRA and LSK Disagreed</t>
  </si>
  <si>
    <t>All good - Now includes interior/exterior paint</t>
  </si>
  <si>
    <t>BarGraphs_19Sep22</t>
  </si>
  <si>
    <t>Bar Graph</t>
  </si>
  <si>
    <t>Total Homes</t>
  </si>
  <si>
    <t>Percent Agreed</t>
  </si>
  <si>
    <t>Total Homes with Data</t>
  </si>
  <si>
    <t>Presence of Lead Anywhere</t>
  </si>
  <si>
    <t>Other -- yard</t>
  </si>
  <si>
    <t>Near road and yard</t>
  </si>
  <si>
    <t>LSK Summary</t>
  </si>
  <si>
    <t>Fixed an error in which the LSK data was a duplicate with 910 Thomas St</t>
  </si>
  <si>
    <t>Went back and verified all the lead hazards as listed in LRAs</t>
  </si>
  <si>
    <t>Matlab EPA</t>
  </si>
  <si>
    <t>Excel EPA</t>
  </si>
  <si>
    <t>Deleted all homes in which LRA and LSK disagreed and the LSK was missing 3+ samples</t>
  </si>
  <si>
    <t>Code</t>
  </si>
  <si>
    <t>Excel</t>
  </si>
  <si>
    <t>Bathroom (interior)</t>
  </si>
  <si>
    <t>Back of home (exterior)</t>
  </si>
  <si>
    <t>Went back and added a column for comparing LSK measurements to changeable EPA thresholds; The summary table was then altered to reflect the new Excel EPA column</t>
  </si>
  <si>
    <t>Went back and added a column for comparing LRA measurements to changeable EPA thresholds; The summary table was then altered to reflect the new Excel EPA column</t>
  </si>
  <si>
    <t>BarGraphs_26Sep22</t>
  </si>
  <si>
    <t>Butterfly Plot</t>
  </si>
  <si>
    <t>Number</t>
  </si>
  <si>
    <t xml:space="preserve"> Bare Soil Within …</t>
  </si>
  <si>
    <t xml:space="preserve">Basement </t>
  </si>
  <si>
    <t xml:space="preserve">Yard Area </t>
  </si>
  <si>
    <t xml:space="preserve">Bathroom1 </t>
  </si>
  <si>
    <t xml:space="preserve"> Bare Soil Externa…</t>
  </si>
  <si>
    <t>Indexing Error - Line 45</t>
  </si>
  <si>
    <t>Indexing Error - Line 40</t>
  </si>
  <si>
    <t>Bedroom2</t>
  </si>
  <si>
    <t xml:space="preserve"> Bare Soil Common …</t>
  </si>
  <si>
    <t>Window sill</t>
  </si>
  <si>
    <t>LRA only had one entry and had a draft watermark on it</t>
  </si>
  <si>
    <t>Horzcat Error - Line 70</t>
  </si>
  <si>
    <t>Likely errored because the soil reading was L40 ppm</t>
  </si>
  <si>
    <t xml:space="preserve"> Floor</t>
  </si>
  <si>
    <t>Horzcat Error - Line 28</t>
  </si>
  <si>
    <t>Bare Soil Within 3 Feet of House (Dripline)</t>
  </si>
  <si>
    <t>Indexing Error - Line 63</t>
  </si>
  <si>
    <t>Horzcat Error - Line 55</t>
  </si>
  <si>
    <t>Cabinets</t>
  </si>
  <si>
    <t>Indexing Error - Line 62</t>
  </si>
  <si>
    <t>Indexing Error - Line 55</t>
  </si>
  <si>
    <t>Bedroom3</t>
  </si>
  <si>
    <t>Indexing Error - Line 70</t>
  </si>
  <si>
    <t xml:space="preserve">House Interior </t>
  </si>
  <si>
    <t>empty</t>
  </si>
  <si>
    <t>Decorations - Crystal Bowl</t>
  </si>
  <si>
    <t>mg/kg</t>
  </si>
  <si>
    <t>Producing a 0x4 empty string array</t>
  </si>
  <si>
    <t>Missing Data</t>
  </si>
  <si>
    <t>LRA does not contain any individual entries</t>
  </si>
  <si>
    <t>LRA has an error in one entry that needs to be followed up on</t>
  </si>
  <si>
    <t>Pet Area</t>
  </si>
  <si>
    <t xml:space="preserve"> Garage Door</t>
  </si>
  <si>
    <t>St. Joseph County</t>
  </si>
  <si>
    <t>No bulk for SJC</t>
  </si>
  <si>
    <t>Indexing Error - Line 54</t>
  </si>
  <si>
    <t>Hallway</t>
  </si>
  <si>
    <t>Need to determine how to handle the LSK dust samples when they don't have locations</t>
  </si>
  <si>
    <t>Near Road</t>
  </si>
  <si>
    <t>Back of home</t>
  </si>
  <si>
    <t>Porch floor and front steps</t>
  </si>
  <si>
    <t>Bare Soil Within 3 Feet of Garage</t>
  </si>
  <si>
    <t>&lt;40</t>
  </si>
  <si>
    <t>Other -- basement</t>
  </si>
  <si>
    <t>Front of home -- painted window exterior</t>
  </si>
  <si>
    <t>Upstairs window</t>
  </si>
  <si>
    <t>Ceiling fan and top of door</t>
  </si>
  <si>
    <t xml:space="preserve">Bathroom2 </t>
  </si>
  <si>
    <t>If found Pb in soil, # that also found in paint</t>
  </si>
  <si>
    <t>If found Pb in soil, # that also found in dust</t>
  </si>
  <si>
    <t>If found in soil, # that also found in paint and dust</t>
  </si>
  <si>
    <t>If found Pb in paint, # that also found in soil</t>
  </si>
  <si>
    <t>If found Pb in paint, # that also found in dust</t>
  </si>
  <si>
    <t>If found in paint, # that also found in soil and dust</t>
  </si>
  <si>
    <t>If found Pb in dust, # that also found in soil</t>
  </si>
  <si>
    <t>Number LRAs finding Pb in soil</t>
  </si>
  <si>
    <t>Number of LRAs finding Pb in paint</t>
  </si>
  <si>
    <t>Number of LRAs finding Pb in dust</t>
  </si>
  <si>
    <t>If found Pb in dust, # that also found in paint</t>
  </si>
  <si>
    <t>If found in dust, # that also found in soil and paint</t>
  </si>
  <si>
    <t>Number LSKs finding Pb in soil</t>
  </si>
  <si>
    <t>Number of LSKs finding Pb in paint</t>
  </si>
  <si>
    <t>Number of LSKs finding Pb in dust</t>
  </si>
  <si>
    <t>If LRA finds Pb in soil, # LSKs that find lead in soil</t>
  </si>
  <si>
    <t>If LRA finds Pb in paint, # LSKs that find lead in paint</t>
  </si>
  <si>
    <t>If LRA finds Pb in dust, # LSKs that find lead in dust</t>
  </si>
  <si>
    <t>If LRA finds Pb in soil, # LSKs that find lead in paint</t>
  </si>
  <si>
    <t>If LRA finds Pb in soil, # LSKs that find lead in dust</t>
  </si>
  <si>
    <t>If LRA finds Pb in soil, # LSKs that find lead in soil and paint</t>
  </si>
  <si>
    <t>If LRA finds Pb in soil, # LSKs that find lead in soil and dust</t>
  </si>
  <si>
    <t>If LRA finds Pb in soil, # LSKs that find lead in paint and dust</t>
  </si>
  <si>
    <t>If LRA finds Pb in soil, # LSKs that find lead in soil, paint and dust</t>
  </si>
  <si>
    <t>If LRA finds Pb in paint, # LSKs that find lead in soil</t>
  </si>
  <si>
    <t>If LRA finds Pb in paint, # LSKs that find lead in dust</t>
  </si>
  <si>
    <t>If LRA finds Pb in paint, # LSKs that find lead in soil and dust</t>
  </si>
  <si>
    <t>If LRA finds Pb in paint, # LSKs that find lead in soil and paint</t>
  </si>
  <si>
    <t>If LRA finds Pb in paint, # LSKs that find lead in paint and dust</t>
  </si>
  <si>
    <t>If LRA finds Pb in paint, # LSKs that find lead in soil, paint and dust</t>
  </si>
  <si>
    <t>If LRA finds Pb in dust, # LSKs that find lead in paint</t>
  </si>
  <si>
    <t>If LRA finds Pb in dust, # LSKs that find lead in soil and paint</t>
  </si>
  <si>
    <t>If LRA finds Pb in dust, # LSKs that find lead in soil</t>
  </si>
  <si>
    <t>If LRA finds Pb in dust, # LSKs that find lead in soil and dust</t>
  </si>
  <si>
    <t>If LRA finds Pb in dust, # LSKs that find lead in paint and dust</t>
  </si>
  <si>
    <t>If LRA finds Pb in dust, # LSKs that find lead in soil, paint and dust</t>
  </si>
  <si>
    <t>If LSK finds Pb in soil, # LRAs that find lead in soil</t>
  </si>
  <si>
    <t>If LSK finds Pb in paint, # LRAs that find lead in paint</t>
  </si>
  <si>
    <t>If LSK finds Pb in dust, # LRAs that find lead in dust</t>
  </si>
  <si>
    <t>If LSK finds Pb in soil, # LRAs that find lead in paint</t>
  </si>
  <si>
    <t>If LSK finds Pb in soil, # LRAs that find lead in dust</t>
  </si>
  <si>
    <t>If LSK finds Pb in soil, # LRAs that find lead in soil and paint</t>
  </si>
  <si>
    <t>If LSK finds Pb in soil, # LRAs that find lead in soil and dust</t>
  </si>
  <si>
    <t>If LSK finds Pb in soil, # LRAs that find lead in paint and dust</t>
  </si>
  <si>
    <t>If LSK finds Pb in soil, # LRAs that find lead in soil, paint and dust</t>
  </si>
  <si>
    <t>If LSK finds Pb in paint, # LRAs that find lead in soil</t>
  </si>
  <si>
    <t>If LSK finds Pb in paint, # LRAs that find lead in dust</t>
  </si>
  <si>
    <t>If LSK finds Pb in paint, # LRAs that find lead in soil and paint</t>
  </si>
  <si>
    <t>If LSK finds Pb in paint, # LRAs that find lead in soil and dust</t>
  </si>
  <si>
    <t>If LSK finds Pb in paint, # LRAs that find lead in paint and dust</t>
  </si>
  <si>
    <t>If LSK finds Pb in paint, # LRAs that find lead in soil, paint and dust</t>
  </si>
  <si>
    <t>If LSK finds Pb in dust, # LRAs that find lead in paint</t>
  </si>
  <si>
    <t>If LSK finds Pb in dust, # LRAs that find lead in soil</t>
  </si>
  <si>
    <t>If LSK finds Pb in dust, # LRAs that find lead in soil and paint</t>
  </si>
  <si>
    <t>If LSK finds Pb in dust, # LRAs that find lead in soil and dust</t>
  </si>
  <si>
    <t>If LSK finds Pb in dust, # LRAs that find lead in paint and dust</t>
  </si>
  <si>
    <t>If LSK finds Pb in dust, # LRAs that find lead in soil, paint and dust</t>
  </si>
  <si>
    <t>Family Room</t>
  </si>
  <si>
    <t>Front of Home</t>
  </si>
  <si>
    <t>Not detected</t>
  </si>
  <si>
    <t>Upstairs windows</t>
  </si>
  <si>
    <t>Outdoor siding</t>
  </si>
  <si>
    <t>Pantry</t>
  </si>
  <si>
    <t>L40</t>
  </si>
  <si>
    <t>L39</t>
  </si>
  <si>
    <t>Bare Soil Within 3 Feet of Garage (Dripline)</t>
  </si>
  <si>
    <t>Other--play area</t>
  </si>
  <si>
    <t>Other--dripline</t>
  </si>
  <si>
    <t>Front of home</t>
  </si>
  <si>
    <t>Other -- near curb in front of house; west side of curb near drain</t>
  </si>
  <si>
    <t>Other -- backyard-SW side by concrete drive</t>
  </si>
  <si>
    <t>Other -- baseboard in bedroom facing street</t>
  </si>
  <si>
    <t>Other -- side door threshold</t>
  </si>
  <si>
    <t>Other -- near garbage cans and gutter drain</t>
  </si>
  <si>
    <t>Garden near peeling window</t>
  </si>
  <si>
    <t>Near road (telephone pole)</t>
  </si>
  <si>
    <t>Other -- kitchen, dining, living, small bedroom, bathroom</t>
  </si>
  <si>
    <t>Top of door, all excluding door to garage</t>
  </si>
  <si>
    <t>Entrance to home (front door threshold)</t>
  </si>
  <si>
    <t>Indexing Error - Line 78</t>
  </si>
  <si>
    <t>Other (tile?)</t>
  </si>
  <si>
    <t>Other -- backyard</t>
  </si>
  <si>
    <t>Other -- back of house, dripline</t>
  </si>
  <si>
    <t>Other -- front of house, dripline</t>
  </si>
  <si>
    <t>Other -- outside inhouse</t>
  </si>
  <si>
    <t>Side of home (play area)</t>
  </si>
  <si>
    <t>Kid's room (upstairs)</t>
  </si>
  <si>
    <t>Top of door (downstairs)</t>
  </si>
  <si>
    <t>Vigo County</t>
  </si>
  <si>
    <t xml:space="preserve"> Stair Component</t>
  </si>
  <si>
    <t xml:space="preserve"> Cabinets</t>
  </si>
  <si>
    <t xml:space="preserve">Bedroom4 </t>
  </si>
  <si>
    <t>Other -- basement stairs</t>
  </si>
  <si>
    <t>Bathroom2</t>
  </si>
  <si>
    <t>Porter County</t>
  </si>
  <si>
    <t>Other -- back door</t>
  </si>
  <si>
    <t>Awaiting the remaining dust data for LSK</t>
  </si>
  <si>
    <t>Other -- pathway on side yard</t>
  </si>
  <si>
    <t>Kitchen doorway</t>
  </si>
  <si>
    <t>Other -- EX 1</t>
  </si>
  <si>
    <t>Side of home (window frame)</t>
  </si>
  <si>
    <t>Yard (front)</t>
  </si>
  <si>
    <t>Other -- office/bedroom</t>
  </si>
  <si>
    <t>Other -- Laundry Room</t>
  </si>
  <si>
    <t>Hallway/stairs</t>
  </si>
  <si>
    <t>Downstairs windows (3) and upstairs windows (2)</t>
  </si>
  <si>
    <t>Bathroom3</t>
  </si>
  <si>
    <t>Bathroom 3</t>
  </si>
  <si>
    <t>Bedroom4</t>
  </si>
  <si>
    <t>Other -- Backyard</t>
  </si>
  <si>
    <t>Parent's room</t>
  </si>
  <si>
    <t>Front of steps</t>
  </si>
  <si>
    <t>Other -- living room</t>
  </si>
  <si>
    <t>Entrance to door</t>
  </si>
  <si>
    <t>Downstairs Windows</t>
  </si>
  <si>
    <t>Guest room</t>
  </si>
  <si>
    <t xml:space="preserve">Door Casing </t>
  </si>
  <si>
    <t>Entrance to house</t>
  </si>
  <si>
    <t>Other Soil</t>
  </si>
  <si>
    <t>Other Paint</t>
  </si>
  <si>
    <t>Other Dust</t>
  </si>
  <si>
    <t>Yard 2</t>
  </si>
  <si>
    <t>Other (Antique Furniture)</t>
  </si>
  <si>
    <t>County</t>
  </si>
  <si>
    <t>MC</t>
  </si>
  <si>
    <t>Vigo</t>
  </si>
  <si>
    <t>Porter</t>
  </si>
  <si>
    <t># Interior</t>
  </si>
  <si>
    <t># Exterior</t>
  </si>
  <si>
    <t># Soil</t>
  </si>
  <si>
    <t># Dust</t>
  </si>
  <si>
    <t>Both Found</t>
  </si>
  <si>
    <t>Neither Found</t>
  </si>
  <si>
    <t>LIRA Found, LSK Missed</t>
  </si>
  <si>
    <t>LSK Found, LIRA Missed</t>
  </si>
  <si>
    <t>Total Number with Soil</t>
  </si>
  <si>
    <t>Total Number with Paint</t>
  </si>
  <si>
    <t>Total Number with Dust</t>
  </si>
  <si>
    <t>avg</t>
  </si>
  <si>
    <t>med</t>
  </si>
  <si>
    <t># &gt; 1</t>
  </si>
  <si>
    <t>Number of Samples</t>
  </si>
  <si>
    <t>Number over Limit</t>
  </si>
  <si>
    <t>Percent</t>
  </si>
  <si>
    <t>reminder of bulk fill in so that bulk dust samples aren't included</t>
  </si>
  <si>
    <t>Number over EPA Limit</t>
  </si>
  <si>
    <t>Sample Type Over EPA Lim</t>
  </si>
  <si>
    <t>Percent over EPA</t>
  </si>
  <si>
    <t>Number over CA Limit</t>
  </si>
  <si>
    <t>Percent Over EPA</t>
  </si>
  <si>
    <t>House Code</t>
  </si>
  <si>
    <t>367 (SJC)</t>
  </si>
  <si>
    <t>369 (SJC)</t>
  </si>
  <si>
    <t>370 (SJC)</t>
  </si>
  <si>
    <t>981 (SJC)</t>
  </si>
  <si>
    <t>980 (SJC)</t>
  </si>
  <si>
    <t>778 (SJC)</t>
  </si>
  <si>
    <t>683 (SJC)</t>
  </si>
  <si>
    <t>571 (SJC)</t>
  </si>
  <si>
    <t>519 (SJC)</t>
  </si>
  <si>
    <t>368 (SJC)</t>
  </si>
  <si>
    <t>171 (SJC)</t>
  </si>
  <si>
    <t>1310 (SJC)</t>
  </si>
  <si>
    <t>1305 (SJC)</t>
  </si>
  <si>
    <t>1269 (SJC)</t>
  </si>
  <si>
    <t>1268 (SJC)</t>
  </si>
  <si>
    <t>1267 (SJC)</t>
  </si>
  <si>
    <t>1266 (SJC)</t>
  </si>
  <si>
    <t>1263 (SJC)</t>
  </si>
  <si>
    <t>1261 (SJC)</t>
  </si>
  <si>
    <t>1258 (SJC)</t>
  </si>
  <si>
    <t>1257 (SJC)</t>
  </si>
  <si>
    <t>1208 (SJC)</t>
  </si>
  <si>
    <t>1207 (SJC)</t>
  </si>
  <si>
    <t>391 (MC)</t>
  </si>
  <si>
    <t>468 (MC)</t>
  </si>
  <si>
    <t>469 (MC)</t>
  </si>
  <si>
    <t>591 ( MC)</t>
  </si>
  <si>
    <t>592 (MC)</t>
  </si>
  <si>
    <t>618 (MC)</t>
  </si>
  <si>
    <t>742 (MC)</t>
  </si>
  <si>
    <t>745 (MC)</t>
  </si>
  <si>
    <t>749 (MC)</t>
  </si>
  <si>
    <t>774 (MC)</t>
  </si>
  <si>
    <t>859 (MC)</t>
  </si>
  <si>
    <t>862 (MC)</t>
  </si>
  <si>
    <t>863 (MC)</t>
  </si>
  <si>
    <t>872 (MC)</t>
  </si>
  <si>
    <t>1040 (MC)</t>
  </si>
  <si>
    <t>1144 (MC)</t>
  </si>
  <si>
    <t>1151 (MC)</t>
  </si>
  <si>
    <t>1152 (MC)</t>
  </si>
  <si>
    <t>1153 (MC)</t>
  </si>
  <si>
    <t>1154 (MC)</t>
  </si>
  <si>
    <t>1157 (MC)</t>
  </si>
  <si>
    <t>1160 (MC)</t>
  </si>
  <si>
    <t>1165 (MC)</t>
  </si>
  <si>
    <t>1168 (MC)</t>
  </si>
  <si>
    <t>1170 (MC)</t>
  </si>
  <si>
    <t>1171 (MC)</t>
  </si>
  <si>
    <t>1172 (MC)</t>
  </si>
  <si>
    <t>1175 (MC)</t>
  </si>
  <si>
    <t>1176 (MC)</t>
  </si>
  <si>
    <t>1179 (MC)</t>
  </si>
  <si>
    <t>1209 (MC)</t>
  </si>
  <si>
    <t>1210 (MC)</t>
  </si>
  <si>
    <t>1223 (MC)</t>
  </si>
  <si>
    <t>1241 (MC)</t>
  </si>
  <si>
    <t>1242 (MC)</t>
  </si>
  <si>
    <t>1243 (MC)</t>
  </si>
  <si>
    <t>1244 (MC)</t>
  </si>
  <si>
    <t>1245 (MC)</t>
  </si>
  <si>
    <t>1246 (MC)</t>
  </si>
  <si>
    <t>1265 (MC)</t>
  </si>
  <si>
    <t>1279 (MC)</t>
  </si>
  <si>
    <t>1282 (MC)</t>
  </si>
  <si>
    <t>1283 (MC)</t>
  </si>
  <si>
    <t>1284 (MC)</t>
  </si>
  <si>
    <t>1288 (MC)</t>
  </si>
  <si>
    <t>1289 (MC)</t>
  </si>
  <si>
    <t>1290 (MC)</t>
  </si>
  <si>
    <t>1291 (MC)</t>
  </si>
  <si>
    <t>1293 (MC)</t>
  </si>
  <si>
    <t>1317 (SJC)</t>
  </si>
  <si>
    <t>1318 (MC)</t>
  </si>
  <si>
    <t>1345 (MC)</t>
  </si>
  <si>
    <t>1346 (MC)</t>
  </si>
  <si>
    <t>1347 (SJC)</t>
  </si>
  <si>
    <t>1350 (MC)</t>
  </si>
  <si>
    <t>1355 (MC)</t>
  </si>
  <si>
    <t>1356 (SJC)</t>
  </si>
  <si>
    <t>1401 (Vigo)</t>
  </si>
  <si>
    <t>1402 (Vigo)</t>
  </si>
  <si>
    <t>1403 (SJC)</t>
  </si>
  <si>
    <t>1415 (SJC)</t>
  </si>
  <si>
    <t>1511 (MC)</t>
  </si>
  <si>
    <t>1513 (Other)</t>
  </si>
  <si>
    <t>1515 (MC)</t>
  </si>
  <si>
    <t>1516 (MC)</t>
  </si>
  <si>
    <t>1517 (MC)</t>
  </si>
  <si>
    <t>1519 (MC)</t>
  </si>
  <si>
    <t>1520 (MC)</t>
  </si>
  <si>
    <t>1547 (MC)</t>
  </si>
  <si>
    <t>1436 (SJC)</t>
  </si>
  <si>
    <t>1437 (SJC)</t>
  </si>
  <si>
    <t>1448 (SJC)</t>
  </si>
  <si>
    <t>1487 (SJC)</t>
  </si>
  <si>
    <t>1490 (SJC)</t>
  </si>
  <si>
    <t>1493 (SJC)</t>
  </si>
  <si>
    <t>1504 (SJC)</t>
  </si>
  <si>
    <t>1505 (SJC)</t>
  </si>
  <si>
    <t>1518 (SJC)</t>
  </si>
  <si>
    <t>1524 (SJC)</t>
  </si>
  <si>
    <t>1525 (SJC)</t>
  </si>
  <si>
    <t>1529 (SJC)</t>
  </si>
  <si>
    <t>1533 (SJC)</t>
  </si>
  <si>
    <t>1532 (SJC)</t>
  </si>
  <si>
    <t>1292 (MC)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</si>
</sst>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A709F5"/>
      <name val="Menlo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Verdana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Verdana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4"/>
      <name val="Calibri"/>
      <family val="2"/>
    </font>
    <font>
      <u/>
      <sz val="12"/>
      <color theme="10"/>
      <name val="Calibri"/>
      <family val="2"/>
    </font>
    <font>
      <sz val="12"/>
      <color rgb="FFA709F5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6B4C6"/>
        <bgColor indexed="64"/>
      </patternFill>
    </fill>
    <fill>
      <patternFill patternType="solid">
        <fgColor rgb="FFFF83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1"/>
    <xf numFmtId="15" fontId="0" fillId="0" borderId="0" xfId="0" applyNumberFormat="1"/>
    <xf numFmtId="15" fontId="3" fillId="0" borderId="0" xfId="0" applyNumberFormat="1" applyFont="1"/>
    <xf numFmtId="15" fontId="7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2" borderId="0" xfId="0" applyFont="1" applyFill="1"/>
    <xf numFmtId="0" fontId="0" fillId="2" borderId="0" xfId="0" applyFill="1"/>
    <xf numFmtId="9" fontId="0" fillId="0" borderId="0" xfId="2" applyFont="1"/>
    <xf numFmtId="0" fontId="11" fillId="0" borderId="0" xfId="0" applyFont="1"/>
    <xf numFmtId="9" fontId="11" fillId="0" borderId="0" xfId="2" applyFont="1"/>
    <xf numFmtId="0" fontId="3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12" fillId="0" borderId="0" xfId="0" applyFont="1"/>
    <xf numFmtId="15" fontId="12" fillId="0" borderId="0" xfId="0" applyNumberFormat="1" applyFont="1"/>
    <xf numFmtId="15" fontId="0" fillId="2" borderId="0" xfId="0" applyNumberFormat="1" applyFill="1"/>
    <xf numFmtId="0" fontId="9" fillId="4" borderId="0" xfId="0" applyFont="1" applyFill="1"/>
    <xf numFmtId="0" fontId="0" fillId="5" borderId="0" xfId="0" applyFill="1"/>
    <xf numFmtId="0" fontId="0" fillId="0" borderId="0" xfId="0" applyAlignment="1">
      <alignment horizontal="right"/>
    </xf>
    <xf numFmtId="0" fontId="14" fillId="0" borderId="0" xfId="0" applyFont="1"/>
    <xf numFmtId="9" fontId="0" fillId="2" borderId="0" xfId="2" applyFont="1" applyFill="1"/>
    <xf numFmtId="0" fontId="3" fillId="6" borderId="0" xfId="0" applyFont="1" applyFill="1"/>
    <xf numFmtId="0" fontId="0" fillId="6" borderId="0" xfId="0" applyFill="1"/>
    <xf numFmtId="9" fontId="10" fillId="0" borderId="0" xfId="2" applyFont="1"/>
    <xf numFmtId="9" fontId="0" fillId="0" borderId="0" xfId="2" applyFont="1" applyFill="1"/>
    <xf numFmtId="9" fontId="0" fillId="6" borderId="0" xfId="2" applyFont="1" applyFill="1"/>
    <xf numFmtId="0" fontId="0" fillId="8" borderId="0" xfId="0" applyFill="1"/>
    <xf numFmtId="9" fontId="0" fillId="8" borderId="0" xfId="2" applyFont="1" applyFill="1"/>
    <xf numFmtId="0" fontId="0" fillId="8" borderId="0" xfId="2" applyNumberFormat="1" applyFont="1" applyFill="1"/>
    <xf numFmtId="9" fontId="0" fillId="8" borderId="0" xfId="0" applyNumberFormat="1" applyFill="1"/>
    <xf numFmtId="0" fontId="0" fillId="9" borderId="0" xfId="0" applyFill="1"/>
    <xf numFmtId="0" fontId="0" fillId="9" borderId="0" xfId="2" applyNumberFormat="1" applyFont="1" applyFill="1"/>
    <xf numFmtId="9" fontId="0" fillId="9" borderId="0" xfId="0" applyNumberFormat="1" applyFill="1"/>
    <xf numFmtId="9" fontId="10" fillId="9" borderId="0" xfId="2" applyFont="1" applyFill="1"/>
    <xf numFmtId="0" fontId="0" fillId="10" borderId="0" xfId="0" applyFill="1"/>
    <xf numFmtId="0" fontId="0" fillId="10" borderId="0" xfId="2" applyNumberFormat="1" applyFont="1" applyFill="1"/>
    <xf numFmtId="9" fontId="0" fillId="10" borderId="0" xfId="0" applyNumberFormat="1" applyFill="1"/>
    <xf numFmtId="0" fontId="0" fillId="0" borderId="0" xfId="0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10" borderId="0" xfId="0" applyFont="1" applyFill="1"/>
    <xf numFmtId="0" fontId="15" fillId="10" borderId="0" xfId="0" applyFont="1" applyFill="1"/>
    <xf numFmtId="9" fontId="15" fillId="0" borderId="0" xfId="2" applyFont="1"/>
    <xf numFmtId="9" fontId="14" fillId="0" borderId="0" xfId="2" applyFont="1"/>
    <xf numFmtId="0" fontId="16" fillId="0" borderId="0" xfId="0" applyFont="1"/>
    <xf numFmtId="9" fontId="16" fillId="0" borderId="0" xfId="2" applyFont="1"/>
    <xf numFmtId="0" fontId="14" fillId="2" borderId="0" xfId="0" applyFont="1" applyFill="1"/>
    <xf numFmtId="9" fontId="14" fillId="2" borderId="0" xfId="2" applyFont="1" applyFill="1"/>
    <xf numFmtId="0" fontId="15" fillId="0" borderId="0" xfId="0" applyFont="1"/>
    <xf numFmtId="0" fontId="17" fillId="0" borderId="0" xfId="1" applyFont="1"/>
    <xf numFmtId="0" fontId="14" fillId="3" borderId="0" xfId="0" applyFont="1" applyFill="1"/>
    <xf numFmtId="0" fontId="14" fillId="4" borderId="0" xfId="0" applyFont="1" applyFill="1"/>
    <xf numFmtId="0" fontId="14" fillId="6" borderId="0" xfId="0" applyFont="1" applyFill="1"/>
    <xf numFmtId="0" fontId="14" fillId="0" borderId="1" xfId="0" applyFont="1" applyBorder="1"/>
    <xf numFmtId="0" fontId="14" fillId="0" borderId="0" xfId="0" applyFont="1" applyAlignment="1">
      <alignment horizontal="right"/>
    </xf>
    <xf numFmtId="0" fontId="14" fillId="5" borderId="0" xfId="0" applyFont="1" applyFill="1"/>
    <xf numFmtId="0" fontId="18" fillId="0" borderId="0" xfId="0" applyFont="1"/>
    <xf numFmtId="0" fontId="18" fillId="2" borderId="0" xfId="0" applyFont="1" applyFill="1"/>
    <xf numFmtId="0" fontId="14" fillId="7" borderId="0" xfId="0" applyFont="1" applyFill="1"/>
    <xf numFmtId="0" fontId="14" fillId="0" borderId="0" xfId="0" applyFont="1" applyFill="1"/>
    <xf numFmtId="0" fontId="14" fillId="0" borderId="1" xfId="0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83F8"/>
      <color rgb="FF56B4C6"/>
      <color rgb="FFCE7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Homes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3-9347-8402-76E18EB159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A3-9347-8402-76E18EB159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A3-9347-8402-76E18EB159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A3-9347-8402-76E18EB159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Data!$AY$17:$BB$17</c:f>
              <c:strCache>
                <c:ptCount val="4"/>
                <c:pt idx="0">
                  <c:v>Both Found</c:v>
                </c:pt>
                <c:pt idx="1">
                  <c:v>Neither Found</c:v>
                </c:pt>
                <c:pt idx="2">
                  <c:v>LIRA Found, LSK Missed</c:v>
                </c:pt>
                <c:pt idx="3">
                  <c:v>LSK Found, LIRA Missed</c:v>
                </c:pt>
              </c:strCache>
            </c:strRef>
          </c:cat>
          <c:val>
            <c:numRef>
              <c:f>(Data!$B$14:$C$14,Data!$H$14,Data!$I$14)</c:f>
              <c:numCache>
                <c:formatCode>General</c:formatCode>
                <c:ptCount val="4"/>
                <c:pt idx="0">
                  <c:v>55</c:v>
                </c:pt>
                <c:pt idx="1">
                  <c:v>24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2-7540-A0C1-EED0D480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Marion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A4-B24C-9EDC-681ED939D2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A4-B24C-9EDC-681ED939D2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A4-B24C-9EDC-681ED939D2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A4-B24C-9EDC-681ED939D2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'MC Only'!$BA$19:$BE$19</c:f>
              <c:strCache>
                <c:ptCount val="4"/>
                <c:pt idx="0">
                  <c:v>Both Found</c:v>
                </c:pt>
                <c:pt idx="1">
                  <c:v>Neither Found</c:v>
                </c:pt>
                <c:pt idx="2">
                  <c:v>LIRA Found, LSK Missed</c:v>
                </c:pt>
                <c:pt idx="3">
                  <c:v>LSK Found, LIRA Missed</c:v>
                </c:pt>
              </c:strCache>
            </c:strRef>
          </c:cat>
          <c:val>
            <c:numRef>
              <c:f>('MC Only'!$B$14:$C$14,'MC Only'!$H$14:$I$14)</c:f>
              <c:numCache>
                <c:formatCode>General</c:formatCode>
                <c:ptCount val="4"/>
                <c:pt idx="0">
                  <c:v>28</c:v>
                </c:pt>
                <c:pt idx="1">
                  <c:v>17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A4-B24C-9EDC-681ED939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SJC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56-2F41-A981-97D554DE30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56-2F41-A981-97D554DE30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56-2F41-A981-97D554DE30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56-2F41-A981-97D554DE30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'SJC Only'!$BA$18:$BE$18</c:f>
              <c:strCache>
                <c:ptCount val="4"/>
                <c:pt idx="0">
                  <c:v>Both Found</c:v>
                </c:pt>
                <c:pt idx="1">
                  <c:v>Neither Found</c:v>
                </c:pt>
                <c:pt idx="2">
                  <c:v>LIRA Found, LSK Missed</c:v>
                </c:pt>
                <c:pt idx="3">
                  <c:v>LSK Found, LIRA Missed</c:v>
                </c:pt>
              </c:strCache>
            </c:strRef>
          </c:cat>
          <c:val>
            <c:numRef>
              <c:f>('SJC Only'!$B$14:$C$14,'SJC Only'!$H$14,'SJC Only'!$I$14)</c:f>
              <c:numCache>
                <c:formatCode>General</c:formatCode>
                <c:ptCount val="4"/>
                <c:pt idx="0">
                  <c:v>24</c:v>
                </c:pt>
                <c:pt idx="1">
                  <c:v>7</c:v>
                </c:pt>
                <c:pt idx="2">
                  <c:v>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56-2F41-A981-97D554DE30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Exterior Paint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Exterior Paint</a:t>
          </a:r>
        </a:p>
      </cx:txPr>
    </cx:title>
    <cx:plotArea>
      <cx:plotAreaRegion>
        <cx:series layoutId="clusteredColumn" uniqueId="{A2BFA20F-04AF-4345-BE65-76FEDD19B64D}">
          <cx:dataId val="0"/>
          <cx:layoutPr>
            <cx:binning intervalClosed="r" overflow="20000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Windowsill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Windowsill</a:t>
          </a:r>
        </a:p>
      </cx:txPr>
    </cx:title>
    <cx:plotArea>
      <cx:plotAreaRegion>
        <cx:series layoutId="clusteredColumn" uniqueId="{9AAC31E5-7163-D848-8F3F-0B5BF307FDDD}">
          <cx:tx>
            <cx:txData>
              <cx:f>_xlchart.v1.4</cx:f>
              <cx:v>Windowsill</cx:v>
            </cx:txData>
          </cx:tx>
          <cx:dataPt idx="0"/>
          <cx:dataId val="0"/>
          <cx:layoutPr>
            <cx:binning intervalClosed="r" overflow="490">
              <cx:binSize val="4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Bulk Dust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Bulk Dust</a:t>
          </a:r>
        </a:p>
      </cx:txPr>
    </cx:title>
    <cx:plotArea>
      <cx:plotAreaRegion>
        <cx:series layoutId="clusteredColumn" uniqueId="{11B3306C-807E-1F49-BDEF-06F36E694693}">
          <cx:tx>
            <cx:txData>
              <cx:f>_xlchart.v1.0</cx:f>
              <cx:v>Bulk Dust</cx:v>
            </cx:txData>
          </cx:tx>
          <cx:dataId val="0"/>
          <cx:layoutPr>
            <cx:binning intervalClosed="r" overflow="490">
              <cx:binSize val="4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# of Samples - Exterior Paint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of Samples - Exterior Paint</a:t>
          </a:r>
        </a:p>
      </cx:txPr>
    </cx:title>
    <cx:plotArea>
      <cx:plotAreaRegion>
        <cx:series layoutId="clusteredColumn" uniqueId="{DDDFE6CF-49C3-8848-AF13-70C4ED905A80}">
          <cx:dataId val="0"/>
          <cx:layoutPr>
            <cx:binning intervalClosed="r">
              <cx:binSize val="0.98999999999999999"/>
            </cx:binning>
          </cx:layoutPr>
        </cx:series>
      </cx:plotAreaRegion>
      <cx:axis id="0" hidden="1">
        <cx:catScaling gapWidth="0"/>
        <cx:title>
          <cx:tx>
            <cx:txData>
              <cx:v>#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Samples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# of Samples - Interior Paint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of Samples - Interior Paint</a:t>
          </a:r>
        </a:p>
      </cx:txPr>
    </cx:title>
    <cx:plotArea>
      <cx:plotAreaRegion>
        <cx:series layoutId="clusteredColumn" uniqueId="{2358D5AE-4DDD-C84C-92A2-A82D853F4D66}">
          <cx:dataId val="0"/>
          <cx:layoutPr>
            <cx:binning intervalClosed="r" overflow="15">
              <cx:binSize val="0.98999999999999999"/>
            </cx:binning>
          </cx:layoutPr>
        </cx:series>
      </cx:plotAreaRegion>
      <cx:axis id="0" hidden="1">
        <cx:catScaling gapWidth="0"/>
        <cx:title>
          <cx:tx>
            <cx:txData>
              <cx:v>#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Samples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# of Samples - Soil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of Samples - Soil</a:t>
          </a:r>
        </a:p>
      </cx:txPr>
    </cx:title>
    <cx:plotArea>
      <cx:plotAreaRegion>
        <cx:series layoutId="clusteredColumn" uniqueId="{CE9D66CE-5503-ED44-87F0-AB331BB59A0E}">
          <cx:dataId val="0"/>
          <cx:layoutPr>
            <cx:binning intervalClosed="r" overflow="15">
              <cx:binSize val="0.98999999999999999"/>
            </cx:binning>
          </cx:layoutPr>
        </cx:series>
      </cx:plotAreaRegion>
      <cx:axis id="0" hidden="1">
        <cx:catScaling gapWidth="0"/>
        <cx:title>
          <cx:tx>
            <cx:txData>
              <cx:v>#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Samples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# of Samples - Dust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# of Samples - Dust</a:t>
          </a:r>
        </a:p>
      </cx:txPr>
    </cx:title>
    <cx:plotArea>
      <cx:plotAreaRegion>
        <cx:series layoutId="clusteredColumn" uniqueId="{03B44636-51EB-2640-A862-87399161C9B2}">
          <cx:dataId val="0"/>
          <cx:layoutPr>
            <cx:binning intervalClosed="r" overflow="8">
              <cx:binSize val="0.98999999999999999"/>
            </cx:binning>
          </cx:layoutPr>
        </cx:series>
      </cx:plotAreaRegion>
      <cx:axis id="0" hidden="1">
        <cx:catScaling gapWidth="0"/>
        <cx:title>
          <cx:tx>
            <cx:txData>
              <cx:v>#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Samples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Interior Paint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Interior Paint</a:t>
          </a:r>
        </a:p>
      </cx:txPr>
    </cx:title>
    <cx:plotArea>
      <cx:plotAreaRegion>
        <cx:series layoutId="clusteredColumn" uniqueId="{6CA6375E-50EF-7F42-A9D8-1F7B6C9F08AE}">
          <cx:dataId val="0"/>
          <cx:layoutPr>
            <cx:binning intervalClosed="r" overflow="10000">
              <cx:binSize val="2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Exterior Paint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Exterior Paint</a:t>
          </a:r>
        </a:p>
      </cx:txPr>
    </cx:title>
    <cx:plotArea>
      <cx:plotAreaRegion>
        <cx:series layoutId="clusteredColumn" uniqueId="{A2BFA20F-04AF-4345-BE65-76FEDD19B64D}">
          <cx:dataId val="0"/>
          <cx:layoutPr>
            <cx:binning intervalClosed="r" overflow="5000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Interior Paint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Interior Paint</a:t>
          </a:r>
        </a:p>
      </cx:txPr>
    </cx:title>
    <cx:plotArea>
      <cx:plotAreaRegion>
        <cx:series layoutId="clusteredColumn" uniqueId="{6CA6375E-50EF-7F42-A9D8-1F7B6C9F08AE}">
          <cx:dataId val="0"/>
          <cx:layoutPr>
            <cx:binning intervalClosed="r" overflow="1000">
              <cx:binSize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Street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Street</a:t>
          </a:r>
        </a:p>
      </cx:txPr>
    </cx:title>
    <cx:plotArea>
      <cx:plotAreaRegion>
        <cx:series layoutId="clusteredColumn" uniqueId="{3DC44105-CB7D-FF48-9645-F275128D1298}">
          <cx:tx>
            <cx:txData>
              <cx:f>_xlchart.v1.7</cx:f>
              <cx:v>Street</cx:v>
            </cx:txData>
          </cx:tx>
          <cx:dataId val="0"/>
          <cx:layoutPr>
            <cx:binning intervalClosed="r" overflow="2000">
              <cx:binSize val="5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Yard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Yard</a:t>
          </a:r>
        </a:p>
      </cx:txPr>
    </cx:title>
    <cx:plotArea>
      <cx:plotAreaRegion>
        <cx:series layoutId="clusteredColumn" uniqueId="{3BDB20BB-D014-3544-8CE3-EAED49C7E677}">
          <cx:tx>
            <cx:txData>
              <cx:f>_xlchart.v1.2</cx:f>
              <cx:v>Yard</cx:v>
            </cx:txData>
          </cx:tx>
          <cx:dataId val="0"/>
          <cx:layoutPr>
            <cx:binning intervalClosed="r" overflow="560">
              <cx:binSize val="5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Dripline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Dripline</a:t>
          </a:r>
        </a:p>
      </cx:txPr>
    </cx:title>
    <cx:plotArea>
      <cx:plotAreaRegion>
        <cx:series layoutId="clusteredColumn" uniqueId="{09022CAB-11D7-6046-B278-F280C9666AA8}">
          <cx:tx>
            <cx:txData>
              <cx:f>_xlchart.v1.16</cx:f>
              <cx:v>Dripline</cx:v>
            </cx:txData>
          </cx:tx>
          <cx:dataPt idx="0"/>
          <cx:dataId val="0"/>
          <cx:layoutPr>
            <cx:binning intervalClosed="r" overflow="560">
              <cx:binSize val="5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Threshold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Threshold</a:t>
          </a:r>
        </a:p>
      </cx:txPr>
    </cx:title>
    <cx:plotArea>
      <cx:plotAreaRegion>
        <cx:series layoutId="clusteredColumn" uniqueId="{03347162-04CB-514B-AD3B-8A26C2583C2A}">
          <cx:tx>
            <cx:txData>
              <cx:f>_xlchart.v1.10</cx:f>
              <cx:v>Threshold</cx:v>
            </cx:txData>
          </cx:tx>
          <cx:dataId val="0"/>
          <cx:layoutPr>
            <cx:binning intervalClosed="r" overflow="200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Old Dust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Old Dust</a:t>
          </a:r>
        </a:p>
      </cx:txPr>
    </cx:title>
    <cx:plotArea>
      <cx:plotAreaRegion>
        <cx:series layoutId="clusteredColumn" uniqueId="{67DB4F15-1239-D443-996C-51E78A82AAC1}">
          <cx:tx>
            <cx:txData>
              <cx:f>_xlchart.v1.13</cx:f>
              <cx:v>Old Dust</cx:v>
            </cx:txData>
          </cx:tx>
          <cx:dataId val="0"/>
          <cx:layoutPr>
            <cx:binning intervalClosed="r" overflow="200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4.xml"/><Relationship Id="rId2" Type="http://schemas.microsoft.com/office/2014/relationships/chartEx" Target="../charts/chartEx13.xml"/><Relationship Id="rId1" Type="http://schemas.microsoft.com/office/2014/relationships/chartEx" Target="../charts/chartEx12.xml"/><Relationship Id="rId4" Type="http://schemas.microsoft.com/office/2014/relationships/chartEx" Target="../charts/chartEx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13731</xdr:colOff>
      <xdr:row>0</xdr:row>
      <xdr:rowOff>144391</xdr:rowOff>
    </xdr:from>
    <xdr:to>
      <xdr:col>54</xdr:col>
      <xdr:colOff>466812</xdr:colOff>
      <xdr:row>14</xdr:row>
      <xdr:rowOff>4348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1F98D-26C7-F8E1-6C35-D6EAD8772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3</xdr:row>
      <xdr:rowOff>0</xdr:rowOff>
    </xdr:from>
    <xdr:to>
      <xdr:col>57</xdr:col>
      <xdr:colOff>444500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9F4C3-7448-F24B-97F9-5B5F56DF6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622300</xdr:colOff>
      <xdr:row>1</xdr:row>
      <xdr:rowOff>0</xdr:rowOff>
    </xdr:from>
    <xdr:to>
      <xdr:col>57</xdr:col>
      <xdr:colOff>241300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6017E-F7FD-6148-B5E5-D3D7A5A1F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241300</xdr:colOff>
      <xdr:row>1</xdr:row>
      <xdr:rowOff>12700</xdr:rowOff>
    </xdr:from>
    <xdr:to>
      <xdr:col>38</xdr:col>
      <xdr:colOff>711200</xdr:colOff>
      <xdr:row>57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0311813-943B-F440-816A-F7774E914064}"/>
            </a:ext>
          </a:extLst>
        </xdr:cNvPr>
        <xdr:cNvGrpSpPr/>
      </xdr:nvGrpSpPr>
      <xdr:grpSpPr>
        <a:xfrm>
          <a:off x="28003500" y="215900"/>
          <a:ext cx="4597400" cy="11493500"/>
          <a:chOff x="23622000" y="203200"/>
          <a:chExt cx="4597400" cy="11493500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ECDAD8E8-2889-32E1-4A67-0DC94C08C8A1}"/>
                  </a:ext>
                </a:extLst>
              </xdr:cNvPr>
              <xdr:cNvGraphicFramePr/>
            </xdr:nvGraphicFramePr>
            <xdr:xfrm>
              <a:off x="23647400" y="2032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3647400" y="20320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08D607F9-EB20-A430-E51B-D2EFE9DE3325}"/>
                  </a:ext>
                </a:extLst>
              </xdr:cNvPr>
              <xdr:cNvGraphicFramePr/>
            </xdr:nvGraphicFramePr>
            <xdr:xfrm>
              <a:off x="23634700" y="60452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3634700" y="604520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3228DD89-D03E-1B11-71BC-1668FA41EAA1}"/>
                  </a:ext>
                </a:extLst>
              </xdr:cNvPr>
              <xdr:cNvGraphicFramePr/>
            </xdr:nvGraphicFramePr>
            <xdr:xfrm>
              <a:off x="23634700" y="31369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3634700" y="313690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6" name="Chart 5">
                <a:extLst>
                  <a:ext uri="{FF2B5EF4-FFF2-40B4-BE49-F238E27FC236}">
                    <a16:creationId xmlns:a16="http://schemas.microsoft.com/office/drawing/2014/main" id="{43111E2E-BF48-71DF-A21F-E3F697DCF5C9}"/>
                  </a:ext>
                </a:extLst>
              </xdr:cNvPr>
              <xdr:cNvGraphicFramePr/>
            </xdr:nvGraphicFramePr>
            <xdr:xfrm>
              <a:off x="23622000" y="8953500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3622000" y="8953500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</xdr:grpSp>
    <xdr:clientData/>
  </xdr:twoCellAnchor>
  <xdr:twoCellAnchor>
    <xdr:from>
      <xdr:col>26</xdr:col>
      <xdr:colOff>381000</xdr:colOff>
      <xdr:row>1</xdr:row>
      <xdr:rowOff>6350</xdr:rowOff>
    </xdr:from>
    <xdr:to>
      <xdr:col>32</xdr:col>
      <xdr:colOff>0</xdr:colOff>
      <xdr:row>14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A8A17CC-22E4-374C-9AA7-3CBC2CECA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31500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393700</xdr:colOff>
      <xdr:row>15</xdr:row>
      <xdr:rowOff>107950</xdr:rowOff>
    </xdr:from>
    <xdr:to>
      <xdr:col>32</xdr:col>
      <xdr:colOff>12700</xdr:colOff>
      <xdr:row>29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E3BB509-01D3-7747-AF47-8D0854EE10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44200" y="3155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393700</xdr:colOff>
      <xdr:row>30</xdr:row>
      <xdr:rowOff>19050</xdr:rowOff>
    </xdr:from>
    <xdr:to>
      <xdr:col>32</xdr:col>
      <xdr:colOff>12700</xdr:colOff>
      <xdr:row>43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903EBDA-BA52-A04D-B048-671BA76DB9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44200" y="6115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0</xdr:colOff>
      <xdr:row>1</xdr:row>
      <xdr:rowOff>6350</xdr:rowOff>
    </xdr:from>
    <xdr:to>
      <xdr:col>45</xdr:col>
      <xdr:colOff>444500</xdr:colOff>
      <xdr:row>14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10280380-E999-CB48-84AF-9D3493BBC1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07500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0</xdr:colOff>
      <xdr:row>15</xdr:row>
      <xdr:rowOff>120650</xdr:rowOff>
    </xdr:from>
    <xdr:to>
      <xdr:col>45</xdr:col>
      <xdr:colOff>444500</xdr:colOff>
      <xdr:row>29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A0366CD-7EC6-E144-B7FD-2987647892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07500" y="316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12700</xdr:colOff>
      <xdr:row>29</xdr:row>
      <xdr:rowOff>171450</xdr:rowOff>
    </xdr:from>
    <xdr:to>
      <xdr:col>45</xdr:col>
      <xdr:colOff>457200</xdr:colOff>
      <xdr:row>43</xdr:row>
      <xdr:rowOff>69850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1B1860A1-0129-2C43-90CE-6C756EF081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20200" y="6064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0</xdr:colOff>
      <xdr:row>44</xdr:row>
      <xdr:rowOff>19050</xdr:rowOff>
    </xdr:from>
    <xdr:to>
      <xdr:col>45</xdr:col>
      <xdr:colOff>444500</xdr:colOff>
      <xdr:row>57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0A78C86-D271-A749-AD3A-E4C411B5A5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07500" y="8959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19050</xdr:rowOff>
    </xdr:from>
    <xdr:to>
      <xdr:col>15</xdr:col>
      <xdr:colOff>463550</xdr:colOff>
      <xdr:row>15</xdr:row>
      <xdr:rowOff>36494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8E6BABE-010E-7CA1-F77A-43F2F5197D78}"/>
            </a:ext>
          </a:extLst>
        </xdr:cNvPr>
        <xdr:cNvGrpSpPr/>
      </xdr:nvGrpSpPr>
      <xdr:grpSpPr>
        <a:xfrm>
          <a:off x="8489950" y="222250"/>
          <a:ext cx="4572000" cy="2862244"/>
          <a:chOff x="9856456" y="222793"/>
          <a:chExt cx="4570303" cy="2869851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BF44A786-8E9B-4CB2-2988-5E4159AAA372}"/>
                  </a:ext>
                </a:extLst>
              </xdr:cNvPr>
              <xdr:cNvGraphicFramePr/>
            </xdr:nvGraphicFramePr>
            <xdr:xfrm>
              <a:off x="9856456" y="222793"/>
              <a:ext cx="4570303" cy="286985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56456" y="222793"/>
                <a:ext cx="4570303" cy="28698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A0251B2D-6029-704D-404C-C2921715F4CE}"/>
              </a:ext>
            </a:extLst>
          </xdr:cNvPr>
          <xdr:cNvSpPr txBox="1"/>
        </xdr:nvSpPr>
        <xdr:spPr>
          <a:xfrm>
            <a:off x="10399417" y="2670559"/>
            <a:ext cx="3987124" cy="2548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solidFill>
                  <a:schemeClr val="bg2">
                    <a:lumMod val="50000"/>
                  </a:schemeClr>
                </a:solidFill>
              </a:rPr>
              <a:t>0</a:t>
            </a:r>
            <a:r>
              <a:rPr lang="en-US" sz="900" baseline="0">
                <a:solidFill>
                  <a:schemeClr val="bg2">
                    <a:lumMod val="50000"/>
                  </a:schemeClr>
                </a:solidFill>
              </a:rPr>
              <a:t>       1       2       3        4       5       6        7       8       9      10     11      12     13     14     15</a:t>
            </a:r>
            <a:endParaRPr lang="en-US" sz="9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16</xdr:col>
      <xdr:colOff>2</xdr:colOff>
      <xdr:row>1</xdr:row>
      <xdr:rowOff>12699</xdr:rowOff>
    </xdr:from>
    <xdr:to>
      <xdr:col>21</xdr:col>
      <xdr:colOff>508000</xdr:colOff>
      <xdr:row>15</xdr:row>
      <xdr:rowOff>30143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E3FE1EAF-CAFD-A945-B758-A6493F301A95}"/>
            </a:ext>
          </a:extLst>
        </xdr:cNvPr>
        <xdr:cNvGrpSpPr/>
      </xdr:nvGrpSpPr>
      <xdr:grpSpPr>
        <a:xfrm>
          <a:off x="13423902" y="215899"/>
          <a:ext cx="4635498" cy="2862244"/>
          <a:chOff x="14807618" y="-3024315"/>
          <a:chExt cx="4633777" cy="2869851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3" name="Chart 12">
                <a:extLst>
                  <a:ext uri="{FF2B5EF4-FFF2-40B4-BE49-F238E27FC236}">
                    <a16:creationId xmlns:a16="http://schemas.microsoft.com/office/drawing/2014/main" id="{D9CA3C43-EEF3-926D-A792-59578462AF45}"/>
                  </a:ext>
                </a:extLst>
              </xdr:cNvPr>
              <xdr:cNvGraphicFramePr/>
            </xdr:nvGraphicFramePr>
            <xdr:xfrm>
              <a:off x="14807618" y="-3024315"/>
              <a:ext cx="4570303" cy="286985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807618" y="-3024315"/>
                <a:ext cx="4570303" cy="28698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A7BC8BA6-57D0-9A3D-ABD1-97F0FF6A4D2E}"/>
              </a:ext>
            </a:extLst>
          </xdr:cNvPr>
          <xdr:cNvSpPr txBox="1"/>
        </xdr:nvSpPr>
        <xdr:spPr>
          <a:xfrm>
            <a:off x="15350577" y="-576549"/>
            <a:ext cx="4090818" cy="2548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solidFill>
                  <a:schemeClr val="bg2">
                    <a:lumMod val="50000"/>
                  </a:schemeClr>
                </a:solidFill>
              </a:rPr>
              <a:t>0</a:t>
            </a:r>
            <a:r>
              <a:rPr lang="en-US" sz="900" baseline="0">
                <a:solidFill>
                  <a:schemeClr val="bg2">
                    <a:lumMod val="50000"/>
                  </a:schemeClr>
                </a:solidFill>
              </a:rPr>
              <a:t>       1       2       3        4       5       6        7       8       9      10     11      12     13     14    &gt;15</a:t>
            </a:r>
            <a:endParaRPr lang="en-US" sz="9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10</xdr:col>
      <xdr:colOff>0</xdr:colOff>
      <xdr:row>18</xdr:row>
      <xdr:rowOff>0</xdr:rowOff>
    </xdr:from>
    <xdr:to>
      <xdr:col>15</xdr:col>
      <xdr:colOff>700413</xdr:colOff>
      <xdr:row>32</xdr:row>
      <xdr:rowOff>17444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F771DC1-E610-EB44-8ADC-B8D876B3D3E8}"/>
            </a:ext>
          </a:extLst>
        </xdr:cNvPr>
        <xdr:cNvGrpSpPr/>
      </xdr:nvGrpSpPr>
      <xdr:grpSpPr>
        <a:xfrm>
          <a:off x="8470900" y="3657600"/>
          <a:ext cx="4827913" cy="2862244"/>
          <a:chOff x="9856456" y="222793"/>
          <a:chExt cx="4824942" cy="2869851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B234ABD9-8714-B0D4-D2D8-F0C3BAB4317E}"/>
                  </a:ext>
                </a:extLst>
              </xdr:cNvPr>
              <xdr:cNvGraphicFramePr/>
            </xdr:nvGraphicFramePr>
            <xdr:xfrm>
              <a:off x="9856456" y="222793"/>
              <a:ext cx="4570303" cy="286985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3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56456" y="222793"/>
                <a:ext cx="4570303" cy="28698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E7C5635-44D2-0AC1-C66E-17C87D7D2C03}"/>
              </a:ext>
            </a:extLst>
          </xdr:cNvPr>
          <xdr:cNvSpPr txBox="1"/>
        </xdr:nvSpPr>
        <xdr:spPr>
          <a:xfrm>
            <a:off x="10694274" y="2662068"/>
            <a:ext cx="3987124" cy="2548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solidFill>
                  <a:schemeClr val="bg2">
                    <a:lumMod val="50000"/>
                  </a:schemeClr>
                </a:solidFill>
              </a:rPr>
              <a:t> 0</a:t>
            </a:r>
            <a:r>
              <a:rPr lang="en-US" sz="900" baseline="0">
                <a:solidFill>
                  <a:schemeClr val="bg2">
                    <a:lumMod val="50000"/>
                  </a:schemeClr>
                </a:solidFill>
              </a:rPr>
              <a:t>       	     1       	        2       	           3          </a:t>
            </a:r>
            <a:endParaRPr lang="en-US" sz="9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  <xdr:twoCellAnchor>
    <xdr:from>
      <xdr:col>16</xdr:col>
      <xdr:colOff>8819</xdr:colOff>
      <xdr:row>17</xdr:row>
      <xdr:rowOff>202845</xdr:rowOff>
    </xdr:from>
    <xdr:to>
      <xdr:col>21</xdr:col>
      <xdr:colOff>516818</xdr:colOff>
      <xdr:row>32</xdr:row>
      <xdr:rowOff>17442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8A1874B2-F0B4-7947-8753-FB5F7E9A93D6}"/>
            </a:ext>
          </a:extLst>
        </xdr:cNvPr>
        <xdr:cNvGrpSpPr/>
      </xdr:nvGrpSpPr>
      <xdr:grpSpPr>
        <a:xfrm>
          <a:off x="13432719" y="3657245"/>
          <a:ext cx="4635499" cy="2862597"/>
          <a:chOff x="14816400" y="-3228054"/>
          <a:chExt cx="4633778" cy="2869851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22" name="Chart 21">
                <a:extLst>
                  <a:ext uri="{FF2B5EF4-FFF2-40B4-BE49-F238E27FC236}">
                    <a16:creationId xmlns:a16="http://schemas.microsoft.com/office/drawing/2014/main" id="{9B27EA80-2F0F-2562-AE87-D7D06A339204}"/>
                  </a:ext>
                </a:extLst>
              </xdr:cNvPr>
              <xdr:cNvGraphicFramePr/>
            </xdr:nvGraphicFramePr>
            <xdr:xfrm>
              <a:off x="14816400" y="-3228054"/>
              <a:ext cx="4570303" cy="286985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816400" y="-3228054"/>
                <a:ext cx="4570303" cy="28698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E64FEB9D-7ADE-7953-D3CE-8DA4482EB399}"/>
              </a:ext>
            </a:extLst>
          </xdr:cNvPr>
          <xdr:cNvSpPr txBox="1"/>
        </xdr:nvSpPr>
        <xdr:spPr>
          <a:xfrm>
            <a:off x="15359360" y="-780288"/>
            <a:ext cx="4090818" cy="2548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solidFill>
                  <a:schemeClr val="bg2">
                    <a:lumMod val="50000"/>
                  </a:schemeClr>
                </a:solidFill>
              </a:rPr>
              <a:t>   0</a:t>
            </a:r>
            <a:r>
              <a:rPr lang="en-US" sz="900" baseline="0">
                <a:solidFill>
                  <a:schemeClr val="bg2">
                    <a:lumMod val="50000"/>
                  </a:schemeClr>
                </a:solidFill>
              </a:rPr>
              <a:t>               1               2               3               4               5              6               7              8  </a:t>
            </a:r>
            <a:endParaRPr lang="en-US" sz="900">
              <a:solidFill>
                <a:schemeClr val="bg2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09C-5FA2-A747-A3F4-FF796991EE19}">
  <sheetPr codeName="Sheet1"/>
  <dimension ref="A1:BB1661"/>
  <sheetViews>
    <sheetView tabSelected="1" zoomScale="91" workbookViewId="0">
      <pane xSplit="1" topLeftCell="B1" activePane="topRight" state="frozen"/>
      <selection pane="topRight" activeCell="A1651" activeCellId="16" sqref="A1364 A1376 A1388 A1414 A1433 A1445 A1456 A1468 A1481 A1493 A1572 A1586 A1598 A1610 A1621 A1635 A1651"/>
    </sheetView>
  </sheetViews>
  <sheetFormatPr baseColWidth="10" defaultRowHeight="16" x14ac:dyDescent="0.2"/>
  <cols>
    <col min="1" max="1" width="28.83203125" style="27" bestFit="1" customWidth="1"/>
    <col min="2" max="2" width="23.33203125" style="27" bestFit="1" customWidth="1"/>
    <col min="3" max="12" width="10.83203125" style="27"/>
    <col min="13" max="13" width="34.33203125" style="27" bestFit="1" customWidth="1"/>
    <col min="14" max="20" width="10.83203125" style="27"/>
    <col min="21" max="21" width="23.83203125" style="27" bestFit="1" customWidth="1"/>
    <col min="22" max="22" width="17.5" style="27" bestFit="1" customWidth="1"/>
    <col min="23" max="23" width="10.83203125" style="27"/>
    <col min="24" max="24" width="13.1640625" style="27" customWidth="1"/>
    <col min="25" max="33" width="10.83203125" style="27"/>
    <col min="34" max="34" width="17.5" style="27" bestFit="1" customWidth="1"/>
    <col min="35" max="36" width="10.83203125" style="27"/>
    <col min="37" max="37" width="16.5" style="27" customWidth="1"/>
    <col min="38" max="44" width="10.83203125" style="27"/>
    <col min="45" max="45" width="11.83203125" style="27" customWidth="1"/>
    <col min="46" max="16384" width="10.83203125" style="27"/>
  </cols>
  <sheetData>
    <row r="1" spans="1:47" x14ac:dyDescent="0.2">
      <c r="A1" s="27" t="s">
        <v>252</v>
      </c>
      <c r="W1" s="27" t="s">
        <v>0</v>
      </c>
      <c r="Y1" s="27" t="s">
        <v>1</v>
      </c>
    </row>
    <row r="2" spans="1:47" x14ac:dyDescent="0.2">
      <c r="B2" s="49" t="s">
        <v>260</v>
      </c>
      <c r="C2" s="49"/>
      <c r="D2" s="49"/>
      <c r="E2" s="50"/>
      <c r="F2" s="50"/>
      <c r="G2" s="50"/>
      <c r="H2" s="49" t="s">
        <v>261</v>
      </c>
      <c r="I2" s="49"/>
      <c r="J2" s="49"/>
      <c r="K2" s="27" t="s">
        <v>120</v>
      </c>
      <c r="M2" s="27" t="s">
        <v>265</v>
      </c>
      <c r="N2" s="27" t="s">
        <v>267</v>
      </c>
      <c r="P2" s="27" t="s">
        <v>266</v>
      </c>
      <c r="V2" s="27" t="s">
        <v>98</v>
      </c>
      <c r="W2" s="27">
        <v>1</v>
      </c>
      <c r="X2" s="27" t="s">
        <v>4</v>
      </c>
      <c r="Y2" s="27">
        <v>5000</v>
      </c>
      <c r="Z2" s="27" t="s">
        <v>12</v>
      </c>
    </row>
    <row r="3" spans="1:47" x14ac:dyDescent="0.2">
      <c r="B3" s="50" t="s">
        <v>255</v>
      </c>
      <c r="C3" s="50" t="s">
        <v>256</v>
      </c>
      <c r="D3" s="50" t="s">
        <v>257</v>
      </c>
      <c r="E3" s="50"/>
      <c r="F3" s="50"/>
      <c r="G3" s="50"/>
      <c r="H3" s="50" t="s">
        <v>258</v>
      </c>
      <c r="I3" s="50" t="s">
        <v>259</v>
      </c>
      <c r="J3" s="50" t="s">
        <v>257</v>
      </c>
      <c r="M3" s="50"/>
      <c r="V3" s="27" t="s">
        <v>92</v>
      </c>
      <c r="W3" s="27">
        <v>400</v>
      </c>
      <c r="X3" s="27" t="s">
        <v>12</v>
      </c>
      <c r="Y3" s="27">
        <v>400</v>
      </c>
      <c r="Z3" s="27" t="s">
        <v>12</v>
      </c>
    </row>
    <row r="4" spans="1:47" x14ac:dyDescent="0.2">
      <c r="A4" s="27" t="s">
        <v>92</v>
      </c>
      <c r="B4" s="27">
        <f>COUNTIFS($U$44:$U$10021,"Soil - Play Area",$V$44:$V$10021, "Yes",$W$44:$W$10021, "Yes")</f>
        <v>0</v>
      </c>
      <c r="C4" s="27">
        <f>COUNTIFS($U$44:$U$44921,"Soil - Play Area",$V$44:$V$44921, "No",$W$44:$W$44921, "No")</f>
        <v>1</v>
      </c>
      <c r="D4" s="51">
        <f>COUNTIFS($U$44:$U$44921,"Soil - Play Area",$X$44:$X$44921, "Yes")</f>
        <v>1</v>
      </c>
      <c r="H4" s="27">
        <f>COUNTIFS($U$44:$U$44921,"Soil - Play Area",$V$44:$V$44921, "Yes",$W$44:$W$44921, "No")</f>
        <v>1</v>
      </c>
      <c r="I4" s="27">
        <f>COUNTIFS($U$44:$U$44921,"Soil - Play Area",$V$44:$V$44921, "No",$W$44:$W$44921, "Yes")</f>
        <v>0</v>
      </c>
      <c r="J4" s="51">
        <f>COUNTIFS($U$44:$U$44921,"Soil - Play Area",$X$44:$X$44921, "No")</f>
        <v>1</v>
      </c>
      <c r="K4" s="51">
        <f>COUNTIFS($U$44:$U$44921,"Soil - Play Area",$X$44:$X$44921, "N/A")</f>
        <v>105</v>
      </c>
      <c r="M4" s="27">
        <f t="shared" ref="M4:M11" si="0">D4+J4+K4</f>
        <v>107</v>
      </c>
      <c r="N4" s="27">
        <f t="shared" ref="N4:N11" si="1">D4+J4</f>
        <v>2</v>
      </c>
      <c r="P4" s="27" t="s">
        <v>120</v>
      </c>
      <c r="V4" s="27" t="s">
        <v>226</v>
      </c>
      <c r="W4" s="27">
        <v>1200</v>
      </c>
      <c r="X4" s="27" t="s">
        <v>12</v>
      </c>
      <c r="Y4" s="27">
        <v>1200</v>
      </c>
      <c r="Z4" s="27" t="s">
        <v>12</v>
      </c>
    </row>
    <row r="5" spans="1:47" x14ac:dyDescent="0.2">
      <c r="A5" s="27" t="s">
        <v>95</v>
      </c>
      <c r="B5" s="27">
        <f>COUNTIFS($U$44:$U$44921,"Soil - Overall",$V$44:$V$44921, "Yes",$W$44:$W$44921, "Yes")</f>
        <v>21</v>
      </c>
      <c r="C5" s="27">
        <f>COUNTIFS($U$44:$U$44921,"Soil - Overall",$V$44:$V$44921, "No",$W$44:$W$44921, "No")</f>
        <v>62</v>
      </c>
      <c r="D5" s="52">
        <f>COUNTIFS($U$44:$U$44921,"Soil - Overall",$X$44:$X$44921, "Yes")</f>
        <v>83</v>
      </c>
      <c r="H5" s="27">
        <f>COUNTIFS($U$44:$U$44921,"Soil - Overall",$V$44:$V$44921, "Yes",$W$44:$W$44921, "No")</f>
        <v>6</v>
      </c>
      <c r="I5" s="27">
        <f>COUNTIFS($U$44:$U$44921,"Soil - Overall",$V$44:$V$44921, "No",$W$44:$W$44921, "Yes")</f>
        <v>9</v>
      </c>
      <c r="J5" s="52">
        <f>COUNTIFS($U$44:$U$44921,"Soil - Overall",$X$44:$X$44921, "No")</f>
        <v>15</v>
      </c>
      <c r="K5" s="52">
        <f>COUNTIFS($U$44:$U$44921,"Soil - Overall",$X$44:$X$44921, "N/A")</f>
        <v>9</v>
      </c>
      <c r="M5" s="27">
        <f t="shared" si="0"/>
        <v>107</v>
      </c>
      <c r="N5" s="27">
        <f t="shared" si="1"/>
        <v>98</v>
      </c>
      <c r="P5" s="53">
        <f t="shared" ref="P5:P11" si="2">D5/N5</f>
        <v>0.84693877551020413</v>
      </c>
      <c r="V5" s="27" t="s">
        <v>228</v>
      </c>
      <c r="W5" s="27">
        <v>100</v>
      </c>
      <c r="X5" s="27" t="s">
        <v>33</v>
      </c>
      <c r="Y5" s="27">
        <v>230</v>
      </c>
      <c r="Z5" s="27" t="s">
        <v>12</v>
      </c>
    </row>
    <row r="6" spans="1:47" x14ac:dyDescent="0.2">
      <c r="A6" s="27" t="s">
        <v>163</v>
      </c>
      <c r="B6" s="27">
        <f>COUNTIFS($U$44:$U$44921,"Paint - Interior",$V$44:$V$44921, "Yes",$W$44:$W$44921, "Yes")</f>
        <v>3</v>
      </c>
      <c r="C6" s="27">
        <f>COUNTIFS($U$44:$U$44921,"Paint - Interior",$V$44:$V$44921, "No",$W$44:$W$44921, "No")</f>
        <v>46</v>
      </c>
      <c r="D6" s="51">
        <f>COUNTIFS($U$44:$U$44921,"Paint - Interior",$X$44:$X$44921, "Yes")</f>
        <v>49</v>
      </c>
      <c r="H6" s="27">
        <f>COUNTIFS($U$44:$U$44921,"Paint - Interior",$V$44:$V$44921, "Yes",$W$44:$W$44921, "No")</f>
        <v>40</v>
      </c>
      <c r="I6" s="27">
        <f>COUNTIFS($U$44:$U$44921,"Paint - Interior",$V$44:$V$44921, "No",$W$44:$W$44921, "Yes")</f>
        <v>0</v>
      </c>
      <c r="J6" s="51">
        <f>COUNTIFS($U$44:$U$44921,"Paint - Interior",$X$44:$X$44921, "No")</f>
        <v>40</v>
      </c>
      <c r="K6" s="51">
        <f>COUNTIFS($U$44:$U$44921,"Paint - Interior",$X$44:$X$44921, "N/A")</f>
        <v>18</v>
      </c>
      <c r="M6" s="27">
        <f t="shared" si="0"/>
        <v>107</v>
      </c>
      <c r="N6" s="27">
        <f t="shared" si="1"/>
        <v>89</v>
      </c>
      <c r="P6" s="54">
        <f t="shared" si="2"/>
        <v>0.550561797752809</v>
      </c>
      <c r="V6" s="27" t="s">
        <v>234</v>
      </c>
      <c r="W6" s="27">
        <v>10</v>
      </c>
      <c r="X6" s="27" t="s">
        <v>33</v>
      </c>
      <c r="Y6" s="27">
        <v>20</v>
      </c>
      <c r="Z6" s="27" t="s">
        <v>12</v>
      </c>
    </row>
    <row r="7" spans="1:47" x14ac:dyDescent="0.2">
      <c r="A7" s="27" t="s">
        <v>164</v>
      </c>
      <c r="B7" s="27">
        <f>COUNTIFS($U$44:$U$44921,"Paint - Exterior",$V$44:$V$44921, "Yes",$W$44:$W$44921, "Yes")</f>
        <v>23</v>
      </c>
      <c r="C7" s="27">
        <f>COUNTIFS($U$44:$U$44921,"Paint - Exterior",$V$44:$V$44921, "No",$W$44:$W$44921, "No")</f>
        <v>44</v>
      </c>
      <c r="D7" s="51">
        <f>COUNTIFS($U$44:$U$44921,"Paint - Exterior",$X$44:$X$44921, "Yes")</f>
        <v>65</v>
      </c>
      <c r="H7" s="27">
        <f>COUNTIFS($U$44:$U$44921,"Paint - Exterior",$V$44:$V$44921, "Yes",$W$44:$W$44921, "No")</f>
        <v>20</v>
      </c>
      <c r="I7" s="27">
        <f>COUNTIFS($U$44:$U$44921,"Paint - Exterior",$V$44:$V$44921, "No",$W$44:$W$44921, "Yes")</f>
        <v>4</v>
      </c>
      <c r="J7" s="51">
        <f>COUNTIFS($U$44:$U$44921,"Paint - Exterior",$X$44:$X$44921, "No")</f>
        <v>26</v>
      </c>
      <c r="K7" s="51">
        <f>COUNTIFS($U$44:$U$44921,"Paint - Exterior",$X$44:$X$44921, "N/A")</f>
        <v>16</v>
      </c>
      <c r="M7" s="27">
        <f t="shared" si="0"/>
        <v>107</v>
      </c>
      <c r="N7" s="27">
        <f t="shared" si="1"/>
        <v>91</v>
      </c>
      <c r="P7" s="54">
        <f t="shared" si="2"/>
        <v>0.7142857142857143</v>
      </c>
      <c r="V7" s="27" t="s">
        <v>223</v>
      </c>
      <c r="Y7" s="27">
        <v>800</v>
      </c>
      <c r="Z7" s="27" t="s">
        <v>12</v>
      </c>
    </row>
    <row r="8" spans="1:47" x14ac:dyDescent="0.2">
      <c r="A8" s="27" t="s">
        <v>162</v>
      </c>
      <c r="B8" s="27">
        <f>COUNTIFS($U$44:$U$44921,"Paint - Overall",$V$44:$V$44921, "Yes",$W$44:$W$44921, "Yes")</f>
        <v>25</v>
      </c>
      <c r="C8" s="27">
        <f>COUNTIFS($U$44:$U$44921,"Paint - Overall",$V$44:$V$44921, "No",$W$44:$W$44921, "No")</f>
        <v>45</v>
      </c>
      <c r="D8" s="52">
        <f>COUNTIFS($U$44:$U$44921,"Paint - Overall",$X$44:$X$44921, "Yes")</f>
        <v>70</v>
      </c>
      <c r="H8" s="27">
        <f>COUNTIFS($U$44:$U$44921,"Paint - Overall",$V$44:$V$44921, "Yes",$W$44:$W$44921, "No")</f>
        <v>29</v>
      </c>
      <c r="I8" s="27">
        <f>COUNTIFS($U$44:$U$44921,"Paint - Overall",$V$44:$V$44921, "No",$W$44:$W$44921, "Yes")</f>
        <v>3</v>
      </c>
      <c r="J8" s="52">
        <f>COUNTIFS($U$44:$U$44921,"Paint - Overall",$X$44:$X$44921, "No")</f>
        <v>32</v>
      </c>
      <c r="K8" s="52">
        <f>COUNTIFS($U$44:$U$44921,"Paint - Overall",$X$44:$X$44921, "N/A")</f>
        <v>5</v>
      </c>
      <c r="M8" s="27">
        <f t="shared" si="0"/>
        <v>107</v>
      </c>
      <c r="N8" s="27">
        <f t="shared" si="1"/>
        <v>102</v>
      </c>
      <c r="P8" s="53">
        <f t="shared" si="2"/>
        <v>0.68627450980392157</v>
      </c>
    </row>
    <row r="9" spans="1:47" x14ac:dyDescent="0.2">
      <c r="A9" s="27" t="s">
        <v>101</v>
      </c>
      <c r="B9" s="27">
        <f>COUNTIFS($U$44:$U$44921,"Dust - Floor",$V$44:$V$44921, "Yes",$W$44:$W$44921, "Yes")</f>
        <v>15</v>
      </c>
      <c r="C9" s="27">
        <f>COUNTIFS($U$44:$U$44921,"Dust - Floor",$V$44:$V$44921, "No",$W$44:$W$44921, "No")</f>
        <v>36</v>
      </c>
      <c r="D9" s="51">
        <f>COUNTIFS($U$44:$U$44921,"Dust - Floor",$X$44:$X$44921, "Yes")</f>
        <v>51</v>
      </c>
      <c r="H9" s="27">
        <f>COUNTIFS($U$44:$U$44921,"Dust - Floor",$V$44:$V$44921, "Yes",$W$44:$W$44921, "No")</f>
        <v>23</v>
      </c>
      <c r="I9" s="27">
        <f>COUNTIFS($U$44:$U$44921,"Dust - Floor",$V$44:$V$44921, "No",$W$44:$W$44921, "Yes")</f>
        <v>9</v>
      </c>
      <c r="J9" s="51">
        <f>COUNTIFS($U$44:$U$44921,"Dust - Floor",$X$44:$X$44921, "No")</f>
        <v>32</v>
      </c>
      <c r="K9" s="51">
        <f>COUNTIFS($U$44:$U$44921,"Dust - Floor",$X$44:$X$44921, "N/A")</f>
        <v>24</v>
      </c>
      <c r="M9" s="27">
        <f t="shared" si="0"/>
        <v>107</v>
      </c>
      <c r="N9" s="27">
        <f t="shared" si="1"/>
        <v>83</v>
      </c>
      <c r="P9" s="54">
        <f t="shared" si="2"/>
        <v>0.61445783132530118</v>
      </c>
      <c r="Y9" s="27">
        <v>800</v>
      </c>
      <c r="Z9" s="27" t="s">
        <v>478</v>
      </c>
    </row>
    <row r="10" spans="1:47" x14ac:dyDescent="0.2">
      <c r="A10" s="27" t="s">
        <v>104</v>
      </c>
      <c r="B10" s="27">
        <f>COUNTIFS($U$44:$U$44921,"Dust - Window Sill",$V$44:$V$44921, "Yes",$W$44:$W$44921, "Yes")</f>
        <v>2</v>
      </c>
      <c r="C10" s="27">
        <f>COUNTIFS($U$44:$U$44921,"Dust - Window Sill",$V$44:$V$44921, "No",$W$44:$W$44921, "No")</f>
        <v>36</v>
      </c>
      <c r="D10" s="51">
        <f>COUNTIFS($U$44:$U$44921,"Dust - Window Sill",$X$44:$X$44921, "Yes")</f>
        <v>38</v>
      </c>
      <c r="H10" s="27">
        <f>COUNTIFS($U$44:$U$44921,"Dust - Window Sill",$V$44:$V$44921, "Yes",$W$44:$W$44921, "No")</f>
        <v>19</v>
      </c>
      <c r="I10" s="27">
        <f>COUNTIFS($U$44:$U$44921,"Dust - Window Sill",$V$44:$V$44921, "No",$W$44:$W$44921, "Yes")</f>
        <v>0</v>
      </c>
      <c r="J10" s="51">
        <f>COUNTIFS($U$44:$U$44921,"Dust - Window Sill",$X$44:$X$44921, "No")</f>
        <v>19</v>
      </c>
      <c r="K10" s="51">
        <f>COUNTIFS($U$44:$U$44921,"Dust - Window Sill",$X$44:$X$44921, "N/A")</f>
        <v>50</v>
      </c>
      <c r="M10" s="27">
        <f t="shared" si="0"/>
        <v>107</v>
      </c>
      <c r="N10" s="27">
        <f t="shared" si="1"/>
        <v>57</v>
      </c>
      <c r="P10" s="54">
        <f t="shared" si="2"/>
        <v>0.66666666666666663</v>
      </c>
    </row>
    <row r="11" spans="1:47" x14ac:dyDescent="0.2">
      <c r="A11" s="27" t="s">
        <v>106</v>
      </c>
      <c r="B11" s="27">
        <f>COUNTIFS($U$44:$U$44921,"Dust - Overall",$V$44:$V$44921, "Yes",$W$44:$W$44921, "Yes")</f>
        <v>22</v>
      </c>
      <c r="C11" s="27">
        <f>COUNTIFS($U$44:$U$44921,"Dust - Overall",$V$44:$V$44921, "No",$W$44:$W$44921, "No")</f>
        <v>43</v>
      </c>
      <c r="D11" s="52">
        <f>COUNTIFS($U$44:$U$44921,"Dust - Overall",$X$44:$X$44921, "Yes")</f>
        <v>65</v>
      </c>
      <c r="H11" s="27">
        <f>COUNTIFS($U$44:$U$44921,"Dust - Overall",$V$44:$V$44921, "Yes",$W$44:$W$44921, "No")</f>
        <v>26</v>
      </c>
      <c r="I11" s="27">
        <f>COUNTIFS($U$44:$U$44921,"Dust - Overall",$V$44:$V$44921, "No",$W$44:$W$44921, "Yes")</f>
        <v>12</v>
      </c>
      <c r="J11" s="52">
        <f>COUNTIFS($U$44:$U$44921,"Dust - Overall",$X$44:$X$44921, "No")</f>
        <v>38</v>
      </c>
      <c r="K11" s="52">
        <f>COUNTIFS($U$44:$U$44921,"Dust - Overall",$X$44:$X$44921, "N/A")</f>
        <v>4</v>
      </c>
      <c r="M11" s="27">
        <f t="shared" si="0"/>
        <v>107</v>
      </c>
      <c r="N11" s="27">
        <f t="shared" si="1"/>
        <v>103</v>
      </c>
      <c r="P11" s="53">
        <f t="shared" si="2"/>
        <v>0.6310679611650486</v>
      </c>
    </row>
    <row r="12" spans="1:47" x14ac:dyDescent="0.2">
      <c r="P12" s="54"/>
    </row>
    <row r="13" spans="1:47" x14ac:dyDescent="0.2">
      <c r="P13" s="54"/>
    </row>
    <row r="14" spans="1:47" x14ac:dyDescent="0.2">
      <c r="A14" s="55" t="s">
        <v>268</v>
      </c>
      <c r="B14" s="55">
        <f>COUNTIFS($U$44:$U$44921,"Overall Lead",$V$44:$V$44921, "Yes",$W$44:$W$44921, "Yes")</f>
        <v>55</v>
      </c>
      <c r="C14" s="55">
        <f>COUNTIFS($U$44:$U$44921,"Overall Lead",$V$44:$V$44921, "No",$W$44:$W$44921, "No")</f>
        <v>24</v>
      </c>
      <c r="D14" s="55">
        <f>COUNTIFS($U$44:$U$44921,"Overall Lead",$X$44:$X$44921, "Yes")</f>
        <v>79</v>
      </c>
      <c r="E14" s="55"/>
      <c r="F14" s="55"/>
      <c r="G14" s="55"/>
      <c r="H14" s="55">
        <f>COUNTIFS($U$44:$U$44921,"Overall Lead",$V$44:$V$44921, "Yes",$W$44:$W$44921, "No")</f>
        <v>21</v>
      </c>
      <c r="I14" s="55">
        <f>COUNTIFS($U$44:$U$44921,"Overall Lead",$V$44:$V$44921, "No",$W$44:$W$44921, "Yes")</f>
        <v>7</v>
      </c>
      <c r="J14" s="55">
        <f>COUNTIFS($U$44:$U$44921,"Overall Lead",$X$44:$X$44921, "No")</f>
        <v>28</v>
      </c>
      <c r="K14" s="55">
        <f>COUNTIFS($U$44:$U$44921,"Overall Lead",$X$44:$X$44921, "N/A")</f>
        <v>0</v>
      </c>
      <c r="L14" s="55"/>
      <c r="M14" s="55">
        <f>D14+J14+K14</f>
        <v>107</v>
      </c>
      <c r="N14" s="55">
        <f>D14+J14</f>
        <v>107</v>
      </c>
      <c r="O14" s="55"/>
      <c r="P14" s="56">
        <f>D14/N14</f>
        <v>0.73831775700934577</v>
      </c>
    </row>
    <row r="15" spans="1:47" x14ac:dyDescent="0.2">
      <c r="V15" s="27" t="s">
        <v>341</v>
      </c>
      <c r="Y15" s="27">
        <f>COUNTIF(AA43:AA14000,"LRA-Soil")</f>
        <v>27</v>
      </c>
      <c r="AB15" s="27" t="s">
        <v>346</v>
      </c>
      <c r="AF15" s="27">
        <f>COUNTIF(AD43:AD14027,"LSK-Soil")</f>
        <v>31</v>
      </c>
      <c r="AH15" s="27" t="s">
        <v>349</v>
      </c>
      <c r="AL15" s="57">
        <f>COUNTIFS(AA43:AA14027,"LRA-Soil",AD43:AD14027,"LSK-Soil")</f>
        <v>21</v>
      </c>
      <c r="AM15" s="58">
        <f>AL15/Y15</f>
        <v>0.77777777777777779</v>
      </c>
      <c r="AO15" s="27" t="s">
        <v>370</v>
      </c>
      <c r="AT15" s="27">
        <f>COUNTIFS(AD43:AD14027,"LSK-Soil",AA43:AA14027,"LRA-Soil")</f>
        <v>21</v>
      </c>
      <c r="AU15" s="27">
        <v>8</v>
      </c>
    </row>
    <row r="16" spans="1:47" x14ac:dyDescent="0.2">
      <c r="A16" s="27" t="s">
        <v>253</v>
      </c>
      <c r="V16" s="27" t="s">
        <v>334</v>
      </c>
      <c r="Y16" s="27">
        <f>COUNTIFS(AA43:AA14000,"LRA-Soil",AB43:AB14000,"LRA-Paint")</f>
        <v>23</v>
      </c>
      <c r="AB16" s="27" t="s">
        <v>334</v>
      </c>
      <c r="AF16" s="27">
        <f>COUNTIFS(AD43:AD14027,"LSK-Soil",AE43:AE14027,"LSK-Paint")</f>
        <v>11</v>
      </c>
      <c r="AH16" s="27" t="s">
        <v>350</v>
      </c>
      <c r="AL16" s="57">
        <f>COUNTIFS(AB43:AB14027,"LRA-Paint",AE43:AE14027,"LSK-Paint")</f>
        <v>25</v>
      </c>
      <c r="AM16" s="58">
        <f>AL16/Y20</f>
        <v>0.44642857142857145</v>
      </c>
      <c r="AO16" s="27" t="s">
        <v>371</v>
      </c>
      <c r="AT16" s="27">
        <f>COUNTIFS(AE43:AE14027,"LSK-Paint",AB43:AB14027,"LRA-Paint")</f>
        <v>25</v>
      </c>
    </row>
    <row r="17" spans="1:54" x14ac:dyDescent="0.2">
      <c r="B17" s="27" t="s">
        <v>5</v>
      </c>
      <c r="C17" s="27" t="s">
        <v>9</v>
      </c>
      <c r="D17" s="27" t="s">
        <v>120</v>
      </c>
      <c r="M17" s="27" t="s">
        <v>265</v>
      </c>
      <c r="V17" s="27" t="s">
        <v>335</v>
      </c>
      <c r="Y17" s="27">
        <f>COUNTIFS(AA43:AA14000,"LRA-Soil",AC43:AC14000,"LRA-Dust")</f>
        <v>19</v>
      </c>
      <c r="AB17" s="27" t="s">
        <v>335</v>
      </c>
      <c r="AF17" s="27">
        <f>COUNTIFS(AD43:AD14027,"LSK-Soil",AF43:AF14027,"LSK-Dust")</f>
        <v>14</v>
      </c>
      <c r="AH17" s="27" t="s">
        <v>351</v>
      </c>
      <c r="AL17" s="57">
        <f>COUNTIFS(AC43:AC14027,"LRA-Dust",AF43:AF14027,"LSK-Dust")</f>
        <v>21</v>
      </c>
      <c r="AM17" s="58">
        <f>AL17/Y25</f>
        <v>0.44680851063829785</v>
      </c>
      <c r="AO17" s="27" t="s">
        <v>372</v>
      </c>
      <c r="AT17" s="27">
        <f>COUNTIFS(AF43:AF14027,"LSK-Dust",AC43:AC14027,"LRA-Dust")</f>
        <v>21</v>
      </c>
      <c r="AY17" s="27" t="s">
        <v>465</v>
      </c>
      <c r="AZ17" s="27" t="s">
        <v>466</v>
      </c>
      <c r="BA17" s="27" t="s">
        <v>467</v>
      </c>
      <c r="BB17" s="27" t="s">
        <v>468</v>
      </c>
    </row>
    <row r="18" spans="1:54" x14ac:dyDescent="0.2">
      <c r="A18" s="27" t="s">
        <v>92</v>
      </c>
      <c r="B18" s="27">
        <f>COUNTIFS($U$44:$U$44921,"Soil - Play Area",$V$44:$V$44921, "Yes")</f>
        <v>6</v>
      </c>
      <c r="C18" s="27">
        <f>COUNTIFS($U$44:$U$44921,"Soil - Play Area",$V$44:$V$44921, "No")</f>
        <v>16</v>
      </c>
      <c r="D18" s="27">
        <f>COUNTIFS($U$44:$U$44921,"Soil - Play Area",$V$44:$V$44921, "N/A")</f>
        <v>84</v>
      </c>
      <c r="M18" s="27">
        <f t="shared" ref="M18:M26" si="3">B18+C18+D18</f>
        <v>106</v>
      </c>
      <c r="N18" s="27">
        <f t="shared" ref="N18:N26" si="4">B18+C18</f>
        <v>22</v>
      </c>
      <c r="V18" s="27" t="s">
        <v>336</v>
      </c>
      <c r="Y18" s="27">
        <f>COUNTIFS(AA43:AA14000,"LRA-Soil",AB43:AB14000,"LRA-Paint",AC43:AC14000,"LRA-Dust")</f>
        <v>17</v>
      </c>
      <c r="AB18" s="27" t="s">
        <v>336</v>
      </c>
      <c r="AF18" s="27">
        <f>COUNTIFS(AD43:AD14027,"LSK-Soil",AE43:AE14027,"LSK-Paint",AF43:AF14027,"LSK-Dust")</f>
        <v>6</v>
      </c>
      <c r="AH18" s="12"/>
      <c r="AO18" s="12"/>
    </row>
    <row r="19" spans="1:54" x14ac:dyDescent="0.2">
      <c r="A19" s="27" t="s">
        <v>95</v>
      </c>
      <c r="B19" s="27">
        <f>COUNTIFS($U$44:$U$44921,"Soil - Overall",$V$44:$V$44921, "Yes")</f>
        <v>27</v>
      </c>
      <c r="C19" s="27">
        <f>COUNTIFS($U$44:$U$44921,"Soil - Overall",$V$44:$V$44921, "No")</f>
        <v>71</v>
      </c>
      <c r="D19" s="27">
        <f>COUNTIFS($U$44:$U$44921,"Soil - Overall",$V$44:$V$44921, "N/A")</f>
        <v>9</v>
      </c>
      <c r="M19" s="27">
        <f t="shared" si="3"/>
        <v>107</v>
      </c>
      <c r="N19" s="27">
        <f t="shared" si="4"/>
        <v>98</v>
      </c>
      <c r="AH19" s="27" t="s">
        <v>352</v>
      </c>
      <c r="AL19" s="27">
        <f>COUNTIFS(AA43:AA14027,"LRA-Soil",AE43:AE14027,"LSK-Paint")</f>
        <v>11</v>
      </c>
      <c r="AM19" s="54">
        <f>AL19/$Y$15</f>
        <v>0.40740740740740738</v>
      </c>
      <c r="AO19" s="27" t="s">
        <v>373</v>
      </c>
      <c r="AT19" s="27">
        <f>COUNTIFS(AD43:AD14027,"LSK-Soil",AB43:AB14027,"LRA-Paint")</f>
        <v>24</v>
      </c>
      <c r="AU19" s="54">
        <f>AT19/$AF$15</f>
        <v>0.77419354838709675</v>
      </c>
    </row>
    <row r="20" spans="1:54" x14ac:dyDescent="0.2">
      <c r="A20" s="27" t="s">
        <v>163</v>
      </c>
      <c r="B20" s="27">
        <f>COUNTIFS($U$44:$U$44921,"Paint - Interior",$V$44:$V$44921, "Yes")</f>
        <v>48</v>
      </c>
      <c r="C20" s="27">
        <f>COUNTIFS($U$44:$U$44921,"Paint - Interior",$V$44:$V$44921, "No")</f>
        <v>55</v>
      </c>
      <c r="D20" s="27">
        <f>COUNTIFS($U$44:$U$44921,"Paint - Interior",$V$44:$V$44921, "N/A")</f>
        <v>4</v>
      </c>
      <c r="M20" s="27">
        <f t="shared" si="3"/>
        <v>107</v>
      </c>
      <c r="N20" s="27">
        <f t="shared" si="4"/>
        <v>103</v>
      </c>
      <c r="V20" s="27" t="s">
        <v>342</v>
      </c>
      <c r="Y20" s="27">
        <f>COUNTIF(AB43:AB14000,"LRA-Paint")</f>
        <v>56</v>
      </c>
      <c r="AB20" s="27" t="s">
        <v>347</v>
      </c>
      <c r="AF20" s="27">
        <f>COUNTIF(AE43:AE14027,"LSK-Paint")</f>
        <v>28</v>
      </c>
      <c r="AH20" s="27" t="s">
        <v>353</v>
      </c>
      <c r="AL20" s="27">
        <f>COUNTIFS(AA43:AA14027,"LRA-Soil",AF43:AF14027,"LSK-Dust")</f>
        <v>14</v>
      </c>
      <c r="AM20" s="54">
        <f t="shared" ref="AM20:AM24" si="5">AL20/$Y$15</f>
        <v>0.51851851851851849</v>
      </c>
      <c r="AO20" s="27" t="s">
        <v>374</v>
      </c>
      <c r="AT20" s="27">
        <f>COUNTIFS(AD43:AD14027,"LSK-Soil",AC43:AC14027,"LRA-Dust")</f>
        <v>20</v>
      </c>
      <c r="AU20" s="54">
        <f t="shared" ref="AU20:AU24" si="6">AT20/$AF$15</f>
        <v>0.64516129032258063</v>
      </c>
    </row>
    <row r="21" spans="1:54" x14ac:dyDescent="0.2">
      <c r="A21" s="27" t="s">
        <v>164</v>
      </c>
      <c r="B21" s="27">
        <f>COUNTIFS($U$44:$U$44921,"Paint - Exterior",$V$44:$V$44921, "Yes")</f>
        <v>49</v>
      </c>
      <c r="C21" s="27">
        <f>COUNTIFS($U$44:$U$44921,"Paint - Exterior",$V$44:$V$44921, "No")</f>
        <v>55</v>
      </c>
      <c r="D21" s="27">
        <f>COUNTIFS($U$44:$U$44921,"Paint - Exterior",$V$44:$V$44921, "N/A")</f>
        <v>3</v>
      </c>
      <c r="M21" s="27">
        <f t="shared" si="3"/>
        <v>107</v>
      </c>
      <c r="N21" s="27">
        <f t="shared" si="4"/>
        <v>104</v>
      </c>
      <c r="V21" s="27" t="s">
        <v>337</v>
      </c>
      <c r="Y21" s="27">
        <f>COUNTIFS(AB43:AB14000,"LRA-Paint",AA43:AA14000,"LRA-Soil")</f>
        <v>23</v>
      </c>
      <c r="AB21" s="27" t="s">
        <v>337</v>
      </c>
      <c r="AF21" s="27">
        <f>COUNTIFS(AE43:AE14027,"LSK-Paint",AD43:AD14027,"LSK-Soil")</f>
        <v>11</v>
      </c>
      <c r="AH21" s="27" t="s">
        <v>354</v>
      </c>
      <c r="AL21" s="27">
        <f>COUNTIFS(AA43:AA14027,"LRA-Soil",AD43:AD14027,"LSK-Soil",AE43:AE14027,"LSK-Paint")</f>
        <v>8</v>
      </c>
      <c r="AM21" s="54">
        <f t="shared" si="5"/>
        <v>0.29629629629629628</v>
      </c>
      <c r="AO21" s="27" t="s">
        <v>375</v>
      </c>
      <c r="AT21" s="27">
        <f>COUNTIFS(AD43:AD14027,"LSK-Soil",AA43:AA14027,"LRA-Soil",AB43:AB14027,"LRA-Paint")</f>
        <v>18</v>
      </c>
      <c r="AU21" s="54">
        <f t="shared" si="6"/>
        <v>0.58064516129032262</v>
      </c>
    </row>
    <row r="22" spans="1:54" x14ac:dyDescent="0.2">
      <c r="A22" s="27" t="s">
        <v>162</v>
      </c>
      <c r="B22" s="27">
        <f>COUNTIFS($U$44:$U$44921,"Paint - Overall",$V$44:$V$44921, "Yes")</f>
        <v>56</v>
      </c>
      <c r="C22" s="27">
        <f>COUNTIFS($U$44:$U$44921,"Paint - Overall",$V$44:$V$44921, "No")</f>
        <v>50</v>
      </c>
      <c r="D22" s="27">
        <f>COUNTIFS($U$44:$U$44921,"Paint - Overall",$V$44:$V$44921, "N/A")</f>
        <v>1</v>
      </c>
      <c r="M22" s="27">
        <f t="shared" si="3"/>
        <v>107</v>
      </c>
      <c r="N22" s="27">
        <f t="shared" si="4"/>
        <v>106</v>
      </c>
      <c r="V22" s="27" t="s">
        <v>338</v>
      </c>
      <c r="Y22" s="27">
        <f>COUNTIFS(AB43:AB14000,"LRA-Paint",AC43:AC14000,"LRA-Dust")</f>
        <v>29</v>
      </c>
      <c r="AB22" s="27" t="s">
        <v>338</v>
      </c>
      <c r="AF22" s="27">
        <f>COUNTIFS(AE43:AE14027,"LSK-Paint",AF43:AF14027,"LSK-Dust")</f>
        <v>13</v>
      </c>
      <c r="AH22" s="27" t="s">
        <v>355</v>
      </c>
      <c r="AL22" s="27">
        <f>COUNTIFS(AA43:AA14027,"LRA-Soil",AD43:AD14027,"LSK-Soil",AF43:AF14027,"LSK-Dust")</f>
        <v>10</v>
      </c>
      <c r="AM22" s="54">
        <f t="shared" si="5"/>
        <v>0.37037037037037035</v>
      </c>
      <c r="AO22" s="27" t="s">
        <v>376</v>
      </c>
      <c r="AT22" s="27">
        <f>COUNTIFS(AD43:AD14027,"LSK-Soil",AA43:AA14027,"LRA-Soil",AC43:AC14027,"LRA-Dust")</f>
        <v>14</v>
      </c>
      <c r="AU22" s="54">
        <f t="shared" si="6"/>
        <v>0.45161290322580644</v>
      </c>
    </row>
    <row r="23" spans="1:54" x14ac:dyDescent="0.2">
      <c r="A23" s="27" t="s">
        <v>101</v>
      </c>
      <c r="B23" s="27">
        <f>COUNTIFS($U$44:$U$44921,"Dust - Floor",$V$44:$V$44921, "Yes")</f>
        <v>42</v>
      </c>
      <c r="C23" s="27">
        <f>COUNTIFS($U$44:$U$44921,"Dust - Floor",$V$44:$V$44921, "No")</f>
        <v>47</v>
      </c>
      <c r="D23" s="27">
        <f>COUNTIFS($U$44:$U$44921,"Dust - Floor",$V$44:$V$44921, "N/A")</f>
        <v>18</v>
      </c>
      <c r="M23" s="27">
        <f t="shared" si="3"/>
        <v>107</v>
      </c>
      <c r="N23" s="27">
        <f t="shared" si="4"/>
        <v>89</v>
      </c>
      <c r="V23" s="27" t="s">
        <v>339</v>
      </c>
      <c r="Y23" s="27">
        <f>COUNTIFS(AB43:AB14000,"LRA-Paint", AA43:AA14000,"LRA-Soil", AC43:AC14000,"LRA-Dust")</f>
        <v>17</v>
      </c>
      <c r="AB23" s="27" t="s">
        <v>339</v>
      </c>
      <c r="AF23" s="27">
        <f>COUNTIFS(AE43:AE14027,"LSK-Paint", AD43:AD14027,"LSK-Soil", AF43:AF14027,"LSK-Dust")</f>
        <v>6</v>
      </c>
      <c r="AH23" s="27" t="s">
        <v>356</v>
      </c>
      <c r="AL23" s="27">
        <f>COUNTIFS(AA43:AA14027,"LRA-Soil",AF43:AF14027,"LSK-Dust",AE43:AE14027,"LSK-Paint")</f>
        <v>6</v>
      </c>
      <c r="AM23" s="54">
        <f t="shared" si="5"/>
        <v>0.22222222222222221</v>
      </c>
      <c r="AO23" s="27" t="s">
        <v>377</v>
      </c>
      <c r="AT23" s="27">
        <f>COUNTIFS(AD43:AD14027,"LSK-Soil",AB43:AB14027,"LRA-Paint",AC43:AC14027,"LRA-Dust")</f>
        <v>16</v>
      </c>
      <c r="AU23" s="54">
        <f t="shared" si="6"/>
        <v>0.5161290322580645</v>
      </c>
    </row>
    <row r="24" spans="1:54" x14ac:dyDescent="0.2">
      <c r="A24" s="27" t="s">
        <v>104</v>
      </c>
      <c r="B24" s="27">
        <f>COUNTIFS($U$44:$U$44921,"Dust - Window Sill",$V$44:$V$44921, "Yes")</f>
        <v>24</v>
      </c>
      <c r="C24" s="27">
        <f>COUNTIFS($U$44:$U$44921,"Dust - Window Sill",$V$44:$V$44921, "No")</f>
        <v>36</v>
      </c>
      <c r="D24" s="27">
        <f>COUNTIFS($U$44:$U$44921,"Dust - Window Sill",$V$44:$V$44921, "N/A")</f>
        <v>47</v>
      </c>
      <c r="M24" s="27">
        <f t="shared" si="3"/>
        <v>107</v>
      </c>
      <c r="N24" s="27">
        <f t="shared" si="4"/>
        <v>60</v>
      </c>
      <c r="AH24" s="27" t="s">
        <v>357</v>
      </c>
      <c r="AL24" s="27">
        <f>COUNTIFS(AA43:AA14027,"LRA-Soil",AD43:AD14027,"LSK-Soil",AE43:AE14027,"LSK-Paint", AF43:AF14027, "LSK-Dust")</f>
        <v>4</v>
      </c>
      <c r="AM24" s="54">
        <f t="shared" si="5"/>
        <v>0.14814814814814814</v>
      </c>
      <c r="AO24" s="27" t="s">
        <v>378</v>
      </c>
      <c r="AT24" s="27">
        <f>COUNTIFS(AD43:AD14027,"LSK-Soil",AA43:AA14027,"LRA-Soil",AB43:AB14027,"LRA-Paint",AC43:AC14027,"LRA-Dust")</f>
        <v>13</v>
      </c>
      <c r="AU24" s="54">
        <f t="shared" si="6"/>
        <v>0.41935483870967744</v>
      </c>
    </row>
    <row r="25" spans="1:54" x14ac:dyDescent="0.2">
      <c r="A25" s="27" t="s">
        <v>106</v>
      </c>
      <c r="B25" s="27">
        <f>COUNTIFS($U$44:$U$44921,"Dust - Overall",$V$44:$V$44921, "Yes")</f>
        <v>48</v>
      </c>
      <c r="C25" s="27">
        <f>COUNTIFS($U$44:$U$44921,"Dust - Overall",$V$44:$V$44921, "No")</f>
        <v>56</v>
      </c>
      <c r="D25" s="27">
        <f>COUNTIFS($U$44:$U$44921,"Dust - Overall",$V$44:$V$44921, "N/A")</f>
        <v>3</v>
      </c>
      <c r="M25" s="27">
        <f t="shared" si="3"/>
        <v>107</v>
      </c>
      <c r="N25" s="27">
        <f t="shared" si="4"/>
        <v>104</v>
      </c>
      <c r="V25" s="27" t="s">
        <v>343</v>
      </c>
      <c r="Y25" s="27">
        <f>COUNTIF(AC43:AC14000,"LRA-Dust")</f>
        <v>47</v>
      </c>
      <c r="AB25" s="27" t="s">
        <v>348</v>
      </c>
      <c r="AF25" s="27">
        <f>COUNTIF(AF43:AF14027,"LSK-Dust")</f>
        <v>36</v>
      </c>
    </row>
    <row r="26" spans="1:54" x14ac:dyDescent="0.2">
      <c r="A26" s="27" t="s">
        <v>121</v>
      </c>
      <c r="B26" s="27">
        <f>COUNTIFS($U$44:$U$44921,"Overall Lead",$V$44:$V$44921, "Yes")</f>
        <v>76</v>
      </c>
      <c r="C26" s="27">
        <f>COUNTIFS($U$44:$U$44921,"Overall Lead",$V$44:$V$44921, "No")</f>
        <v>31</v>
      </c>
      <c r="D26" s="27">
        <f>COUNTIFS($U$44:$U$44921,"Overall Lead",$V$44:$V$44921, "N/A")</f>
        <v>0</v>
      </c>
      <c r="M26" s="27">
        <f t="shared" si="3"/>
        <v>107</v>
      </c>
      <c r="N26" s="27">
        <f t="shared" si="4"/>
        <v>107</v>
      </c>
      <c r="V26" s="27" t="s">
        <v>340</v>
      </c>
      <c r="Y26" s="27">
        <f>COUNTIFS(AC43:AC14000,"LRA-Dust",AA43:AA14000,"LRA-Soil")</f>
        <v>19</v>
      </c>
      <c r="AB26" s="27" t="s">
        <v>340</v>
      </c>
      <c r="AF26" s="27">
        <f>COUNTIFS(AF43:AF14027,"LSK-Dust",AD43:AD14027,"LSK-Soil")</f>
        <v>14</v>
      </c>
      <c r="AH26" s="27" t="s">
        <v>358</v>
      </c>
      <c r="AL26" s="27">
        <f>COUNTIFS(AB43:AB14027,"LRA-Paint",AD43:AD14027,"LSK-Soil")</f>
        <v>24</v>
      </c>
      <c r="AM26" s="54">
        <f>AL26/$Y$20</f>
        <v>0.42857142857142855</v>
      </c>
      <c r="AO26" s="27" t="s">
        <v>379</v>
      </c>
      <c r="AT26" s="27">
        <f>COUNTIFS(AE43:AE14027,"LSK-Paint",AA43:AA14027,"LRA-Soil")</f>
        <v>11</v>
      </c>
      <c r="AU26" s="54">
        <f>AT26/$AF$20</f>
        <v>0.39285714285714285</v>
      </c>
    </row>
    <row r="27" spans="1:54" x14ac:dyDescent="0.2">
      <c r="V27" s="27" t="s">
        <v>344</v>
      </c>
      <c r="Y27" s="27">
        <f>COUNTIFS(AC43:AC14000,"LRA-Dust",AB43:AB14000,"LRA-Paint")</f>
        <v>29</v>
      </c>
      <c r="AB27" s="27" t="s">
        <v>344</v>
      </c>
      <c r="AF27" s="27">
        <f>COUNTIFS(AF43:AF14027,"LSK-Dust",AE43:AE14027,"LSK-Paint")</f>
        <v>13</v>
      </c>
      <c r="AH27" s="27" t="s">
        <v>359</v>
      </c>
      <c r="AL27" s="27">
        <f>COUNTIFS(AB43:AB14027,"LRA-Paint",AF43:AF14027,"LSK-Dust")</f>
        <v>24</v>
      </c>
      <c r="AM27" s="54">
        <f t="shared" ref="AM27:AM31" si="7">AL27/$Y$20</f>
        <v>0.42857142857142855</v>
      </c>
      <c r="AO27" s="27" t="s">
        <v>380</v>
      </c>
      <c r="AT27" s="27">
        <f>COUNTIFS(AE43:AE14027,"LSK-Paint",AC43:AC14027,"LRA-Dust")</f>
        <v>13</v>
      </c>
      <c r="AU27" s="54">
        <f t="shared" ref="AU27:AU31" si="8">AT27/$AF$20</f>
        <v>0.4642857142857143</v>
      </c>
    </row>
    <row r="28" spans="1:54" x14ac:dyDescent="0.2">
      <c r="A28" s="27" t="s">
        <v>254</v>
      </c>
      <c r="V28" s="27" t="s">
        <v>345</v>
      </c>
      <c r="Y28" s="27">
        <f>COUNTIFS(AC43:AC14000,"LRA-Dust", AA43:AA14000,"LRA-Soil", AB43:AB14000,"LRA-Paint" )</f>
        <v>17</v>
      </c>
      <c r="AB28" s="27" t="s">
        <v>345</v>
      </c>
      <c r="AF28" s="27">
        <f>COUNTIFS(AF43:AF14027,"LSK-Dust", AD43:AD14027,"LSK-Soil", AE43:AE14027,"LSK-Paint" )</f>
        <v>6</v>
      </c>
      <c r="AH28" s="27" t="s">
        <v>361</v>
      </c>
      <c r="AL28" s="27">
        <f>COUNTIFS(AB43:AB14027,"LRA-Paint",AD43:AD14027,"LSK-Soil",AE43:AE14027,"LSK-Paint")</f>
        <v>10</v>
      </c>
      <c r="AM28" s="54">
        <f t="shared" si="7"/>
        <v>0.17857142857142858</v>
      </c>
      <c r="AO28" s="27" t="s">
        <v>381</v>
      </c>
      <c r="AT28" s="27">
        <f>COUNTIFS(AE43:AE14027,"LSK-Paint",AA43:AA14027,"LRA-Soil", AB43:AB14027,"LRA-Paint")</f>
        <v>11</v>
      </c>
      <c r="AU28" s="54">
        <f t="shared" si="8"/>
        <v>0.39285714285714285</v>
      </c>
    </row>
    <row r="29" spans="1:54" x14ac:dyDescent="0.2">
      <c r="B29" s="27" t="s">
        <v>5</v>
      </c>
      <c r="C29" s="27" t="s">
        <v>9</v>
      </c>
      <c r="D29" s="27" t="s">
        <v>120</v>
      </c>
      <c r="AH29" s="27" t="s">
        <v>360</v>
      </c>
      <c r="AL29" s="27">
        <f>COUNTIFS(AB43:AB14027,"LRA-Paint",AD43:AD14027,"LSK-Soil",AF43:AF14027,"LSK-Dust")</f>
        <v>12</v>
      </c>
      <c r="AM29" s="54">
        <f t="shared" si="7"/>
        <v>0.21428571428571427</v>
      </c>
      <c r="AO29" s="27" t="s">
        <v>382</v>
      </c>
      <c r="AT29" s="27">
        <f>COUNTIFS(AE43:AE14027,"LSK-Paint",AA43:AA14027,"LRA-Soil", AC43:AC14027,"LRA-Dust")</f>
        <v>7</v>
      </c>
      <c r="AU29" s="54">
        <f t="shared" si="8"/>
        <v>0.25</v>
      </c>
    </row>
    <row r="30" spans="1:54" x14ac:dyDescent="0.2">
      <c r="A30" s="27" t="s">
        <v>92</v>
      </c>
      <c r="B30" s="27">
        <f>COUNTIFS($U$44:$U$44921,"Soil - Play Area",$W$44:$W$44921, "Yes")</f>
        <v>3</v>
      </c>
      <c r="C30" s="27">
        <f>COUNTIFS($U$44:$U$44921,"Soil - Play Area",$W$44:$W$44921, "No")</f>
        <v>6</v>
      </c>
      <c r="D30" s="27">
        <f>COUNTIFS($U$44:$U$44921,"Soil - Play Area",$W$44:$W$44921, "N/A")</f>
        <v>98</v>
      </c>
      <c r="M30" s="27">
        <f t="shared" ref="M30:M38" si="9">B30+C30+D30</f>
        <v>107</v>
      </c>
      <c r="N30" s="27">
        <f t="shared" ref="N30:N38" si="10">B30+C30</f>
        <v>9</v>
      </c>
      <c r="AH30" s="27" t="s">
        <v>362</v>
      </c>
      <c r="AL30" s="27">
        <f>COUNTIFS(AB43:AB14027,"LRA-Paint",AE43:AE14027,"LSK-Paint", AF43:AF14027,"LSK-Dust")</f>
        <v>13</v>
      </c>
      <c r="AM30" s="54">
        <f t="shared" si="7"/>
        <v>0.23214285714285715</v>
      </c>
      <c r="AO30" s="27" t="s">
        <v>383</v>
      </c>
      <c r="AT30" s="27">
        <f>COUNTIFS(AE43:AE14027,"LSK-Paint",AB43:AB14027,"LRA-Paint", AC43:AC14027,"LRA-Dust")</f>
        <v>12</v>
      </c>
      <c r="AU30" s="54">
        <f t="shared" si="8"/>
        <v>0.42857142857142855</v>
      </c>
    </row>
    <row r="31" spans="1:54" x14ac:dyDescent="0.2">
      <c r="A31" s="27" t="s">
        <v>95</v>
      </c>
      <c r="B31" s="27">
        <f>COUNTIFS($U$44:$U$44921,"Soil - Overall",$W$44:$W$44921, "Yes")</f>
        <v>31</v>
      </c>
      <c r="C31" s="27">
        <f>COUNTIFS($U$44:$U$44921,"Soil - Overall",$W$44:$W$44921, "No")</f>
        <v>72</v>
      </c>
      <c r="D31" s="27">
        <f>COUNTIFS($U$44:$U$44921,"Soil - Overall",$W$44:$W$44921, "N/A")</f>
        <v>4</v>
      </c>
      <c r="M31" s="27">
        <f t="shared" si="9"/>
        <v>107</v>
      </c>
      <c r="N31" s="27">
        <f t="shared" si="10"/>
        <v>103</v>
      </c>
      <c r="AH31" s="27" t="s">
        <v>363</v>
      </c>
      <c r="AL31" s="27">
        <f>COUNTIFS(AB43:AB14027,"LRA-Paint",AD43:AD14027,"LSK-Soil",AE43:AE14027,"LSK-Paint", AF43:AF14027,"LSK-Dust")</f>
        <v>6</v>
      </c>
      <c r="AM31" s="54">
        <f t="shared" si="7"/>
        <v>0.10714285714285714</v>
      </c>
      <c r="AO31" s="27" t="s">
        <v>384</v>
      </c>
      <c r="AT31" s="27">
        <f>COUNTIFS(AE43:AE14027,"LSK-Paint",AA43:AA14027,"LRA-Soil",AB43:AB14027,"LRA-Paint", AC43:AC14027,"LRA-Dust")</f>
        <v>7</v>
      </c>
      <c r="AU31" s="54">
        <f t="shared" si="8"/>
        <v>0.25</v>
      </c>
    </row>
    <row r="32" spans="1:54" x14ac:dyDescent="0.2">
      <c r="A32" s="27" t="s">
        <v>163</v>
      </c>
      <c r="B32" s="27">
        <f>COUNTIFS($U$44:$U$44921,"Paint - Interior",$W$44:$W$44921, "Yes")</f>
        <v>3</v>
      </c>
      <c r="C32" s="27">
        <f>COUNTIFS($U$44:$U$44921,"Paint - Interior",$W$44:$W$44921, "No")</f>
        <v>89</v>
      </c>
      <c r="D32" s="27">
        <f>COUNTIFS($U$44:$U$44921,"Paint - Interior",$W$44:$W$44921, "N/A")</f>
        <v>15</v>
      </c>
      <c r="M32" s="27">
        <f t="shared" si="9"/>
        <v>107</v>
      </c>
      <c r="N32" s="27">
        <f t="shared" si="10"/>
        <v>92</v>
      </c>
    </row>
    <row r="33" spans="1:47" x14ac:dyDescent="0.2">
      <c r="A33" s="27" t="s">
        <v>164</v>
      </c>
      <c r="B33" s="27">
        <f>COUNTIFS($U$44:$U$44921,"Paint - Exterior",$W$44:$W$44921, "Yes")</f>
        <v>27</v>
      </c>
      <c r="C33" s="27">
        <f>COUNTIFS($U$44:$U$44921,"Paint - Exterior",$W$44:$W$44921, "No")</f>
        <v>65</v>
      </c>
      <c r="D33" s="27">
        <f>COUNTIFS($U$44:$U$44921,"Paint - Exterior",$W$44:$W$44921, "N/A")</f>
        <v>15</v>
      </c>
      <c r="M33" s="27">
        <f t="shared" si="9"/>
        <v>107</v>
      </c>
      <c r="N33" s="27">
        <f t="shared" si="10"/>
        <v>92</v>
      </c>
      <c r="AH33" s="27" t="s">
        <v>364</v>
      </c>
      <c r="AL33" s="27">
        <f>COUNTIFS(AC43:AC14027,"LRA-Dust",AE43:AE14027,"LSK-Paint")</f>
        <v>13</v>
      </c>
      <c r="AM33" s="54">
        <f>AL33/$Y$25</f>
        <v>0.27659574468085107</v>
      </c>
      <c r="AO33" s="27" t="s">
        <v>385</v>
      </c>
      <c r="AT33" s="27">
        <f>COUNTIFS(AF43:AF14027,"LSK-Dust",AB43:AB14027,"LRA-Paint")</f>
        <v>24</v>
      </c>
      <c r="AU33" s="54">
        <f>AT33/$AF$25</f>
        <v>0.66666666666666663</v>
      </c>
    </row>
    <row r="34" spans="1:47" x14ac:dyDescent="0.2">
      <c r="A34" s="27" t="s">
        <v>162</v>
      </c>
      <c r="B34" s="27">
        <f>COUNTIFS($U$44:$U$44921,"Paint - Overall",$W$44:$W$44921, "Yes")</f>
        <v>28</v>
      </c>
      <c r="C34" s="27">
        <f>COUNTIFS($U$44:$U$44921,"Paint - Overall",$W$44:$W$44921, "No")</f>
        <v>75</v>
      </c>
      <c r="D34" s="27">
        <f>COUNTIFS($U$44:$U$44921,"Paint - Overall",$W$44:$W$44921, "N/A")</f>
        <v>4</v>
      </c>
      <c r="M34" s="27">
        <f t="shared" si="9"/>
        <v>107</v>
      </c>
      <c r="N34" s="27">
        <f t="shared" si="10"/>
        <v>103</v>
      </c>
      <c r="AH34" s="27" t="s">
        <v>366</v>
      </c>
      <c r="AL34" s="27">
        <f>COUNTIFS(AC43:AC14027,"LRA-Dust",AD43:AD14027,"LSK-Soil")</f>
        <v>20</v>
      </c>
      <c r="AM34" s="54">
        <f t="shared" ref="AM34:AM38" si="11">AL34/$Y$25</f>
        <v>0.42553191489361702</v>
      </c>
      <c r="AO34" s="27" t="s">
        <v>386</v>
      </c>
      <c r="AT34" s="27">
        <f>COUNTIFS(AF43:AF14027,"LSK-Dust",AA43:AA14027,"LRA-Soil")</f>
        <v>14</v>
      </c>
      <c r="AU34" s="54">
        <f t="shared" ref="AU34:AU38" si="12">AT34/$AF$25</f>
        <v>0.3888888888888889</v>
      </c>
    </row>
    <row r="35" spans="1:47" x14ac:dyDescent="0.2">
      <c r="A35" s="27" t="s">
        <v>101</v>
      </c>
      <c r="B35" s="27">
        <f>COUNTIFS($U$44:$U$44921,"Dust - Floor",$W$44:$W$44921, "Yes")</f>
        <v>27</v>
      </c>
      <c r="C35" s="27">
        <f>COUNTIFS($U$44:$U$44921,"Dust - Floor",$W$44:$W$44921, "No")</f>
        <v>72</v>
      </c>
      <c r="D35" s="27">
        <f>COUNTIFS($U$44:$U$44921,"Dust - Floor",$W$44:$W$44921, "N/A")</f>
        <v>8</v>
      </c>
      <c r="M35" s="27">
        <f t="shared" si="9"/>
        <v>107</v>
      </c>
      <c r="N35" s="27">
        <f t="shared" si="10"/>
        <v>99</v>
      </c>
      <c r="AH35" s="27" t="s">
        <v>365</v>
      </c>
      <c r="AL35" s="27">
        <f>COUNTIFS(AC43:AC14027,"LRA-Dust",AD43:AD14027,"LSK-Soil",AE43:AE14027,"LSK-Paint")</f>
        <v>7</v>
      </c>
      <c r="AM35" s="54">
        <f t="shared" si="11"/>
        <v>0.14893617021276595</v>
      </c>
      <c r="AO35" s="27" t="s">
        <v>387</v>
      </c>
      <c r="AT35" s="27">
        <f>COUNTIFS(AF43:AF14027,"LSK-Dust",AA43:AA14027,"LRA-Soil", AB43:AB14027,"LRA-Paint")</f>
        <v>13</v>
      </c>
      <c r="AU35" s="54">
        <f t="shared" si="12"/>
        <v>0.3611111111111111</v>
      </c>
    </row>
    <row r="36" spans="1:47" x14ac:dyDescent="0.2">
      <c r="A36" s="27" t="s">
        <v>104</v>
      </c>
      <c r="B36" s="27">
        <f>COUNTIFS($U$44:$U$44921,"Dust - Window Sill",$W$44:$W$44921, "Yes")</f>
        <v>3</v>
      </c>
      <c r="C36" s="27">
        <f>COUNTIFS($U$44:$U$44921,"Dust - Window Sill",$W$44:$W$44921, "No")</f>
        <v>99</v>
      </c>
      <c r="D36" s="27">
        <f>COUNTIFS($U$44:$U$44921,"Dust - Window Sill",$W$44:$W$44921, "N/A")</f>
        <v>5</v>
      </c>
      <c r="M36" s="27">
        <f t="shared" si="9"/>
        <v>107</v>
      </c>
      <c r="N36" s="27">
        <f t="shared" si="10"/>
        <v>102</v>
      </c>
      <c r="AH36" s="27" t="s">
        <v>367</v>
      </c>
      <c r="AL36" s="27">
        <f>COUNTIFS(AC43:AC14027,"LRA-Dust",AD43:AD14027,"LSK-Soil",AF43:AF14027,"LSK-Dust")</f>
        <v>11</v>
      </c>
      <c r="AM36" s="54">
        <f t="shared" si="11"/>
        <v>0.23404255319148937</v>
      </c>
      <c r="AO36" s="27" t="s">
        <v>388</v>
      </c>
      <c r="AT36" s="27">
        <f>COUNTIFS(AF43:AF14027,"LSK-Dust",AA43:AA14027,"LRA-Soil", AC43:AC14027,"LRA-Dust")</f>
        <v>13</v>
      </c>
      <c r="AU36" s="54">
        <f t="shared" si="12"/>
        <v>0.3611111111111111</v>
      </c>
    </row>
    <row r="37" spans="1:47" x14ac:dyDescent="0.2">
      <c r="A37" s="27" t="s">
        <v>106</v>
      </c>
      <c r="B37" s="27">
        <f>COUNTIFS($U$44:$U$44921,"Dust - Overall",$W$44:$W$44921, "Yes")</f>
        <v>35</v>
      </c>
      <c r="C37" s="27">
        <f>COUNTIFS($U$44:$U$44921,"Dust - Overall",$W$44:$W$44921, "No")</f>
        <v>70</v>
      </c>
      <c r="D37" s="27">
        <f>COUNTIFS($U$44:$U$44921,"Dust - Overall",$W$44:$W$44921, "N/A")</f>
        <v>2</v>
      </c>
      <c r="M37" s="27">
        <f t="shared" si="9"/>
        <v>107</v>
      </c>
      <c r="N37" s="27">
        <f t="shared" si="10"/>
        <v>105</v>
      </c>
      <c r="AH37" s="27" t="s">
        <v>368</v>
      </c>
      <c r="AL37" s="27">
        <f>COUNTIFS(AC43:AC14027,"LRA-Dust",AE43:AE14027,"LSK-Paint",AF43:AF14027,"LSK-Dust")</f>
        <v>7</v>
      </c>
      <c r="AM37" s="54">
        <f t="shared" si="11"/>
        <v>0.14893617021276595</v>
      </c>
      <c r="AO37" s="27" t="s">
        <v>389</v>
      </c>
      <c r="AT37" s="27">
        <f>COUNTIFS(AF43:AF14027,"LSK-Dust",AB43:AB14027,"LRA-Paint", AC43:AC14027,"LRA-Dust")</f>
        <v>14</v>
      </c>
      <c r="AU37" s="54">
        <f t="shared" si="12"/>
        <v>0.3888888888888889</v>
      </c>
    </row>
    <row r="38" spans="1:47" x14ac:dyDescent="0.2">
      <c r="A38" s="27" t="s">
        <v>121</v>
      </c>
      <c r="B38" s="27">
        <f>COUNTIFS($U$44:$U$44921,"Overall Lead",$W$44:$W$44921, "Yes")</f>
        <v>62</v>
      </c>
      <c r="C38" s="27">
        <f>COUNTIFS($U$44:$U$44921,"Overall Lead",$W$44:$W$44921, "No")</f>
        <v>45</v>
      </c>
      <c r="D38" s="27">
        <f>COUNTIFS($U$44:$U$44921,"Overall Lead",$W$44:$W$44921, "N/A")</f>
        <v>0</v>
      </c>
      <c r="M38" s="27">
        <f t="shared" si="9"/>
        <v>107</v>
      </c>
      <c r="N38" s="27">
        <f t="shared" si="10"/>
        <v>107</v>
      </c>
      <c r="AH38" s="27" t="s">
        <v>369</v>
      </c>
      <c r="AL38" s="27">
        <f>COUNTIFS(AC43:AC14027,"LRA-Dust",AD43:AD14027,"LSK-Soil",AE43:AE14027,"LSK-Paint", AF43:AF14027,"LSK-Dust")</f>
        <v>4</v>
      </c>
      <c r="AM38" s="54">
        <f t="shared" si="11"/>
        <v>8.5106382978723402E-2</v>
      </c>
      <c r="AO38" s="27" t="s">
        <v>390</v>
      </c>
      <c r="AT38" s="27">
        <f>COUNTIFS(AF43:AF14027,"LSK-Dust",AA43:AA14027,"LRA-Soil",AB43:AB14027,"LRA-Paint", AC43:AC14027,"LRA-Dust")</f>
        <v>12</v>
      </c>
      <c r="AU38" s="54">
        <f t="shared" si="12"/>
        <v>0.33333333333333331</v>
      </c>
    </row>
    <row r="41" spans="1:47" x14ac:dyDescent="0.2">
      <c r="A41" s="67">
        <v>369</v>
      </c>
      <c r="C41" s="27">
        <v>1</v>
      </c>
    </row>
    <row r="42" spans="1:47" x14ac:dyDescent="0.2">
      <c r="A42" s="59" t="s">
        <v>0</v>
      </c>
      <c r="E42" s="27" t="s">
        <v>274</v>
      </c>
      <c r="F42" s="27" t="s">
        <v>275</v>
      </c>
      <c r="G42" s="27" t="s">
        <v>119</v>
      </c>
      <c r="J42" s="59" t="s">
        <v>1</v>
      </c>
      <c r="N42" s="27" t="s">
        <v>277</v>
      </c>
      <c r="O42" s="27" t="s">
        <v>278</v>
      </c>
    </row>
    <row r="43" spans="1:47" x14ac:dyDescent="0.2">
      <c r="A43" s="27" t="s">
        <v>2</v>
      </c>
      <c r="B43" s="27" t="s">
        <v>3</v>
      </c>
      <c r="C43" s="27">
        <v>11.6</v>
      </c>
      <c r="D43" s="27" t="s">
        <v>4</v>
      </c>
      <c r="E43" s="27" t="str">
        <f t="shared" ref="E43:F48" si="13">IF(B43&gt;=$W$2, "Yes","No")</f>
        <v>Yes</v>
      </c>
      <c r="F43" s="27" t="str">
        <f t="shared" si="13"/>
        <v>Yes</v>
      </c>
      <c r="G43" s="27" t="s">
        <v>5</v>
      </c>
      <c r="H43" s="27" t="s">
        <v>46</v>
      </c>
      <c r="J43" s="27" t="s">
        <v>6</v>
      </c>
      <c r="K43" s="27">
        <v>410.8</v>
      </c>
      <c r="L43" s="27" t="s">
        <v>7</v>
      </c>
      <c r="M43" s="27" t="s">
        <v>8</v>
      </c>
      <c r="N43" s="27" t="s">
        <v>9</v>
      </c>
      <c r="O43" s="27" t="str">
        <f>IF(K43="Not","No",IF(K43="n/a","N/A",IF(K43&gt;$Y$3,"Yes","No")))</f>
        <v>Yes</v>
      </c>
      <c r="Q43" s="59" t="s">
        <v>115</v>
      </c>
      <c r="R43" s="59" t="s">
        <v>0</v>
      </c>
      <c r="S43" s="59" t="s">
        <v>1</v>
      </c>
      <c r="U43" s="59" t="s">
        <v>115</v>
      </c>
      <c r="V43" s="59" t="s">
        <v>0</v>
      </c>
      <c r="W43" s="59" t="s">
        <v>1</v>
      </c>
      <c r="X43" s="59" t="s">
        <v>122</v>
      </c>
      <c r="AA43" s="27" t="str">
        <f>IF(R44="Yes","LRA-Soil","")</f>
        <v/>
      </c>
      <c r="AB43" s="27" t="str">
        <f>IF(R45="Yes","LRA-Paint","")</f>
        <v>LRA-Paint</v>
      </c>
      <c r="AC43" s="27" t="str">
        <f>IF(R46="Yes","LRA-Dust","")</f>
        <v/>
      </c>
      <c r="AD43" s="27" t="str">
        <f>IF(S44="Yes","LSK-Soil","")</f>
        <v/>
      </c>
      <c r="AE43" s="27" t="str">
        <f>IF(S45="Yes","LSK-Paint","")</f>
        <v>LSK-Paint</v>
      </c>
      <c r="AF43" s="27" t="str">
        <f>IF(S46="Yes","LSK-Dust","")</f>
        <v>LSK-Dust</v>
      </c>
      <c r="AI43" s="27" t="s">
        <v>46</v>
      </c>
      <c r="AJ43" s="27" t="s">
        <v>43</v>
      </c>
      <c r="AK43" s="27" t="s">
        <v>116</v>
      </c>
      <c r="AL43" s="27" t="s">
        <v>117</v>
      </c>
    </row>
    <row r="44" spans="1:47" x14ac:dyDescent="0.2">
      <c r="A44" s="27" t="s">
        <v>2</v>
      </c>
      <c r="B44" s="27" t="s">
        <v>10</v>
      </c>
      <c r="C44" s="27">
        <v>1.7</v>
      </c>
      <c r="D44" s="27" t="s">
        <v>4</v>
      </c>
      <c r="E44" s="27" t="str">
        <f t="shared" si="13"/>
        <v>Yes</v>
      </c>
      <c r="F44" s="27" t="str">
        <f t="shared" si="13"/>
        <v>Yes</v>
      </c>
      <c r="G44" s="27" t="s">
        <v>5</v>
      </c>
      <c r="H44" s="27" t="s">
        <v>46</v>
      </c>
      <c r="J44" s="27" t="s">
        <v>11</v>
      </c>
      <c r="K44" s="27">
        <v>390.8</v>
      </c>
      <c r="L44" s="27" t="s">
        <v>12</v>
      </c>
      <c r="M44" s="27" t="s">
        <v>13</v>
      </c>
      <c r="N44" s="27" t="s">
        <v>9</v>
      </c>
      <c r="O44" s="27" t="str">
        <f t="shared" ref="O44:O45" si="14">IF(K44="Not","No",IF(K44="n/a","N/A",IF(K44&gt;$Y$3,"Yes","No")))</f>
        <v>No</v>
      </c>
      <c r="Q44" s="27" t="s">
        <v>116</v>
      </c>
      <c r="R44" s="27" t="str">
        <f>_xlfn.XLOOKUP("ppm",D43:D50,F43:F50,"N/A")</f>
        <v>No</v>
      </c>
      <c r="S44" s="27" t="str">
        <f>IF(COUNTIF(O44:O46,"Yes"),"Yes","No")</f>
        <v>No</v>
      </c>
      <c r="U44" s="27" t="s">
        <v>92</v>
      </c>
      <c r="V44" s="27" t="s">
        <v>9</v>
      </c>
      <c r="W44" s="27" t="s">
        <v>120</v>
      </c>
      <c r="X44" s="27" t="str">
        <f>IF(V44="N/A","N/A",IF(W44="N/A", "N/A", IF(V44=W44, "Yes","No")))</f>
        <v>N/A</v>
      </c>
      <c r="AI44" s="27">
        <f>COUNTIF(H43:H50,"Exterior")</f>
        <v>6</v>
      </c>
      <c r="AJ44" s="27">
        <f>COUNTIF(H43:H50, "Interior")</f>
        <v>0</v>
      </c>
      <c r="AK44" s="27">
        <f>COUNTIFS(D43:D50,"ppm")+COUNTIFS(D43:D50,"mg/Kg")</f>
        <v>1</v>
      </c>
      <c r="AL44" s="27">
        <f>COUNTIF(D43:D50,"ug/ft2")</f>
        <v>1</v>
      </c>
    </row>
    <row r="45" spans="1:47" x14ac:dyDescent="0.2">
      <c r="A45" s="27" t="s">
        <v>2</v>
      </c>
      <c r="B45" s="27" t="s">
        <v>14</v>
      </c>
      <c r="C45" s="27">
        <v>3.7</v>
      </c>
      <c r="D45" s="27" t="s">
        <v>4</v>
      </c>
      <c r="E45" s="27" t="str">
        <f t="shared" si="13"/>
        <v>Yes</v>
      </c>
      <c r="F45" s="27" t="str">
        <f t="shared" si="13"/>
        <v>Yes</v>
      </c>
      <c r="G45" s="27" t="s">
        <v>5</v>
      </c>
      <c r="H45" s="27" t="s">
        <v>46</v>
      </c>
      <c r="J45" s="27" t="s">
        <v>15</v>
      </c>
      <c r="K45" s="27">
        <v>66.7</v>
      </c>
      <c r="L45" s="27" t="s">
        <v>12</v>
      </c>
      <c r="M45" s="27" t="s">
        <v>16</v>
      </c>
      <c r="N45" s="27" t="s">
        <v>9</v>
      </c>
      <c r="O45" s="27" t="str">
        <f t="shared" si="14"/>
        <v>No</v>
      </c>
      <c r="Q45" s="27" t="s">
        <v>98</v>
      </c>
      <c r="R45" s="27" t="str">
        <f>_xlfn.XLOOKUP("mg/cm2",D43:D50,G43:G50,"N/A")</f>
        <v>Yes</v>
      </c>
      <c r="S45" s="27" t="str">
        <f>IF(COUNTIF(O46:O47,"Yes"),"Yes","No")</f>
        <v>Yes</v>
      </c>
      <c r="U45" s="27" t="s">
        <v>95</v>
      </c>
      <c r="V45" s="27" t="str">
        <f>R44</f>
        <v>No</v>
      </c>
      <c r="W45" s="27" t="str">
        <f>S44</f>
        <v>No</v>
      </c>
      <c r="X45" s="27" t="str">
        <f t="shared" ref="X45:X47" si="15">IF(V45="N/A","N/A",IF(W45="N/A", "N/A", IF(V45=W45, "Yes","No")))</f>
        <v>Yes</v>
      </c>
    </row>
    <row r="46" spans="1:47" x14ac:dyDescent="0.2">
      <c r="A46" s="27" t="s">
        <v>17</v>
      </c>
      <c r="B46" s="27" t="s">
        <v>18</v>
      </c>
      <c r="C46" s="27">
        <v>10.1</v>
      </c>
      <c r="D46" s="27" t="s">
        <v>4</v>
      </c>
      <c r="E46" s="27" t="str">
        <f t="shared" si="13"/>
        <v>Yes</v>
      </c>
      <c r="F46" s="27" t="str">
        <f t="shared" si="13"/>
        <v>Yes</v>
      </c>
      <c r="G46" s="27" t="s">
        <v>5</v>
      </c>
      <c r="H46" s="27" t="s">
        <v>46</v>
      </c>
      <c r="J46" s="27" t="s">
        <v>19</v>
      </c>
      <c r="K46" s="27">
        <v>74.2</v>
      </c>
      <c r="L46" s="27" t="s">
        <v>12</v>
      </c>
      <c r="M46" s="27" t="s">
        <v>20</v>
      </c>
      <c r="N46" s="27" t="s">
        <v>9</v>
      </c>
      <c r="O46" s="27" t="str">
        <f t="shared" ref="O46:O47" si="16">IF(K46="Not","No",IF(K46="n/a","N/A",IF(K46&gt;$Y$2,"Yes","No")))</f>
        <v>No</v>
      </c>
      <c r="Q46" s="27" t="s">
        <v>117</v>
      </c>
      <c r="R46" s="27" t="str">
        <f>_xlfn.XLOOKUP("ug/ft2",D43:D50,F43:F50,"N/A")</f>
        <v>No</v>
      </c>
      <c r="S46" s="27" t="str">
        <f>IF(COUNTIF(O48:O50,"Yes"),"Yes","No")</f>
        <v>Yes</v>
      </c>
      <c r="U46" s="27" t="s">
        <v>163</v>
      </c>
      <c r="V46" s="27" t="s">
        <v>120</v>
      </c>
      <c r="W46" s="27" t="s">
        <v>9</v>
      </c>
      <c r="X46" s="27" t="str">
        <f t="shared" si="15"/>
        <v>N/A</v>
      </c>
    </row>
    <row r="47" spans="1:47" x14ac:dyDescent="0.2">
      <c r="A47" s="27" t="s">
        <v>21</v>
      </c>
      <c r="B47" s="27" t="s">
        <v>18</v>
      </c>
      <c r="C47" s="27">
        <v>2.2000000000000002</v>
      </c>
      <c r="D47" s="27" t="s">
        <v>4</v>
      </c>
      <c r="E47" s="27" t="str">
        <f t="shared" si="13"/>
        <v>Yes</v>
      </c>
      <c r="F47" s="27" t="str">
        <f t="shared" si="13"/>
        <v>Yes</v>
      </c>
      <c r="G47" s="27" t="s">
        <v>5</v>
      </c>
      <c r="H47" s="27" t="s">
        <v>46</v>
      </c>
      <c r="J47" s="27" t="s">
        <v>22</v>
      </c>
      <c r="K47" s="27">
        <v>14003</v>
      </c>
      <c r="L47" s="27" t="s">
        <v>12</v>
      </c>
      <c r="M47" s="27" t="s">
        <v>23</v>
      </c>
      <c r="N47" s="27" t="s">
        <v>5</v>
      </c>
      <c r="O47" s="27" t="str">
        <f t="shared" si="16"/>
        <v>Yes</v>
      </c>
      <c r="Q47" s="27" t="s">
        <v>118</v>
      </c>
      <c r="R47" s="27" t="str">
        <f>IF(COUNTIF(R44:R46,"Yes"),"Yes","No")</f>
        <v>Yes</v>
      </c>
      <c r="S47" s="27" t="str">
        <f>IF(COUNTIF(S44:S46,"Yes"),"Yes","No")</f>
        <v>Yes</v>
      </c>
      <c r="U47" s="27" t="s">
        <v>164</v>
      </c>
      <c r="V47" s="27" t="s">
        <v>5</v>
      </c>
      <c r="W47" s="27" t="s">
        <v>5</v>
      </c>
      <c r="X47" s="27" t="str">
        <f t="shared" si="15"/>
        <v>Yes</v>
      </c>
    </row>
    <row r="48" spans="1:47" x14ac:dyDescent="0.2">
      <c r="A48" s="27" t="s">
        <v>21</v>
      </c>
      <c r="B48" s="27" t="s">
        <v>24</v>
      </c>
      <c r="C48" s="27">
        <v>1.4</v>
      </c>
      <c r="D48" s="27" t="s">
        <v>4</v>
      </c>
      <c r="E48" s="27" t="str">
        <f t="shared" si="13"/>
        <v>Yes</v>
      </c>
      <c r="F48" s="27" t="str">
        <f t="shared" si="13"/>
        <v>Yes</v>
      </c>
      <c r="G48" s="27" t="s">
        <v>5</v>
      </c>
      <c r="H48" s="27" t="s">
        <v>46</v>
      </c>
      <c r="J48" s="27" t="s">
        <v>25</v>
      </c>
      <c r="K48" s="27">
        <v>22.3</v>
      </c>
      <c r="L48" s="27" t="s">
        <v>12</v>
      </c>
      <c r="M48" s="27" t="s">
        <v>26</v>
      </c>
      <c r="N48" s="27" t="s">
        <v>9</v>
      </c>
      <c r="O48" s="27" t="str">
        <f>IF(K48="Not","No",IF(K48="n/a","N/A",IF(K48&gt;$Y$5,"Yes","No")))</f>
        <v>No</v>
      </c>
      <c r="U48" s="27" t="s">
        <v>162</v>
      </c>
      <c r="V48" s="27" t="str">
        <f>R45</f>
        <v>Yes</v>
      </c>
      <c r="W48" s="27" t="str">
        <f>S45</f>
        <v>Yes</v>
      </c>
      <c r="X48" s="27" t="str">
        <f>IF(V48="N/A","N/A",IF(W48="N/A", "N/A", IF(V48=W48, "Yes","No")))</f>
        <v>Yes</v>
      </c>
    </row>
    <row r="49" spans="1:38" x14ac:dyDescent="0.2">
      <c r="A49" s="27" t="s">
        <v>27</v>
      </c>
      <c r="B49" s="27" t="s">
        <v>28</v>
      </c>
      <c r="C49" s="27">
        <v>140</v>
      </c>
      <c r="D49" s="27" t="s">
        <v>12</v>
      </c>
      <c r="E49" s="27" t="str">
        <f>IF(B49&gt;$W$3,"Yes","No")</f>
        <v>Yes</v>
      </c>
      <c r="F49" s="27" t="str">
        <f>IF(C49&gt;$W$3,"Yes","No")</f>
        <v>No</v>
      </c>
      <c r="G49" s="27" t="s">
        <v>9</v>
      </c>
      <c r="J49" s="27" t="s">
        <v>29</v>
      </c>
      <c r="K49" s="27">
        <v>23.6</v>
      </c>
      <c r="L49" s="27" t="s">
        <v>12</v>
      </c>
      <c r="M49" s="27" t="s">
        <v>30</v>
      </c>
      <c r="N49" s="27" t="s">
        <v>5</v>
      </c>
      <c r="O49" s="27" t="str">
        <f>IF(K49="Not","No",IF(K49="n/a","N/A",IF(K49&gt;$Y$6,"Yes","No")))</f>
        <v>Yes</v>
      </c>
      <c r="U49" s="27" t="s">
        <v>101</v>
      </c>
      <c r="V49" s="27" t="s">
        <v>9</v>
      </c>
      <c r="W49" s="27" t="s">
        <v>5</v>
      </c>
      <c r="X49" s="27" t="str">
        <f>IF(V49="N/A","N/A",IF(W49="N/A", "N/A", IF(V49=W49, "Yes","No")))</f>
        <v>No</v>
      </c>
    </row>
    <row r="50" spans="1:38" x14ac:dyDescent="0.2">
      <c r="A50" s="27" t="s">
        <v>31</v>
      </c>
      <c r="B50" s="27" t="s">
        <v>32</v>
      </c>
      <c r="C50" s="27">
        <v>5.0999999999999996</v>
      </c>
      <c r="D50" s="27" t="s">
        <v>33</v>
      </c>
      <c r="E50" s="27" t="str">
        <f>IF(B50&gt;$W$6,"Yes","No")</f>
        <v>Yes</v>
      </c>
      <c r="F50" s="27" t="str">
        <f>IF(C50&gt;$W$6,"Yes","No")</f>
        <v>No</v>
      </c>
      <c r="G50" s="27" t="s">
        <v>9</v>
      </c>
      <c r="J50" s="27" t="s">
        <v>34</v>
      </c>
      <c r="K50" s="27">
        <v>168.6</v>
      </c>
      <c r="L50" s="27" t="s">
        <v>12</v>
      </c>
      <c r="M50" s="27" t="s">
        <v>35</v>
      </c>
      <c r="N50" s="27" t="s">
        <v>5</v>
      </c>
      <c r="O50" s="27" t="str">
        <f>IF(K50="Not","No",IF(K50="n/a","N/A",IF(K50&gt;$Y$6,"Yes","No")))</f>
        <v>Yes</v>
      </c>
      <c r="U50" s="27" t="s">
        <v>104</v>
      </c>
      <c r="V50" s="27" t="s">
        <v>120</v>
      </c>
      <c r="W50" s="27" t="s">
        <v>5</v>
      </c>
      <c r="X50" s="27" t="str">
        <f>IF(V50="N/A","N/A",IF(W50="N/A", "N/A", IF(V50=W50, "Yes","No")))</f>
        <v>N/A</v>
      </c>
    </row>
    <row r="51" spans="1:38" x14ac:dyDescent="0.2">
      <c r="U51" s="27" t="s">
        <v>106</v>
      </c>
      <c r="V51" s="27" t="str">
        <f>R46</f>
        <v>No</v>
      </c>
      <c r="W51" s="27" t="str">
        <f>S46</f>
        <v>Yes</v>
      </c>
      <c r="X51" s="27" t="str">
        <f>IF(V51="N/A","N/A",IF(W51="N/A", "N/A", IF(V51=W51, "Yes","No")))</f>
        <v>No</v>
      </c>
    </row>
    <row r="52" spans="1:38" x14ac:dyDescent="0.2">
      <c r="U52" s="27" t="s">
        <v>121</v>
      </c>
      <c r="V52" s="27" t="str">
        <f>R47</f>
        <v>Yes</v>
      </c>
      <c r="W52" s="27" t="str">
        <f>S47</f>
        <v>Yes</v>
      </c>
      <c r="X52" s="27" t="str">
        <f>IF(V52="N/A","N/A",IF(W52="N/A", "N/A", IF(V52=W52, "Yes","No")))</f>
        <v>Yes</v>
      </c>
    </row>
    <row r="56" spans="1:38" x14ac:dyDescent="0.2">
      <c r="A56" s="67">
        <v>367</v>
      </c>
      <c r="C56" s="27">
        <v>2</v>
      </c>
    </row>
    <row r="57" spans="1:38" x14ac:dyDescent="0.2">
      <c r="A57" s="59" t="s">
        <v>0</v>
      </c>
      <c r="E57" s="27" t="s">
        <v>274</v>
      </c>
      <c r="F57" s="27" t="s">
        <v>275</v>
      </c>
      <c r="G57" s="27" t="s">
        <v>119</v>
      </c>
      <c r="J57" s="59" t="s">
        <v>1</v>
      </c>
      <c r="N57" s="27" t="s">
        <v>277</v>
      </c>
      <c r="O57" s="27" t="s">
        <v>278</v>
      </c>
      <c r="Q57" s="59" t="s">
        <v>115</v>
      </c>
      <c r="R57" s="59" t="s">
        <v>0</v>
      </c>
      <c r="S57" s="59" t="s">
        <v>1</v>
      </c>
      <c r="U57" s="59" t="s">
        <v>115</v>
      </c>
      <c r="V57" s="59" t="s">
        <v>0</v>
      </c>
      <c r="W57" s="59" t="s">
        <v>1</v>
      </c>
      <c r="X57" s="59" t="s">
        <v>122</v>
      </c>
      <c r="AA57" s="27" t="str">
        <f>IF(R58="Yes","LRA-Soil","")</f>
        <v/>
      </c>
      <c r="AB57" s="27" t="str">
        <f>IF(R59="Yes","LRA-Paint","")</f>
        <v/>
      </c>
      <c r="AC57" s="27" t="str">
        <f>IF(R60="Yes","LRA-Dust","")</f>
        <v>LRA-Dust</v>
      </c>
      <c r="AD57" s="27" t="str">
        <f>IF(S58="Yes","LSK-Soil","")</f>
        <v/>
      </c>
      <c r="AE57" s="27" t="str">
        <f>IF(S59="Yes","LSK-Paint","")</f>
        <v/>
      </c>
      <c r="AF57" s="27" t="str">
        <f>IF(S60="Yes","LSK-Dust","")</f>
        <v>LSK-Dust</v>
      </c>
      <c r="AI57" s="27" t="s">
        <v>46</v>
      </c>
      <c r="AJ57" s="27" t="s">
        <v>43</v>
      </c>
      <c r="AK57" s="27" t="s">
        <v>116</v>
      </c>
      <c r="AL57" s="27" t="s">
        <v>117</v>
      </c>
    </row>
    <row r="58" spans="1:38" x14ac:dyDescent="0.2">
      <c r="A58" s="27" t="s">
        <v>21</v>
      </c>
      <c r="B58" s="27" t="s">
        <v>18</v>
      </c>
      <c r="C58" s="27">
        <v>2.2000000000000002</v>
      </c>
      <c r="D58" s="27" t="s">
        <v>4</v>
      </c>
      <c r="E58" s="27" t="s">
        <v>5</v>
      </c>
      <c r="F58" s="27" t="str">
        <f>IF(C58&gt;=$W$2,"Yes","No")</f>
        <v>Yes</v>
      </c>
      <c r="G58" s="27" t="s">
        <v>9</v>
      </c>
      <c r="H58" s="27" t="s">
        <v>46</v>
      </c>
      <c r="J58" s="27" t="s">
        <v>6</v>
      </c>
      <c r="K58" s="27">
        <v>79.400000000000006</v>
      </c>
      <c r="L58" s="27" t="s">
        <v>7</v>
      </c>
      <c r="M58" s="27" t="s">
        <v>36</v>
      </c>
      <c r="N58" s="27" t="s">
        <v>9</v>
      </c>
      <c r="O58" s="27" t="str">
        <f>IF(K58="Not","No",IF(K58="n/a","N/A",IF(K58&gt;$Y$3,"Yes","No")))</f>
        <v>No</v>
      </c>
      <c r="Q58" s="27" t="s">
        <v>116</v>
      </c>
      <c r="R58" s="27" t="str">
        <f>_xlfn.XLOOKUP("mg/Kg",D58:D69,F58:F69,"N/A")</f>
        <v>No</v>
      </c>
      <c r="S58" s="27" t="str">
        <f>IF(COUNTIF(O58:O60,"Yes"),"Yes","No")</f>
        <v>No</v>
      </c>
      <c r="U58" s="27" t="s">
        <v>92</v>
      </c>
      <c r="V58" s="27" t="s">
        <v>9</v>
      </c>
      <c r="W58" s="27" t="s">
        <v>120</v>
      </c>
      <c r="X58" s="27" t="str">
        <f>IF(V58="N/A","N/A",IF(W58="N/A", "N/A", IF(V58=W58, "Yes","No")))</f>
        <v>N/A</v>
      </c>
      <c r="AI58" s="27">
        <f>COUNTIF(H57:H69,"Exterior")</f>
        <v>1</v>
      </c>
      <c r="AJ58" s="27">
        <v>8</v>
      </c>
      <c r="AK58" s="27">
        <f>COUNTIFS(D57:D69,"ppm")+COUNTIFS(D57:D69,"mg/Kg")</f>
        <v>1</v>
      </c>
      <c r="AL58" s="27">
        <f>COUNTIF(D57:D69,"ug/ft2")</f>
        <v>1</v>
      </c>
    </row>
    <row r="59" spans="1:38" x14ac:dyDescent="0.2">
      <c r="A59" s="27" t="s">
        <v>27</v>
      </c>
      <c r="B59" s="27" t="s">
        <v>28</v>
      </c>
      <c r="C59" s="27">
        <v>100</v>
      </c>
      <c r="D59" s="27" t="s">
        <v>37</v>
      </c>
      <c r="E59" s="27" t="s">
        <v>9</v>
      </c>
      <c r="F59" s="27" t="str">
        <f>IF(C59&gt;$W$3,"Yes","No")</f>
        <v>No</v>
      </c>
      <c r="G59" s="27" t="s">
        <v>9</v>
      </c>
      <c r="J59" s="27" t="s">
        <v>11</v>
      </c>
      <c r="K59" s="27">
        <v>54.4</v>
      </c>
      <c r="L59" s="27" t="s">
        <v>12</v>
      </c>
      <c r="M59" s="27" t="s">
        <v>38</v>
      </c>
      <c r="N59" s="27" t="s">
        <v>9</v>
      </c>
      <c r="O59" s="27" t="str">
        <f>IF(K59="Not","No",IF(K59="n/a","N/A",IF(K59&gt;$Y$3,"Yes","No")))</f>
        <v>No</v>
      </c>
      <c r="Q59" s="27" t="s">
        <v>98</v>
      </c>
      <c r="R59" s="27" t="str">
        <f>_xlfn.XLOOKUP("mg/cm2",D58:D69,G58:G69,"N/A")</f>
        <v>No</v>
      </c>
      <c r="S59" s="27" t="str">
        <f>IF(COUNTIF(O61:O62,"Yes"),"Yes","No")</f>
        <v>No</v>
      </c>
      <c r="U59" s="27" t="s">
        <v>95</v>
      </c>
      <c r="V59" s="27" t="str">
        <f>R58</f>
        <v>No</v>
      </c>
      <c r="W59" s="27" t="str">
        <f>S58</f>
        <v>No</v>
      </c>
      <c r="X59" s="27" t="str">
        <f t="shared" ref="X59:X61" si="17">IF(V59="N/A","N/A",IF(W59="N/A", "N/A", IF(V59=W59, "Yes","No")))</f>
        <v>Yes</v>
      </c>
    </row>
    <row r="60" spans="1:38" x14ac:dyDescent="0.2">
      <c r="A60" s="27" t="s">
        <v>39</v>
      </c>
      <c r="B60" s="27" t="s">
        <v>40</v>
      </c>
      <c r="C60" s="27">
        <v>0</v>
      </c>
      <c r="D60" s="27" t="s">
        <v>4</v>
      </c>
      <c r="E60" s="27" t="s">
        <v>9</v>
      </c>
      <c r="F60" s="27" t="str">
        <f t="shared" ref="F60:F69" si="18">IF(C60&gt;=$W$2,"Yes","No")</f>
        <v>No</v>
      </c>
      <c r="G60" s="27" t="s">
        <v>9</v>
      </c>
      <c r="H60" s="27" t="s">
        <v>43</v>
      </c>
      <c r="J60" s="27" t="s">
        <v>15</v>
      </c>
      <c r="K60" s="27">
        <v>101.5</v>
      </c>
      <c r="L60" s="27" t="s">
        <v>12</v>
      </c>
      <c r="M60" s="27" t="s">
        <v>41</v>
      </c>
      <c r="N60" s="27" t="s">
        <v>9</v>
      </c>
      <c r="O60" s="27" t="str">
        <f>IF(K60="Not","No",IF(K60="n/a","N/A",IF(K60&gt;$Y$3,"Yes","No")))</f>
        <v>No</v>
      </c>
      <c r="Q60" s="27" t="s">
        <v>117</v>
      </c>
      <c r="R60" s="27" t="str">
        <f>_xlfn.XLOOKUP("ug/ft2",D58:D69,F58:F69,"N/A")</f>
        <v>Yes</v>
      </c>
      <c r="S60" s="27" t="str">
        <f>IF(COUNTIF(O63:O65,"Yes"),"Yes","No")</f>
        <v>Yes</v>
      </c>
      <c r="U60" s="27" t="s">
        <v>163</v>
      </c>
      <c r="V60" s="27" t="s">
        <v>5</v>
      </c>
      <c r="W60" s="27" t="s">
        <v>9</v>
      </c>
      <c r="X60" s="27" t="str">
        <f t="shared" si="17"/>
        <v>No</v>
      </c>
    </row>
    <row r="61" spans="1:38" x14ac:dyDescent="0.2">
      <c r="A61" s="27" t="s">
        <v>42</v>
      </c>
      <c r="B61" s="27" t="s">
        <v>10</v>
      </c>
      <c r="C61" s="27">
        <v>12.9</v>
      </c>
      <c r="D61" s="27" t="s">
        <v>4</v>
      </c>
      <c r="E61" s="27" t="s">
        <v>5</v>
      </c>
      <c r="F61" s="27" t="str">
        <f t="shared" si="18"/>
        <v>Yes</v>
      </c>
      <c r="G61" s="27" t="s">
        <v>5</v>
      </c>
      <c r="H61" s="27" t="s">
        <v>43</v>
      </c>
      <c r="J61" s="27" t="s">
        <v>19</v>
      </c>
      <c r="K61" s="27">
        <v>14.5</v>
      </c>
      <c r="L61" s="27" t="s">
        <v>12</v>
      </c>
      <c r="M61" s="27" t="s">
        <v>43</v>
      </c>
      <c r="N61" s="27" t="s">
        <v>9</v>
      </c>
      <c r="O61" s="27" t="str">
        <f t="shared" ref="O61:O62" si="19">IF(K61="Not","No",IF(K61="n/a","N/A",IF(K61&gt;$Y$2,"Yes","No")))</f>
        <v>No</v>
      </c>
      <c r="Q61" s="27" t="s">
        <v>118</v>
      </c>
      <c r="R61" s="27" t="str">
        <f>IF(COUNTIF(R58:R60,"Yes"),"Yes","No")</f>
        <v>Yes</v>
      </c>
      <c r="S61" s="27" t="str">
        <f>IF(COUNTIF(S58:S60,"Yes"),"Yes","No")</f>
        <v>Yes</v>
      </c>
      <c r="U61" s="27" t="s">
        <v>164</v>
      </c>
      <c r="V61" s="27" t="s">
        <v>5</v>
      </c>
      <c r="W61" s="27" t="s">
        <v>9</v>
      </c>
      <c r="X61" s="27" t="str">
        <f t="shared" si="17"/>
        <v>No</v>
      </c>
    </row>
    <row r="62" spans="1:38" x14ac:dyDescent="0.2">
      <c r="A62" s="27" t="s">
        <v>42</v>
      </c>
      <c r="B62" s="27" t="s">
        <v>40</v>
      </c>
      <c r="C62" s="27">
        <v>5.9</v>
      </c>
      <c r="D62" s="27" t="s">
        <v>4</v>
      </c>
      <c r="E62" s="27" t="s">
        <v>5</v>
      </c>
      <c r="F62" s="27" t="str">
        <f t="shared" si="18"/>
        <v>Yes</v>
      </c>
      <c r="G62" s="27" t="s">
        <v>9</v>
      </c>
      <c r="H62" s="27" t="s">
        <v>43</v>
      </c>
      <c r="J62" s="27" t="s">
        <v>22</v>
      </c>
      <c r="K62" s="27" t="s">
        <v>44</v>
      </c>
      <c r="L62" s="27" t="s">
        <v>45</v>
      </c>
      <c r="M62" s="27" t="s">
        <v>46</v>
      </c>
      <c r="N62" s="27" t="s">
        <v>9</v>
      </c>
      <c r="O62" s="27" t="str">
        <f t="shared" si="19"/>
        <v>No</v>
      </c>
      <c r="U62" s="27" t="s">
        <v>162</v>
      </c>
      <c r="V62" s="27" t="str">
        <f>R59</f>
        <v>No</v>
      </c>
      <c r="W62" s="27" t="str">
        <f>S59</f>
        <v>No</v>
      </c>
      <c r="X62" s="27" t="str">
        <f>IF(V62="N/A","N/A",IF(W62="N/A", "N/A", IF(V62=W62, "Yes","No")))</f>
        <v>Yes</v>
      </c>
    </row>
    <row r="63" spans="1:38" x14ac:dyDescent="0.2">
      <c r="A63" s="27" t="s">
        <v>47</v>
      </c>
      <c r="B63" s="27" t="s">
        <v>10</v>
      </c>
      <c r="C63" s="27">
        <v>4.3</v>
      </c>
      <c r="D63" s="27" t="s">
        <v>4</v>
      </c>
      <c r="E63" s="27" t="s">
        <v>5</v>
      </c>
      <c r="F63" s="27" t="str">
        <f t="shared" si="18"/>
        <v>Yes</v>
      </c>
      <c r="G63" s="27" t="s">
        <v>5</v>
      </c>
      <c r="H63" s="27" t="s">
        <v>43</v>
      </c>
      <c r="J63" s="27" t="s">
        <v>25</v>
      </c>
      <c r="K63" s="27" t="s">
        <v>44</v>
      </c>
      <c r="L63" s="27" t="s">
        <v>45</v>
      </c>
      <c r="M63" s="27" t="s">
        <v>48</v>
      </c>
      <c r="N63" s="27" t="s">
        <v>9</v>
      </c>
      <c r="O63" s="27" t="str">
        <f>IF(K63="Not","No",IF(K63="n/a","N/A",IF(K63&gt;$Y$5,"Yes","No")))</f>
        <v>No</v>
      </c>
      <c r="U63" s="27" t="s">
        <v>101</v>
      </c>
      <c r="V63" s="27" t="s">
        <v>120</v>
      </c>
      <c r="W63" s="27" t="s">
        <v>120</v>
      </c>
      <c r="X63" s="27" t="str">
        <f>IF(V63="N/A","N/A",IF(W63="N/A", "N/A", IF(V63=W63, "Yes","No")))</f>
        <v>N/A</v>
      </c>
    </row>
    <row r="64" spans="1:38" x14ac:dyDescent="0.2">
      <c r="A64" s="27" t="s">
        <v>49</v>
      </c>
      <c r="B64" s="27" t="s">
        <v>40</v>
      </c>
      <c r="C64" s="27">
        <v>0</v>
      </c>
      <c r="D64" s="27" t="s">
        <v>4</v>
      </c>
      <c r="E64" s="27" t="s">
        <v>9</v>
      </c>
      <c r="F64" s="27" t="str">
        <f t="shared" si="18"/>
        <v>No</v>
      </c>
      <c r="G64" s="27" t="s">
        <v>9</v>
      </c>
      <c r="H64" s="27" t="s">
        <v>43</v>
      </c>
      <c r="J64" s="27" t="s">
        <v>29</v>
      </c>
      <c r="K64" s="27">
        <v>41.7</v>
      </c>
      <c r="L64" s="27" t="s">
        <v>12</v>
      </c>
      <c r="M64" s="27" t="s">
        <v>50</v>
      </c>
      <c r="N64" s="27" t="s">
        <v>5</v>
      </c>
      <c r="O64" s="27" t="str">
        <f t="shared" ref="O64:O65" si="20">IF(K64="Not","No",IF(K64="n/a","N/A",IF(K64&gt;$Y$6,"Yes","No")))</f>
        <v>Yes</v>
      </c>
      <c r="U64" s="27" t="s">
        <v>104</v>
      </c>
      <c r="V64" s="27" t="s">
        <v>5</v>
      </c>
      <c r="W64" s="27" t="s">
        <v>9</v>
      </c>
      <c r="X64" s="27" t="str">
        <f>IF(V64="N/A","N/A",IF(W64="N/A", "N/A", IF(V64=W64, "Yes","No")))</f>
        <v>No</v>
      </c>
    </row>
    <row r="65" spans="1:38" x14ac:dyDescent="0.2">
      <c r="A65" s="27" t="s">
        <v>31</v>
      </c>
      <c r="B65" s="27" t="s">
        <v>40</v>
      </c>
      <c r="C65" s="27">
        <v>0.03</v>
      </c>
      <c r="D65" s="27" t="s">
        <v>4</v>
      </c>
      <c r="E65" s="27" t="s">
        <v>9</v>
      </c>
      <c r="F65" s="27" t="str">
        <f t="shared" si="18"/>
        <v>No</v>
      </c>
      <c r="G65" s="27" t="s">
        <v>9</v>
      </c>
      <c r="H65" s="27" t="s">
        <v>43</v>
      </c>
      <c r="J65" s="27" t="s">
        <v>34</v>
      </c>
      <c r="K65" s="27" t="s">
        <v>44</v>
      </c>
      <c r="L65" s="27" t="s">
        <v>45</v>
      </c>
      <c r="M65" s="27" t="s">
        <v>51</v>
      </c>
      <c r="N65" s="27" t="s">
        <v>9</v>
      </c>
      <c r="O65" s="27" t="str">
        <f t="shared" si="20"/>
        <v>No</v>
      </c>
      <c r="U65" s="27" t="s">
        <v>106</v>
      </c>
      <c r="V65" s="27" t="str">
        <f>R60</f>
        <v>Yes</v>
      </c>
      <c r="W65" s="27" t="str">
        <f>S60</f>
        <v>Yes</v>
      </c>
      <c r="X65" s="27" t="str">
        <f>IF(V65="N/A","N/A",IF(W65="N/A", "N/A", IF(V65=W65, "Yes","No")))</f>
        <v>Yes</v>
      </c>
    </row>
    <row r="66" spans="1:38" x14ac:dyDescent="0.2">
      <c r="A66" s="27" t="s">
        <v>52</v>
      </c>
      <c r="B66" s="27" t="s">
        <v>40</v>
      </c>
      <c r="C66" s="27">
        <v>0</v>
      </c>
      <c r="D66" s="27" t="s">
        <v>4</v>
      </c>
      <c r="E66" s="27" t="s">
        <v>9</v>
      </c>
      <c r="F66" s="27" t="str">
        <f t="shared" si="18"/>
        <v>No</v>
      </c>
      <c r="G66" s="27" t="s">
        <v>9</v>
      </c>
      <c r="H66" s="27" t="s">
        <v>43</v>
      </c>
      <c r="R66" s="60"/>
      <c r="U66" s="27" t="s">
        <v>121</v>
      </c>
      <c r="V66" s="27" t="str">
        <f>R61</f>
        <v>Yes</v>
      </c>
      <c r="W66" s="27" t="str">
        <f>S61</f>
        <v>Yes</v>
      </c>
      <c r="X66" s="27" t="str">
        <f>IF(V66="N/A","N/A",IF(W66="N/A", "N/A", IF(V66=W66, "Yes","No")))</f>
        <v>Yes</v>
      </c>
    </row>
    <row r="67" spans="1:38" x14ac:dyDescent="0.2">
      <c r="A67" s="27" t="s">
        <v>53</v>
      </c>
      <c r="B67" s="27" t="s">
        <v>40</v>
      </c>
      <c r="C67" s="27">
        <v>0</v>
      </c>
      <c r="D67" s="27" t="s">
        <v>4</v>
      </c>
      <c r="E67" s="27" t="s">
        <v>9</v>
      </c>
      <c r="F67" s="27" t="str">
        <f t="shared" si="18"/>
        <v>No</v>
      </c>
      <c r="G67" s="27" t="s">
        <v>9</v>
      </c>
      <c r="H67" s="27" t="s">
        <v>43</v>
      </c>
    </row>
    <row r="68" spans="1:38" x14ac:dyDescent="0.2">
      <c r="A68" s="27" t="s">
        <v>39</v>
      </c>
      <c r="B68" s="27" t="s">
        <v>54</v>
      </c>
      <c r="C68" s="27">
        <v>430</v>
      </c>
      <c r="D68" s="27" t="s">
        <v>33</v>
      </c>
      <c r="E68" s="27" t="s">
        <v>5</v>
      </c>
      <c r="F68" s="27" t="str">
        <f>IF(C68&gt;=$W$5,"Yes","No")</f>
        <v>Yes</v>
      </c>
      <c r="G68" s="27" t="s">
        <v>5</v>
      </c>
    </row>
    <row r="69" spans="1:38" x14ac:dyDescent="0.2">
      <c r="A69" s="27" t="s">
        <v>55</v>
      </c>
      <c r="B69" s="27" t="s">
        <v>56</v>
      </c>
      <c r="C69" s="27">
        <v>0.21</v>
      </c>
      <c r="D69" s="27" t="s">
        <v>4</v>
      </c>
      <c r="E69" s="27" t="s">
        <v>9</v>
      </c>
      <c r="F69" s="27" t="str">
        <f t="shared" si="18"/>
        <v>No</v>
      </c>
      <c r="G69" s="27" t="s">
        <v>9</v>
      </c>
    </row>
    <row r="72" spans="1:38" x14ac:dyDescent="0.2">
      <c r="A72" s="68">
        <v>370</v>
      </c>
      <c r="C72" s="27">
        <v>3</v>
      </c>
    </row>
    <row r="73" spans="1:38" x14ac:dyDescent="0.2">
      <c r="A73" s="59" t="s">
        <v>0</v>
      </c>
      <c r="E73" s="27" t="s">
        <v>274</v>
      </c>
      <c r="F73" s="27" t="s">
        <v>275</v>
      </c>
      <c r="G73" s="27" t="s">
        <v>119</v>
      </c>
      <c r="J73" s="59" t="s">
        <v>1</v>
      </c>
      <c r="N73" s="27" t="s">
        <v>277</v>
      </c>
      <c r="O73" s="27" t="s">
        <v>278</v>
      </c>
      <c r="Q73" s="59" t="s">
        <v>115</v>
      </c>
      <c r="R73" s="59" t="s">
        <v>0</v>
      </c>
      <c r="S73" s="59" t="s">
        <v>1</v>
      </c>
      <c r="U73" s="59" t="s">
        <v>115</v>
      </c>
      <c r="V73" s="59" t="s">
        <v>0</v>
      </c>
      <c r="W73" s="59" t="s">
        <v>1</v>
      </c>
      <c r="X73" s="59" t="s">
        <v>122</v>
      </c>
      <c r="AA73" s="27" t="str">
        <f>IF(R74="Yes","LRA-Soil","")</f>
        <v/>
      </c>
      <c r="AB73" s="27" t="str">
        <f>IF(R75="Yes","LRA-Paint","")</f>
        <v/>
      </c>
      <c r="AC73" s="27" t="str">
        <f>IF(R76="Yes","LRA-Dust","")</f>
        <v/>
      </c>
      <c r="AD73" s="27" t="str">
        <f>IF(S74="Yes","LSK-Soil","")</f>
        <v/>
      </c>
      <c r="AE73" s="27" t="str">
        <f>IF(S75="Yes","LSK-Paint","")</f>
        <v/>
      </c>
      <c r="AF73" s="27" t="str">
        <f>IF(S76="Yes","LSK-Dust","")</f>
        <v>LSK-Dust</v>
      </c>
      <c r="AI73" s="27" t="s">
        <v>46</v>
      </c>
      <c r="AJ73" s="27" t="s">
        <v>43</v>
      </c>
      <c r="AK73" s="27" t="s">
        <v>116</v>
      </c>
      <c r="AL73" s="27" t="s">
        <v>117</v>
      </c>
    </row>
    <row r="74" spans="1:38" x14ac:dyDescent="0.2">
      <c r="A74" s="27" t="s">
        <v>21</v>
      </c>
      <c r="B74" s="27" t="s">
        <v>18</v>
      </c>
      <c r="C74" s="27">
        <v>4</v>
      </c>
      <c r="D74" s="27" t="s">
        <v>4</v>
      </c>
      <c r="E74" s="27" t="s">
        <v>5</v>
      </c>
      <c r="F74" s="27" t="str">
        <f t="shared" ref="F74:F76" si="21">IF(C74&gt;=$W$2,"Yes","No")</f>
        <v>Yes</v>
      </c>
      <c r="G74" s="27" t="s">
        <v>9</v>
      </c>
      <c r="H74" s="27" t="s">
        <v>46</v>
      </c>
      <c r="J74" s="27" t="s">
        <v>6</v>
      </c>
      <c r="K74" s="27">
        <v>168.3</v>
      </c>
      <c r="L74" s="27" t="s">
        <v>7</v>
      </c>
      <c r="M74" s="27" t="s">
        <v>36</v>
      </c>
      <c r="N74" s="27" t="s">
        <v>9</v>
      </c>
      <c r="O74" s="27" t="str">
        <f t="shared" ref="O74:O76" si="22">IF(K74="Not","No",IF(K74="n/a","N/A",IF(K74&gt;$Y$3,"Yes","No")))</f>
        <v>No</v>
      </c>
      <c r="Q74" s="27" t="s">
        <v>116</v>
      </c>
      <c r="R74" s="27" t="str">
        <f>_xlfn.XLOOKUP("mg/Kg",D74:D78,F74:F78,"N/A")</f>
        <v>N/A</v>
      </c>
      <c r="S74" s="27" t="str">
        <f>IF(COUNTIF(O74:O76,"Yes"),"Yes","No")</f>
        <v>No</v>
      </c>
      <c r="U74" s="27" t="s">
        <v>92</v>
      </c>
      <c r="V74" s="27" t="s">
        <v>120</v>
      </c>
      <c r="W74" s="27" t="s">
        <v>120</v>
      </c>
      <c r="X74" s="27" t="str">
        <f>IF(V74="N/A","N/A",IF(W74="N/A", "N/A", IF(V74=W74, "Yes","No")))</f>
        <v>N/A</v>
      </c>
      <c r="AI74" s="27">
        <f>COUNTIF(H73:H78,"Exterior")</f>
        <v>2</v>
      </c>
      <c r="AJ74" s="27">
        <f>COUNTIF(H73:H78, "Interior")</f>
        <v>1</v>
      </c>
      <c r="AK74" s="27">
        <f>COUNTIFS(D73:D78,"ppm")+COUNTIFS(D73:D78,"mg/Kg")</f>
        <v>0</v>
      </c>
      <c r="AL74" s="27">
        <f>COUNTIF(D73:D78,"ug/ft2")</f>
        <v>1</v>
      </c>
    </row>
    <row r="75" spans="1:38" x14ac:dyDescent="0.2">
      <c r="A75" s="27" t="s">
        <v>21</v>
      </c>
      <c r="B75" s="27" t="s">
        <v>24</v>
      </c>
      <c r="C75" s="27">
        <v>5.9</v>
      </c>
      <c r="D75" s="27" t="s">
        <v>4</v>
      </c>
      <c r="E75" s="27" t="s">
        <v>5</v>
      </c>
      <c r="F75" s="27" t="str">
        <f t="shared" si="21"/>
        <v>Yes</v>
      </c>
      <c r="G75" s="27" t="s">
        <v>9</v>
      </c>
      <c r="H75" s="27" t="s">
        <v>46</v>
      </c>
      <c r="J75" s="27" t="s">
        <v>11</v>
      </c>
      <c r="K75" s="27">
        <v>19.899999999999999</v>
      </c>
      <c r="L75" s="27" t="s">
        <v>12</v>
      </c>
      <c r="M75" s="27" t="s">
        <v>38</v>
      </c>
      <c r="N75" s="27" t="s">
        <v>9</v>
      </c>
      <c r="O75" s="27" t="str">
        <f t="shared" si="22"/>
        <v>No</v>
      </c>
      <c r="Q75" s="27" t="s">
        <v>98</v>
      </c>
      <c r="R75" s="27" t="str">
        <f>_xlfn.XLOOKUP("mg/cm2",D74:D78,G74:G78,"N/A")</f>
        <v>No</v>
      </c>
      <c r="S75" s="27" t="str">
        <f>IF(COUNTIF(O77:O78,"Yes"),"Yes","No")</f>
        <v>No</v>
      </c>
      <c r="U75" s="27" t="s">
        <v>95</v>
      </c>
      <c r="V75" s="27" t="str">
        <f>R74</f>
        <v>N/A</v>
      </c>
      <c r="W75" s="27" t="str">
        <f>S74</f>
        <v>No</v>
      </c>
      <c r="X75" s="27" t="str">
        <f>IF(V75="N/A","N/A",IF(W75="N/A", "N/A", IF(V75=W75, "Yes","No")))</f>
        <v>N/A</v>
      </c>
    </row>
    <row r="76" spans="1:38" x14ac:dyDescent="0.2">
      <c r="A76" s="27" t="s">
        <v>57</v>
      </c>
      <c r="B76" s="27" t="s">
        <v>24</v>
      </c>
      <c r="C76" s="27">
        <v>1.2</v>
      </c>
      <c r="D76" s="27" t="s">
        <v>4</v>
      </c>
      <c r="E76" s="27" t="s">
        <v>5</v>
      </c>
      <c r="F76" s="27" t="str">
        <f t="shared" si="21"/>
        <v>Yes</v>
      </c>
      <c r="G76" s="27" t="s">
        <v>9</v>
      </c>
      <c r="H76" s="27" t="s">
        <v>43</v>
      </c>
      <c r="J76" s="27" t="s">
        <v>15</v>
      </c>
      <c r="K76" s="27">
        <v>64.8</v>
      </c>
      <c r="L76" s="27" t="s">
        <v>12</v>
      </c>
      <c r="M76" s="27" t="s">
        <v>41</v>
      </c>
      <c r="N76" s="27" t="s">
        <v>9</v>
      </c>
      <c r="O76" s="27" t="str">
        <f t="shared" si="22"/>
        <v>No</v>
      </c>
      <c r="Q76" s="27" t="s">
        <v>117</v>
      </c>
      <c r="R76" s="27" t="str">
        <f>_xlfn.XLOOKUP("ug/ft2",D74:D78,F74:F78,"N/A")</f>
        <v>No</v>
      </c>
      <c r="S76" s="27" t="str">
        <f>IF(COUNTIF(O79:O81,"Yes"),"Yes","No")</f>
        <v>Yes</v>
      </c>
      <c r="U76" s="27" t="s">
        <v>163</v>
      </c>
      <c r="V76" s="27" t="s">
        <v>5</v>
      </c>
      <c r="W76" s="27" t="s">
        <v>9</v>
      </c>
      <c r="X76" s="27" t="str">
        <f t="shared" ref="X76:X82" si="23">IF(V76="N/A","N/A",IF(W76="N/A", "N/A", IF(V76=W76, "Yes","No")))</f>
        <v>No</v>
      </c>
    </row>
    <row r="77" spans="1:38" x14ac:dyDescent="0.2">
      <c r="A77" s="27" t="s">
        <v>31</v>
      </c>
      <c r="B77" s="27" t="s">
        <v>32</v>
      </c>
      <c r="C77" s="27">
        <v>3</v>
      </c>
      <c r="D77" s="27" t="s">
        <v>33</v>
      </c>
      <c r="E77" s="27" t="s">
        <v>9</v>
      </c>
      <c r="F77" s="27" t="str">
        <f>IF(C77&gt;$W$6,"Yes","No")</f>
        <v>No</v>
      </c>
      <c r="G77" s="27" t="s">
        <v>9</v>
      </c>
      <c r="J77" s="27" t="s">
        <v>19</v>
      </c>
      <c r="K77" s="27" t="s">
        <v>44</v>
      </c>
      <c r="L77" s="27" t="s">
        <v>45</v>
      </c>
      <c r="M77" s="27" t="s">
        <v>58</v>
      </c>
      <c r="N77" s="27" t="s">
        <v>9</v>
      </c>
      <c r="O77" s="27" t="str">
        <f t="shared" ref="O77:O78" si="24">IF(K77="Not","No",IF(K77="n/a","N/A",IF(K77&gt;$Y$2,"Yes","No")))</f>
        <v>No</v>
      </c>
      <c r="Q77" s="27" t="s">
        <v>118</v>
      </c>
      <c r="R77" s="27" t="str">
        <f>IF(COUNTIF(R74:R76,"Yes"),"Yes","No")</f>
        <v>No</v>
      </c>
      <c r="S77" s="27" t="str">
        <f>IF(COUNTIF(S74:S76,"Yes"),"Yes","No")</f>
        <v>Yes</v>
      </c>
      <c r="U77" s="27" t="s">
        <v>164</v>
      </c>
      <c r="V77" s="27" t="s">
        <v>5</v>
      </c>
      <c r="W77" s="27" t="s">
        <v>9</v>
      </c>
      <c r="X77" s="27" t="str">
        <f t="shared" si="23"/>
        <v>No</v>
      </c>
    </row>
    <row r="78" spans="1:38" x14ac:dyDescent="0.2">
      <c r="A78" s="27" t="s">
        <v>55</v>
      </c>
      <c r="B78" s="27" t="s">
        <v>56</v>
      </c>
      <c r="C78" s="27">
        <v>7</v>
      </c>
      <c r="D78" s="27" t="s">
        <v>4</v>
      </c>
      <c r="E78" s="27" t="s">
        <v>5</v>
      </c>
      <c r="F78" s="27" t="str">
        <f t="shared" ref="F78" si="25">IF(C78&gt;=$W$2,"Yes","No")</f>
        <v>Yes</v>
      </c>
      <c r="G78" s="27" t="s">
        <v>9</v>
      </c>
      <c r="J78" s="27" t="s">
        <v>22</v>
      </c>
      <c r="K78" s="27" t="s">
        <v>44</v>
      </c>
      <c r="L78" s="27" t="s">
        <v>45</v>
      </c>
      <c r="M78" s="27" t="s">
        <v>36</v>
      </c>
      <c r="N78" s="27" t="s">
        <v>9</v>
      </c>
      <c r="O78" s="27" t="str">
        <f t="shared" si="24"/>
        <v>No</v>
      </c>
      <c r="U78" s="27" t="s">
        <v>162</v>
      </c>
      <c r="V78" s="27" t="str">
        <f>R75</f>
        <v>No</v>
      </c>
      <c r="W78" s="27" t="str">
        <f>S75</f>
        <v>No</v>
      </c>
      <c r="X78" s="27" t="str">
        <f t="shared" si="23"/>
        <v>Yes</v>
      </c>
    </row>
    <row r="79" spans="1:38" x14ac:dyDescent="0.2">
      <c r="J79" s="27" t="s">
        <v>25</v>
      </c>
      <c r="K79" s="27">
        <v>11.8</v>
      </c>
      <c r="L79" s="27" t="s">
        <v>12</v>
      </c>
      <c r="M79" s="27" t="s">
        <v>59</v>
      </c>
      <c r="N79" s="27" t="s">
        <v>9</v>
      </c>
      <c r="O79" s="27" t="str">
        <f>IF(K79="Not","No",IF(K79="n/a","N/A",IF(K79&gt;$Y$5,"Yes","No")))</f>
        <v>No</v>
      </c>
      <c r="U79" s="27" t="s">
        <v>101</v>
      </c>
      <c r="V79" s="27" t="s">
        <v>9</v>
      </c>
      <c r="W79" s="27" t="s">
        <v>9</v>
      </c>
      <c r="X79" s="27" t="str">
        <f t="shared" si="23"/>
        <v>Yes</v>
      </c>
    </row>
    <row r="80" spans="1:38" x14ac:dyDescent="0.2">
      <c r="J80" s="27" t="s">
        <v>29</v>
      </c>
      <c r="K80" s="27">
        <v>51.5</v>
      </c>
      <c r="L80" s="27" t="s">
        <v>12</v>
      </c>
      <c r="M80" s="27" t="s">
        <v>60</v>
      </c>
      <c r="N80" s="27" t="s">
        <v>5</v>
      </c>
      <c r="O80" s="27" t="str">
        <f t="shared" ref="O80:O81" si="26">IF(K80="Not","No",IF(K80="n/a","N/A",IF(K80&gt;$Y$6,"Yes","No")))</f>
        <v>Yes</v>
      </c>
      <c r="U80" s="27" t="s">
        <v>104</v>
      </c>
      <c r="V80" s="27" t="s">
        <v>120</v>
      </c>
      <c r="W80" s="27" t="s">
        <v>9</v>
      </c>
      <c r="X80" s="27" t="str">
        <f t="shared" si="23"/>
        <v>N/A</v>
      </c>
    </row>
    <row r="81" spans="1:38" x14ac:dyDescent="0.2">
      <c r="J81" s="27" t="s">
        <v>34</v>
      </c>
      <c r="K81" s="27" t="s">
        <v>44</v>
      </c>
      <c r="L81" s="27" t="s">
        <v>45</v>
      </c>
      <c r="M81" s="27" t="s">
        <v>61</v>
      </c>
      <c r="N81" s="27" t="s">
        <v>9</v>
      </c>
      <c r="O81" s="27" t="str">
        <f t="shared" si="26"/>
        <v>No</v>
      </c>
      <c r="U81" s="27" t="s">
        <v>106</v>
      </c>
      <c r="V81" s="27" t="str">
        <f>R76</f>
        <v>No</v>
      </c>
      <c r="W81" s="27" t="str">
        <f>S76</f>
        <v>Yes</v>
      </c>
      <c r="X81" s="27" t="str">
        <f t="shared" si="23"/>
        <v>No</v>
      </c>
    </row>
    <row r="82" spans="1:38" x14ac:dyDescent="0.2">
      <c r="U82" s="27" t="s">
        <v>121</v>
      </c>
      <c r="V82" s="27" t="str">
        <f>R77</f>
        <v>No</v>
      </c>
      <c r="W82" s="27" t="str">
        <f>S77</f>
        <v>Yes</v>
      </c>
      <c r="X82" s="27" t="str">
        <f t="shared" si="23"/>
        <v>No</v>
      </c>
    </row>
    <row r="84" spans="1:38" x14ac:dyDescent="0.2">
      <c r="A84" s="68">
        <v>368</v>
      </c>
      <c r="C84" s="27">
        <v>4</v>
      </c>
    </row>
    <row r="85" spans="1:38" x14ac:dyDescent="0.2">
      <c r="A85" s="59" t="s">
        <v>0</v>
      </c>
      <c r="E85" s="27" t="s">
        <v>274</v>
      </c>
      <c r="F85" s="27" t="s">
        <v>275</v>
      </c>
      <c r="G85" s="27" t="s">
        <v>119</v>
      </c>
      <c r="J85" s="59" t="s">
        <v>1</v>
      </c>
      <c r="N85" s="27" t="s">
        <v>277</v>
      </c>
      <c r="O85" s="27" t="s">
        <v>278</v>
      </c>
      <c r="Q85" s="59" t="s">
        <v>115</v>
      </c>
      <c r="R85" s="59" t="s">
        <v>0</v>
      </c>
      <c r="S85" s="59" t="s">
        <v>1</v>
      </c>
      <c r="U85" s="59" t="s">
        <v>115</v>
      </c>
      <c r="V85" s="59" t="s">
        <v>0</v>
      </c>
      <c r="W85" s="59" t="s">
        <v>1</v>
      </c>
      <c r="X85" s="59" t="s">
        <v>122</v>
      </c>
      <c r="AA85" s="27" t="str">
        <f>IF(R86="Yes","LRA-Soil","")</f>
        <v/>
      </c>
      <c r="AB85" s="27" t="str">
        <f>IF(R87="Yes","LRA-Paint","")</f>
        <v>LRA-Paint</v>
      </c>
      <c r="AC85" s="27" t="str">
        <f>IF(R88="Yes","LRA-Dust","")</f>
        <v>LRA-Dust</v>
      </c>
      <c r="AD85" s="27" t="str">
        <f>IF(S86="Yes","LSK-Soil","")</f>
        <v/>
      </c>
      <c r="AE85" s="27" t="str">
        <f>IF(S87="Yes","LSK-Paint","")</f>
        <v/>
      </c>
      <c r="AF85" s="27" t="str">
        <f>IF(S88="Yes","LSK-Dust","")</f>
        <v/>
      </c>
      <c r="AI85" s="27" t="s">
        <v>46</v>
      </c>
      <c r="AJ85" s="27" t="s">
        <v>43</v>
      </c>
      <c r="AK85" s="27" t="s">
        <v>116</v>
      </c>
      <c r="AL85" s="27" t="s">
        <v>117</v>
      </c>
    </row>
    <row r="86" spans="1:38" x14ac:dyDescent="0.2">
      <c r="A86" s="27" t="s">
        <v>62</v>
      </c>
      <c r="B86" s="27" t="s">
        <v>24</v>
      </c>
      <c r="C86" s="27">
        <v>5.3</v>
      </c>
      <c r="D86" s="27" t="s">
        <v>4</v>
      </c>
      <c r="E86" s="27" t="s">
        <v>5</v>
      </c>
      <c r="F86" s="27" t="str">
        <f t="shared" ref="F86:F89" si="27">IF(C86&gt;=$W$2,"Yes","No")</f>
        <v>Yes</v>
      </c>
      <c r="G86" s="27" t="s">
        <v>5</v>
      </c>
      <c r="H86" s="27" t="s">
        <v>46</v>
      </c>
      <c r="J86" s="27" t="s">
        <v>6</v>
      </c>
      <c r="K86" s="27">
        <v>46.5</v>
      </c>
      <c r="L86" s="27" t="s">
        <v>7</v>
      </c>
      <c r="M86" s="27" t="s">
        <v>36</v>
      </c>
      <c r="N86" s="27" t="s">
        <v>9</v>
      </c>
      <c r="O86" s="27" t="str">
        <f t="shared" ref="O86:O88" si="28">IF(K86="Not","No",IF(K86="n/a","N/A",IF(K86&gt;$Y$3,"Yes","No")))</f>
        <v>No</v>
      </c>
      <c r="Q86" s="27" t="s">
        <v>116</v>
      </c>
      <c r="R86" s="27" t="str">
        <f>_xlfn.XLOOKUP("mg/Kg",D86:D93,F86:F93,"N/A")</f>
        <v>No</v>
      </c>
      <c r="S86" s="27" t="str">
        <f>IF(COUNTIF(O86:O88,"Yes"),"Yes","No")</f>
        <v>No</v>
      </c>
      <c r="U86" s="27" t="s">
        <v>92</v>
      </c>
      <c r="V86" s="27" t="s">
        <v>120</v>
      </c>
      <c r="W86" s="27" t="s">
        <v>120</v>
      </c>
      <c r="X86" s="27" t="str">
        <f>IF(V86="N/A","N/A",IF(W86="N/A", "N/A", IF(V86=W86, "Yes","No")))</f>
        <v>N/A</v>
      </c>
      <c r="AI86" s="27">
        <f>COUNTIF(H85:H93,"Exterior")</f>
        <v>4</v>
      </c>
      <c r="AJ86" s="27">
        <f>COUNTIF(H85:H93, "Interior")</f>
        <v>1</v>
      </c>
      <c r="AK86" s="27">
        <f>COUNTIFS(D85:D93,"ppm")+COUNTIFS(D85:D93,"mg/Kg")</f>
        <v>1</v>
      </c>
      <c r="AL86" s="27">
        <f>COUNTIF(D85:D93,"ug/ft2")</f>
        <v>1</v>
      </c>
    </row>
    <row r="87" spans="1:38" x14ac:dyDescent="0.2">
      <c r="A87" s="27" t="s">
        <v>63</v>
      </c>
      <c r="B87" s="27" t="s">
        <v>64</v>
      </c>
      <c r="C87" s="27">
        <v>1.3</v>
      </c>
      <c r="D87" s="27" t="s">
        <v>4</v>
      </c>
      <c r="E87" s="27" t="s">
        <v>5</v>
      </c>
      <c r="F87" s="27" t="str">
        <f t="shared" si="27"/>
        <v>Yes</v>
      </c>
      <c r="G87" s="27" t="s">
        <v>5</v>
      </c>
      <c r="H87" s="27" t="s">
        <v>46</v>
      </c>
      <c r="J87" s="27" t="s">
        <v>11</v>
      </c>
      <c r="K87" s="27" t="s">
        <v>65</v>
      </c>
      <c r="M87" s="27" t="s">
        <v>66</v>
      </c>
      <c r="N87" s="27" t="s">
        <v>9</v>
      </c>
      <c r="O87" s="27" t="str">
        <f t="shared" si="28"/>
        <v>N/A</v>
      </c>
      <c r="Q87" s="27" t="s">
        <v>98</v>
      </c>
      <c r="R87" s="27" t="str">
        <f>_xlfn.XLOOKUP("mg/cm2",D86:D93,G86:G93,"N/A")</f>
        <v>Yes</v>
      </c>
      <c r="S87" s="27" t="str">
        <f>IF(COUNTIF(O89:O90,"Yes"),"Yes","No")</f>
        <v>No</v>
      </c>
      <c r="U87" s="27" t="s">
        <v>95</v>
      </c>
      <c r="V87" s="27" t="str">
        <f>R86</f>
        <v>No</v>
      </c>
      <c r="W87" s="27" t="str">
        <f>S86</f>
        <v>No</v>
      </c>
      <c r="X87" s="27" t="str">
        <f t="shared" ref="X87:X89" si="29">IF(V87="N/A","N/A",IF(W87="N/A", "N/A", IF(V87=W87, "Yes","No")))</f>
        <v>Yes</v>
      </c>
    </row>
    <row r="88" spans="1:38" x14ac:dyDescent="0.2">
      <c r="A88" s="27" t="s">
        <v>63</v>
      </c>
      <c r="B88" s="27" t="s">
        <v>64</v>
      </c>
      <c r="C88" s="27">
        <v>3.6</v>
      </c>
      <c r="D88" s="27" t="s">
        <v>4</v>
      </c>
      <c r="E88" s="27" t="s">
        <v>5</v>
      </c>
      <c r="F88" s="27" t="str">
        <f t="shared" si="27"/>
        <v>Yes</v>
      </c>
      <c r="G88" s="27" t="s">
        <v>5</v>
      </c>
      <c r="H88" s="27" t="s">
        <v>46</v>
      </c>
      <c r="J88" s="27" t="s">
        <v>15</v>
      </c>
      <c r="K88" s="27">
        <v>12.7</v>
      </c>
      <c r="L88" s="27" t="s">
        <v>12</v>
      </c>
      <c r="M88" s="27" t="s">
        <v>67</v>
      </c>
      <c r="N88" s="27" t="s">
        <v>9</v>
      </c>
      <c r="O88" s="27" t="str">
        <f t="shared" si="28"/>
        <v>No</v>
      </c>
      <c r="Q88" s="27" t="s">
        <v>117</v>
      </c>
      <c r="R88" s="27" t="str">
        <f>_xlfn.XLOOKUP("ug/ft2",D86:D93,F86:F93,"N/A")</f>
        <v>Yes</v>
      </c>
      <c r="S88" s="27" t="str">
        <f>IF(COUNTIF(O91:O93,"Yes"),"Yes","No")</f>
        <v>No</v>
      </c>
      <c r="U88" s="27" t="s">
        <v>163</v>
      </c>
      <c r="V88" s="27" t="s">
        <v>9</v>
      </c>
      <c r="W88" s="27" t="s">
        <v>120</v>
      </c>
      <c r="X88" s="27" t="str">
        <f t="shared" si="29"/>
        <v>N/A</v>
      </c>
    </row>
    <row r="89" spans="1:38" x14ac:dyDescent="0.2">
      <c r="A89" s="27" t="s">
        <v>63</v>
      </c>
      <c r="B89" s="27" t="s">
        <v>24</v>
      </c>
      <c r="C89" s="27">
        <v>2</v>
      </c>
      <c r="D89" s="27" t="s">
        <v>4</v>
      </c>
      <c r="E89" s="27" t="s">
        <v>5</v>
      </c>
      <c r="F89" s="27" t="str">
        <f t="shared" si="27"/>
        <v>Yes</v>
      </c>
      <c r="G89" s="27" t="s">
        <v>5</v>
      </c>
      <c r="H89" s="27" t="s">
        <v>46</v>
      </c>
      <c r="J89" s="27" t="s">
        <v>19</v>
      </c>
      <c r="K89" s="27" t="s">
        <v>65</v>
      </c>
      <c r="M89" s="27" t="s">
        <v>66</v>
      </c>
      <c r="N89" s="27" t="s">
        <v>9</v>
      </c>
      <c r="O89" s="27" t="str">
        <f t="shared" ref="O89:O90" si="30">IF(K89="Not","No",IF(K89="n/a","N/A",IF(K89&gt;$Y$2,"Yes","No")))</f>
        <v>N/A</v>
      </c>
      <c r="Q89" s="27" t="s">
        <v>118</v>
      </c>
      <c r="R89" s="27" t="str">
        <f>IF(COUNTIF(R86:R88,"Yes"),"Yes","No")</f>
        <v>Yes</v>
      </c>
      <c r="S89" s="27" t="str">
        <f>IF(COUNTIF(S86:S88,"Yes"),"Yes","No")</f>
        <v>No</v>
      </c>
      <c r="U89" s="27" t="s">
        <v>164</v>
      </c>
      <c r="V89" s="27" t="s">
        <v>5</v>
      </c>
      <c r="W89" s="27" t="s">
        <v>120</v>
      </c>
      <c r="X89" s="27" t="str">
        <f t="shared" si="29"/>
        <v>N/A</v>
      </c>
    </row>
    <row r="90" spans="1:38" x14ac:dyDescent="0.2">
      <c r="A90" s="27" t="s">
        <v>68</v>
      </c>
      <c r="B90" s="27" t="s">
        <v>69</v>
      </c>
      <c r="C90" s="27">
        <v>54</v>
      </c>
      <c r="D90" s="27" t="s">
        <v>37</v>
      </c>
      <c r="E90" s="27" t="s">
        <v>9</v>
      </c>
      <c r="F90" s="27" t="str">
        <f>IF(C90&gt;$W$3,"Yes","No")</f>
        <v>No</v>
      </c>
      <c r="G90" s="27" t="s">
        <v>9</v>
      </c>
      <c r="J90" s="27" t="s">
        <v>22</v>
      </c>
      <c r="K90" s="27" t="s">
        <v>65</v>
      </c>
      <c r="M90" s="27" t="s">
        <v>66</v>
      </c>
      <c r="N90" s="27" t="s">
        <v>9</v>
      </c>
      <c r="O90" s="27" t="str">
        <f t="shared" si="30"/>
        <v>N/A</v>
      </c>
      <c r="U90" s="27" t="s">
        <v>162</v>
      </c>
      <c r="V90" s="27" t="str">
        <f>R87</f>
        <v>Yes</v>
      </c>
      <c r="W90" s="27" t="s">
        <v>120</v>
      </c>
      <c r="X90" s="27" t="str">
        <f>IF(V90="N/A","N/A",IF(W90="N/A", "N/A", IF(V90=W90, "Yes","No")))</f>
        <v>N/A</v>
      </c>
    </row>
    <row r="91" spans="1:38" x14ac:dyDescent="0.2">
      <c r="A91" s="27" t="s">
        <v>64</v>
      </c>
      <c r="B91" s="27" t="s">
        <v>40</v>
      </c>
      <c r="C91" s="27">
        <v>0</v>
      </c>
      <c r="D91" s="27" t="s">
        <v>4</v>
      </c>
      <c r="E91" s="27" t="s">
        <v>9</v>
      </c>
      <c r="F91" s="27" t="str">
        <f t="shared" ref="F91" si="31">IF(C91&gt;=$W$2,"Yes","No")</f>
        <v>No</v>
      </c>
      <c r="G91" s="27" t="s">
        <v>9</v>
      </c>
      <c r="H91" s="27" t="s">
        <v>43</v>
      </c>
      <c r="J91" s="27" t="s">
        <v>25</v>
      </c>
      <c r="K91" s="27" t="s">
        <v>44</v>
      </c>
      <c r="L91" s="27" t="s">
        <v>45</v>
      </c>
      <c r="M91" s="27" t="s">
        <v>70</v>
      </c>
      <c r="N91" s="27" t="s">
        <v>9</v>
      </c>
      <c r="O91" s="27" t="str">
        <f t="shared" ref="O91:O93" si="32">IF(K91="Not","No",IF(K91="n/a","N/A",IF(K91&gt;$Y$6,"Yes","No")))</f>
        <v>No</v>
      </c>
      <c r="U91" s="27" t="s">
        <v>101</v>
      </c>
      <c r="V91" s="27" t="s">
        <v>5</v>
      </c>
      <c r="W91" s="27" t="s">
        <v>9</v>
      </c>
      <c r="X91" s="27" t="str">
        <f>IF(V91="N/A","N/A",IF(W91="N/A", "N/A", IF(V91=W91, "Yes","No")))</f>
        <v>No</v>
      </c>
    </row>
    <row r="92" spans="1:38" x14ac:dyDescent="0.2">
      <c r="A92" s="27" t="s">
        <v>71</v>
      </c>
      <c r="B92" s="27" t="s">
        <v>32</v>
      </c>
      <c r="C92" s="27">
        <v>45</v>
      </c>
      <c r="D92" s="27" t="s">
        <v>33</v>
      </c>
      <c r="E92" s="27" t="s">
        <v>5</v>
      </c>
      <c r="F92" s="27" t="str">
        <f>IF(C92&gt;$W$6,"Yes","No")</f>
        <v>Yes</v>
      </c>
      <c r="G92" s="27" t="s">
        <v>5</v>
      </c>
      <c r="J92" s="27" t="s">
        <v>29</v>
      </c>
      <c r="K92" s="27" t="s">
        <v>44</v>
      </c>
      <c r="L92" s="27" t="s">
        <v>45</v>
      </c>
      <c r="M92" s="27" t="s">
        <v>72</v>
      </c>
      <c r="N92" s="27" t="s">
        <v>9</v>
      </c>
      <c r="O92" s="27" t="str">
        <f t="shared" si="32"/>
        <v>No</v>
      </c>
      <c r="U92" s="27" t="s">
        <v>104</v>
      </c>
      <c r="V92" s="27" t="s">
        <v>120</v>
      </c>
      <c r="W92" s="27" t="s">
        <v>9</v>
      </c>
      <c r="X92" s="27" t="str">
        <f>IF(V92="N/A","N/A",IF(W92="N/A", "N/A", IF(V92=W92, "Yes","No")))</f>
        <v>N/A</v>
      </c>
    </row>
    <row r="93" spans="1:38" x14ac:dyDescent="0.2">
      <c r="A93" s="27" t="s">
        <v>73</v>
      </c>
      <c r="B93" s="27" t="s">
        <v>56</v>
      </c>
      <c r="C93" s="27">
        <v>0</v>
      </c>
      <c r="D93" s="27" t="s">
        <v>4</v>
      </c>
      <c r="E93" s="27" t="s">
        <v>9</v>
      </c>
      <c r="F93" s="27" t="str">
        <f t="shared" ref="F93" si="33">IF(C93&gt;=$W$2,"Yes","No")</f>
        <v>No</v>
      </c>
      <c r="G93" s="27" t="s">
        <v>9</v>
      </c>
      <c r="J93" s="27" t="s">
        <v>34</v>
      </c>
      <c r="K93" s="27" t="s">
        <v>44</v>
      </c>
      <c r="L93" s="27" t="s">
        <v>45</v>
      </c>
      <c r="M93" s="27" t="s">
        <v>74</v>
      </c>
      <c r="N93" s="27" t="s">
        <v>9</v>
      </c>
      <c r="O93" s="27" t="str">
        <f t="shared" si="32"/>
        <v>No</v>
      </c>
      <c r="U93" s="27" t="s">
        <v>106</v>
      </c>
      <c r="V93" s="27" t="str">
        <f>R88</f>
        <v>Yes</v>
      </c>
      <c r="W93" s="27" t="str">
        <f>S88</f>
        <v>No</v>
      </c>
      <c r="X93" s="27" t="str">
        <f>IF(V93="N/A","N/A",IF(W93="N/A", "N/A", IF(V93=W93, "Yes","No")))</f>
        <v>No</v>
      </c>
    </row>
    <row r="94" spans="1:38" x14ac:dyDescent="0.2">
      <c r="U94" s="27" t="s">
        <v>121</v>
      </c>
      <c r="V94" s="27" t="str">
        <f>R89</f>
        <v>Yes</v>
      </c>
      <c r="W94" s="27" t="str">
        <f>S89</f>
        <v>No</v>
      </c>
      <c r="X94" s="27" t="str">
        <f>IF(V94="N/A","N/A",IF(W94="N/A", "N/A", IF(V94=W94, "Yes","No")))</f>
        <v>No</v>
      </c>
    </row>
    <row r="96" spans="1:38" x14ac:dyDescent="0.2">
      <c r="A96" s="67">
        <v>171</v>
      </c>
      <c r="C96" s="27">
        <v>5</v>
      </c>
    </row>
    <row r="97" spans="1:38" x14ac:dyDescent="0.2">
      <c r="A97" s="59" t="s">
        <v>0</v>
      </c>
      <c r="E97" s="27" t="s">
        <v>274</v>
      </c>
      <c r="F97" s="27" t="s">
        <v>275</v>
      </c>
      <c r="G97" s="27" t="s">
        <v>119</v>
      </c>
      <c r="J97" s="59" t="s">
        <v>1</v>
      </c>
      <c r="N97" s="27" t="s">
        <v>277</v>
      </c>
      <c r="O97" s="27" t="s">
        <v>278</v>
      </c>
      <c r="Q97" s="59" t="s">
        <v>115</v>
      </c>
      <c r="R97" s="59" t="s">
        <v>0</v>
      </c>
      <c r="S97" s="59" t="s">
        <v>1</v>
      </c>
      <c r="U97" s="59" t="s">
        <v>115</v>
      </c>
      <c r="V97" s="59" t="s">
        <v>0</v>
      </c>
      <c r="W97" s="59" t="s">
        <v>1</v>
      </c>
      <c r="X97" s="59" t="s">
        <v>122</v>
      </c>
      <c r="AA97" s="27" t="str">
        <f>IF(R98="Yes","LRA-Soil","")</f>
        <v>LRA-Soil</v>
      </c>
      <c r="AB97" s="27" t="str">
        <f>IF(R99="Yes","LRA-Paint","")</f>
        <v/>
      </c>
      <c r="AC97" s="27" t="str">
        <f>IF(R100="Yes","LRA-Dust","")</f>
        <v/>
      </c>
      <c r="AD97" s="27" t="str">
        <f>IF(S98="Yes","LSK-Soil","")</f>
        <v>LSK-Soil</v>
      </c>
      <c r="AE97" s="27" t="str">
        <f>IF(S99="Yes","LSK-Paint","")</f>
        <v/>
      </c>
      <c r="AF97" s="27" t="str">
        <f>IF(S100="Yes","LSK-Dust","")</f>
        <v/>
      </c>
      <c r="AI97" s="27" t="s">
        <v>46</v>
      </c>
      <c r="AJ97" s="27" t="s">
        <v>43</v>
      </c>
      <c r="AK97" s="27" t="s">
        <v>116</v>
      </c>
      <c r="AL97" s="27" t="s">
        <v>117</v>
      </c>
    </row>
    <row r="98" spans="1:38" x14ac:dyDescent="0.2">
      <c r="A98" s="27" t="s">
        <v>63</v>
      </c>
      <c r="B98" s="27" t="s">
        <v>18</v>
      </c>
      <c r="C98" s="27">
        <v>0</v>
      </c>
      <c r="D98" s="27" t="s">
        <v>4</v>
      </c>
      <c r="E98" s="27" t="s">
        <v>9</v>
      </c>
      <c r="F98" s="27" t="str">
        <f t="shared" ref="F98" si="34">IF(C98&gt;=$W$2,"Yes","No")</f>
        <v>No</v>
      </c>
      <c r="G98" s="27" t="s">
        <v>9</v>
      </c>
      <c r="H98" s="27" t="s">
        <v>46</v>
      </c>
      <c r="J98" s="27" t="s">
        <v>6</v>
      </c>
      <c r="K98" s="27">
        <v>850.3</v>
      </c>
      <c r="L98" s="27" t="s">
        <v>7</v>
      </c>
      <c r="M98" s="27" t="s">
        <v>36</v>
      </c>
      <c r="N98" s="27" t="s">
        <v>9</v>
      </c>
      <c r="O98" s="27" t="str">
        <f t="shared" ref="O98:O100" si="35">IF(K98="Not","No",IF(K98="n/a","N/A",IF(K98&gt;$Y$3,"Yes","No")))</f>
        <v>Yes</v>
      </c>
      <c r="Q98" s="27" t="s">
        <v>116</v>
      </c>
      <c r="R98" s="27" t="str">
        <f>_xlfn.XLOOKUP("ppm",D98:D100,F98:F100,"N/A")</f>
        <v>Yes</v>
      </c>
      <c r="S98" s="27" t="str">
        <f>IF(COUNTIF(O98:O100,"Yes"),"Yes","No")</f>
        <v>Yes</v>
      </c>
      <c r="U98" s="27" t="s">
        <v>92</v>
      </c>
      <c r="V98" s="27" t="s">
        <v>120</v>
      </c>
      <c r="W98" s="27" t="s">
        <v>120</v>
      </c>
      <c r="X98" s="27" t="str">
        <f>IF(V98="N/A","N/A",IF(W98="N/A", "N/A", IF(V98=W98, "Yes","No")))</f>
        <v>N/A</v>
      </c>
      <c r="AI98" s="27">
        <f>COUNTIF(H97:H100,"Exterior")</f>
        <v>1</v>
      </c>
      <c r="AJ98" s="27">
        <f>COUNTIF(H97:H100, "Interior")</f>
        <v>1</v>
      </c>
      <c r="AK98" s="27">
        <f>COUNTIFS(D97:D100,"ppm")+COUNTIFS(D97:D100,"mg/Kg")</f>
        <v>1</v>
      </c>
      <c r="AL98" s="27">
        <f>COUNTIF(D97:D100,"ug/ft2")</f>
        <v>0</v>
      </c>
    </row>
    <row r="99" spans="1:38" x14ac:dyDescent="0.2">
      <c r="A99" s="27" t="s">
        <v>75</v>
      </c>
      <c r="B99" s="27" t="s">
        <v>69</v>
      </c>
      <c r="C99" s="27">
        <v>1700</v>
      </c>
      <c r="D99" s="27" t="s">
        <v>12</v>
      </c>
      <c r="E99" s="27" t="s">
        <v>5</v>
      </c>
      <c r="F99" s="27" t="str">
        <f>IF(C99&gt;$W$3,"Yes","No")</f>
        <v>Yes</v>
      </c>
      <c r="G99" s="27" t="s">
        <v>5</v>
      </c>
      <c r="J99" s="27" t="s">
        <v>11</v>
      </c>
      <c r="K99" s="27">
        <v>30.8</v>
      </c>
      <c r="L99" s="27" t="s">
        <v>12</v>
      </c>
      <c r="M99" s="27" t="s">
        <v>38</v>
      </c>
      <c r="N99" s="27" t="s">
        <v>9</v>
      </c>
      <c r="O99" s="27" t="str">
        <f t="shared" si="35"/>
        <v>No</v>
      </c>
      <c r="Q99" s="27" t="s">
        <v>98</v>
      </c>
      <c r="R99" s="27" t="str">
        <f>_xlfn.XLOOKUP("mg/cm2",D98:D100,G98:G100,"N/A")</f>
        <v>No</v>
      </c>
      <c r="S99" s="27" t="str">
        <f>IF(COUNTIF(O101:O102,"Yes"),"Yes","No")</f>
        <v>No</v>
      </c>
      <c r="U99" s="27" t="s">
        <v>95</v>
      </c>
      <c r="V99" s="27" t="str">
        <f>R98</f>
        <v>Yes</v>
      </c>
      <c r="W99" s="27" t="str">
        <f>S98</f>
        <v>Yes</v>
      </c>
      <c r="X99" s="27" t="str">
        <f t="shared" ref="X99:X101" si="36">IF(V99="N/A","N/A",IF(W99="N/A", "N/A", IF(V99=W99, "Yes","No")))</f>
        <v>Yes</v>
      </c>
    </row>
    <row r="100" spans="1:38" x14ac:dyDescent="0.2">
      <c r="A100" s="27" t="s">
        <v>76</v>
      </c>
      <c r="B100" s="27" t="s">
        <v>77</v>
      </c>
      <c r="C100" s="27">
        <v>0</v>
      </c>
      <c r="D100" s="27" t="s">
        <v>4</v>
      </c>
      <c r="E100" s="27" t="s">
        <v>9</v>
      </c>
      <c r="F100" s="27" t="str">
        <f t="shared" ref="F100" si="37">IF(C100&gt;=$W$2,"Yes","No")</f>
        <v>No</v>
      </c>
      <c r="G100" s="27" t="s">
        <v>9</v>
      </c>
      <c r="H100" s="27" t="s">
        <v>43</v>
      </c>
      <c r="J100" s="27" t="s">
        <v>15</v>
      </c>
      <c r="K100" s="27">
        <v>63.1</v>
      </c>
      <c r="L100" s="27" t="s">
        <v>12</v>
      </c>
      <c r="M100" s="27" t="s">
        <v>41</v>
      </c>
      <c r="N100" s="27" t="s">
        <v>9</v>
      </c>
      <c r="O100" s="27" t="str">
        <f t="shared" si="35"/>
        <v>No</v>
      </c>
      <c r="Q100" s="27" t="s">
        <v>117</v>
      </c>
      <c r="R100" s="27" t="str">
        <f>_xlfn.XLOOKUP("ug/ft2",D98:D100,F98:F100,"N/A")</f>
        <v>N/A</v>
      </c>
      <c r="S100" s="27" t="str">
        <f>IF(COUNTIF(O103:O105,"Yes"),"Yes","No")</f>
        <v>No</v>
      </c>
      <c r="U100" s="27" t="s">
        <v>163</v>
      </c>
      <c r="V100" s="27" t="s">
        <v>9</v>
      </c>
      <c r="W100" s="27" t="s">
        <v>120</v>
      </c>
      <c r="X100" s="27" t="str">
        <f t="shared" si="36"/>
        <v>N/A</v>
      </c>
    </row>
    <row r="101" spans="1:38" x14ac:dyDescent="0.2">
      <c r="J101" s="27" t="s">
        <v>19</v>
      </c>
      <c r="K101" s="27" t="s">
        <v>65</v>
      </c>
      <c r="M101" s="27" t="s">
        <v>78</v>
      </c>
      <c r="N101" s="27" t="s">
        <v>9</v>
      </c>
      <c r="O101" s="27" t="str">
        <f t="shared" ref="O101:O102" si="38">IF(K101="Not","No",IF(K101="n/a","N/A",IF(K101&gt;$Y$2,"Yes","No")))</f>
        <v>N/A</v>
      </c>
      <c r="Q101" s="27" t="s">
        <v>118</v>
      </c>
      <c r="R101" s="27" t="str">
        <f>IF(COUNTIF(R98:R100,"Yes"),"Yes","No")</f>
        <v>Yes</v>
      </c>
      <c r="S101" s="27" t="str">
        <f>IF(COUNTIF(S98:S100,"Yes"),"Yes","No")</f>
        <v>Yes</v>
      </c>
      <c r="U101" s="27" t="s">
        <v>164</v>
      </c>
      <c r="V101" s="27" t="s">
        <v>9</v>
      </c>
      <c r="W101" s="27" t="s">
        <v>9</v>
      </c>
      <c r="X101" s="27" t="str">
        <f t="shared" si="36"/>
        <v>Yes</v>
      </c>
    </row>
    <row r="102" spans="1:38" x14ac:dyDescent="0.2">
      <c r="J102" s="27" t="s">
        <v>22</v>
      </c>
      <c r="K102" s="27" t="s">
        <v>44</v>
      </c>
      <c r="L102" s="27" t="s">
        <v>45</v>
      </c>
      <c r="M102" s="27" t="s">
        <v>79</v>
      </c>
      <c r="N102" s="27" t="s">
        <v>9</v>
      </c>
      <c r="O102" s="27" t="str">
        <f t="shared" si="38"/>
        <v>No</v>
      </c>
      <c r="U102" s="27" t="s">
        <v>162</v>
      </c>
      <c r="V102" s="27" t="str">
        <f>R99</f>
        <v>No</v>
      </c>
      <c r="W102" s="27" t="str">
        <f>S99</f>
        <v>No</v>
      </c>
      <c r="X102" s="27" t="str">
        <f>IF(V102="N/A","N/A",IF(W102="N/A", "N/A", IF(V102=W102, "Yes","No")))</f>
        <v>Yes</v>
      </c>
    </row>
    <row r="103" spans="1:38" x14ac:dyDescent="0.2">
      <c r="J103" s="27" t="s">
        <v>25</v>
      </c>
      <c r="K103" s="27" t="s">
        <v>44</v>
      </c>
      <c r="L103" s="27" t="s">
        <v>45</v>
      </c>
      <c r="M103" s="27" t="s">
        <v>80</v>
      </c>
      <c r="N103" s="27" t="s">
        <v>9</v>
      </c>
      <c r="O103" s="27" t="str">
        <f>IF(K103="Not","No",IF(K103="n/a","N/A",IF(K103&gt;$Y$5,"Yes","No")))</f>
        <v>No</v>
      </c>
      <c r="U103" s="27" t="s">
        <v>101</v>
      </c>
      <c r="V103" s="27" t="s">
        <v>120</v>
      </c>
      <c r="W103" s="27" t="s">
        <v>9</v>
      </c>
      <c r="X103" s="27" t="str">
        <f>IF(V103="N/A","N/A",IF(W103="N/A", "N/A", IF(V103=W103, "Yes","No")))</f>
        <v>N/A</v>
      </c>
    </row>
    <row r="104" spans="1:38" x14ac:dyDescent="0.2">
      <c r="J104" s="27" t="s">
        <v>29</v>
      </c>
      <c r="K104" s="27" t="s">
        <v>44</v>
      </c>
      <c r="L104" s="27" t="s">
        <v>45</v>
      </c>
      <c r="M104" s="27" t="s">
        <v>72</v>
      </c>
      <c r="N104" s="27" t="s">
        <v>9</v>
      </c>
      <c r="O104" s="27" t="str">
        <f t="shared" ref="O104:O105" si="39">IF(K104="Not","No",IF(K104="n/a","N/A",IF(K104&gt;$Y$6,"Yes","No")))</f>
        <v>No</v>
      </c>
      <c r="U104" s="27" t="s">
        <v>104</v>
      </c>
      <c r="V104" s="27" t="s">
        <v>120</v>
      </c>
      <c r="W104" s="27" t="s">
        <v>9</v>
      </c>
      <c r="X104" s="27" t="str">
        <f>IF(V104="N/A","N/A",IF(W104="N/A", "N/A", IF(V104=W104, "Yes","No")))</f>
        <v>N/A</v>
      </c>
    </row>
    <row r="105" spans="1:38" x14ac:dyDescent="0.2">
      <c r="J105" s="27" t="s">
        <v>34</v>
      </c>
      <c r="K105" s="27" t="s">
        <v>44</v>
      </c>
      <c r="L105" s="27" t="s">
        <v>45</v>
      </c>
      <c r="M105" s="27" t="s">
        <v>81</v>
      </c>
      <c r="N105" s="27" t="s">
        <v>9</v>
      </c>
      <c r="O105" s="27" t="str">
        <f t="shared" si="39"/>
        <v>No</v>
      </c>
      <c r="U105" s="27" t="s">
        <v>106</v>
      </c>
      <c r="V105" s="27" t="str">
        <f>R100</f>
        <v>N/A</v>
      </c>
      <c r="W105" s="27" t="str">
        <f>S100</f>
        <v>No</v>
      </c>
      <c r="X105" s="27" t="str">
        <f>IF(V105="N/A","N/A",IF(W105="N/A", "N/A", IF(V105=W105, "Yes","No")))</f>
        <v>N/A</v>
      </c>
    </row>
    <row r="106" spans="1:38" x14ac:dyDescent="0.2">
      <c r="U106" s="27" t="s">
        <v>121</v>
      </c>
      <c r="V106" s="27" t="str">
        <f>R101</f>
        <v>Yes</v>
      </c>
      <c r="W106" s="27" t="str">
        <f>S101</f>
        <v>Yes</v>
      </c>
      <c r="X106" s="27" t="str">
        <f>IF(V106="N/A","N/A",IF(W106="N/A", "N/A", IF(V106=W106, "Yes","No")))</f>
        <v>Yes</v>
      </c>
    </row>
    <row r="108" spans="1:38" x14ac:dyDescent="0.2">
      <c r="A108" s="68">
        <v>683</v>
      </c>
      <c r="C108" s="27">
        <v>6</v>
      </c>
    </row>
    <row r="109" spans="1:38" x14ac:dyDescent="0.2">
      <c r="A109" s="59" t="s">
        <v>0</v>
      </c>
      <c r="E109" s="27" t="s">
        <v>274</v>
      </c>
      <c r="F109" s="27" t="s">
        <v>275</v>
      </c>
      <c r="G109" s="27" t="s">
        <v>119</v>
      </c>
      <c r="J109" s="59" t="s">
        <v>1</v>
      </c>
      <c r="N109" s="27" t="s">
        <v>277</v>
      </c>
      <c r="O109" s="27" t="s">
        <v>278</v>
      </c>
      <c r="Q109" s="59" t="s">
        <v>115</v>
      </c>
      <c r="R109" s="59" t="s">
        <v>0</v>
      </c>
      <c r="S109" s="59" t="s">
        <v>1</v>
      </c>
      <c r="U109" s="59" t="s">
        <v>115</v>
      </c>
      <c r="V109" s="59" t="s">
        <v>0</v>
      </c>
      <c r="W109" s="59" t="s">
        <v>1</v>
      </c>
      <c r="X109" s="59" t="s">
        <v>122</v>
      </c>
      <c r="AA109" s="27" t="str">
        <f>IF(R110="Yes","LRA-Soil","")</f>
        <v/>
      </c>
      <c r="AB109" s="27" t="str">
        <f>IF(R111="Yes","LRA-Paint","")</f>
        <v>LRA-Paint</v>
      </c>
      <c r="AC109" s="27" t="str">
        <f>IF(R112="Yes","LRA-Dust","")</f>
        <v>LRA-Dust</v>
      </c>
      <c r="AD109" s="27" t="str">
        <f>IF(S110="Yes","LSK-Soil","")</f>
        <v/>
      </c>
      <c r="AE109" s="27" t="str">
        <f>IF(S111="Yes","LSK-Paint","")</f>
        <v/>
      </c>
      <c r="AF109" s="27" t="str">
        <f>IF(S112="Yes","LSK-Dust","")</f>
        <v/>
      </c>
      <c r="AI109" s="27" t="s">
        <v>46</v>
      </c>
      <c r="AJ109" s="27" t="s">
        <v>43</v>
      </c>
      <c r="AK109" s="27" t="s">
        <v>116</v>
      </c>
      <c r="AL109" s="27" t="s">
        <v>117</v>
      </c>
    </row>
    <row r="110" spans="1:38" x14ac:dyDescent="0.2">
      <c r="A110" s="27" t="s">
        <v>64</v>
      </c>
      <c r="B110" s="27" t="s">
        <v>64</v>
      </c>
      <c r="C110" s="27">
        <v>3.9</v>
      </c>
      <c r="D110" s="27" t="s">
        <v>4</v>
      </c>
      <c r="E110" s="27" t="s">
        <v>5</v>
      </c>
      <c r="F110" s="27" t="str">
        <f t="shared" ref="F110" si="40">IF(C110&gt;=$W$2,"Yes","No")</f>
        <v>Yes</v>
      </c>
      <c r="G110" s="27" t="s">
        <v>5</v>
      </c>
      <c r="H110" s="27" t="s">
        <v>43</v>
      </c>
      <c r="J110" s="27" t="s">
        <v>6</v>
      </c>
      <c r="K110" s="27" t="s">
        <v>65</v>
      </c>
      <c r="M110" s="27" t="s">
        <v>66</v>
      </c>
      <c r="N110" s="27" t="s">
        <v>9</v>
      </c>
      <c r="O110" s="27" t="str">
        <f t="shared" ref="O110:O112" si="41">IF(K110="Not","No",IF(K110="n/a","N/A",IF(K110&gt;$Y$3,"Yes","No")))</f>
        <v>N/A</v>
      </c>
      <c r="Q110" s="27" t="s">
        <v>116</v>
      </c>
      <c r="R110" s="27" t="str">
        <f>_xlfn.XLOOKUP("ppm",D110:D112,F110:F112,"N/A")</f>
        <v>N/A</v>
      </c>
      <c r="S110" s="27" t="s">
        <v>120</v>
      </c>
      <c r="U110" s="27" t="s">
        <v>92</v>
      </c>
      <c r="V110" s="27" t="s">
        <v>120</v>
      </c>
      <c r="W110" s="27" t="s">
        <v>120</v>
      </c>
      <c r="X110" s="27" t="str">
        <f>IF(V110="N/A","N/A",IF(W110="N/A", "N/A", IF(V110=W110, "Yes","No")))</f>
        <v>N/A</v>
      </c>
      <c r="AI110" s="27">
        <f>COUNTIF(H109:H112,"Exterior")</f>
        <v>0</v>
      </c>
      <c r="AJ110" s="27">
        <f>COUNTIF(H109:H112, "Interior")</f>
        <v>1</v>
      </c>
      <c r="AK110" s="27">
        <f>COUNTIFS(D109:D112,"ppm")+COUNTIFS(D109:D112,"mg/Kg")</f>
        <v>0</v>
      </c>
      <c r="AL110" s="27">
        <f>COUNTIF(D109:D112,"ug/ft2")</f>
        <v>2</v>
      </c>
    </row>
    <row r="111" spans="1:38" x14ac:dyDescent="0.2">
      <c r="A111" s="27" t="s">
        <v>71</v>
      </c>
      <c r="B111" s="27" t="s">
        <v>32</v>
      </c>
      <c r="C111" s="27">
        <v>97</v>
      </c>
      <c r="D111" s="27" t="s">
        <v>33</v>
      </c>
      <c r="E111" s="27" t="s">
        <v>5</v>
      </c>
      <c r="F111" s="27" t="str">
        <f>IF(C111&gt;$W$6,"Yes","No")</f>
        <v>Yes</v>
      </c>
      <c r="G111" s="27" t="s">
        <v>5</v>
      </c>
      <c r="J111" s="27" t="s">
        <v>11</v>
      </c>
      <c r="K111" s="27" t="s">
        <v>65</v>
      </c>
      <c r="M111" s="27" t="s">
        <v>66</v>
      </c>
      <c r="N111" s="27" t="s">
        <v>9</v>
      </c>
      <c r="O111" s="27" t="str">
        <f t="shared" si="41"/>
        <v>N/A</v>
      </c>
      <c r="Q111" s="27" t="s">
        <v>98</v>
      </c>
      <c r="R111" s="27" t="str">
        <f>_xlfn.XLOOKUP("mg/cm2",D110:D112,G110:G112,"N/A")</f>
        <v>Yes</v>
      </c>
      <c r="S111" s="27" t="s">
        <v>120</v>
      </c>
      <c r="U111" s="27" t="s">
        <v>95</v>
      </c>
      <c r="V111" s="27" t="str">
        <f>R110</f>
        <v>N/A</v>
      </c>
      <c r="W111" s="27" t="str">
        <f>S110</f>
        <v>N/A</v>
      </c>
      <c r="X111" s="27" t="str">
        <f t="shared" ref="X111:X113" si="42">IF(V111="N/A","N/A",IF(W111="N/A", "N/A", IF(V111=W111, "Yes","No")))</f>
        <v>N/A</v>
      </c>
    </row>
    <row r="112" spans="1:38" x14ac:dyDescent="0.2">
      <c r="A112" s="27" t="s">
        <v>64</v>
      </c>
      <c r="B112" s="27" t="s">
        <v>54</v>
      </c>
      <c r="C112" s="27">
        <v>210</v>
      </c>
      <c r="D112" s="27" t="s">
        <v>33</v>
      </c>
      <c r="E112" s="27" t="s">
        <v>5</v>
      </c>
      <c r="F112" s="27" t="str">
        <f>IF(C112&gt;=$W$5,"Yes","No")</f>
        <v>Yes</v>
      </c>
      <c r="G112" s="27" t="s">
        <v>5</v>
      </c>
      <c r="J112" s="27" t="s">
        <v>15</v>
      </c>
      <c r="K112" s="27" t="s">
        <v>65</v>
      </c>
      <c r="M112" s="27" t="s">
        <v>66</v>
      </c>
      <c r="N112" s="27" t="s">
        <v>9</v>
      </c>
      <c r="O112" s="27" t="str">
        <f t="shared" si="41"/>
        <v>N/A</v>
      </c>
      <c r="Q112" s="27" t="s">
        <v>117</v>
      </c>
      <c r="R112" s="27" t="str">
        <f>_xlfn.XLOOKUP("ug/ft2",D110:D112,F110:F112,"N/A")</f>
        <v>Yes</v>
      </c>
      <c r="S112" s="27" t="str">
        <f>IF(COUNTIF(O115:O117,"Yes"),"Yes","No")</f>
        <v>No</v>
      </c>
      <c r="U112" s="27" t="s">
        <v>163</v>
      </c>
      <c r="V112" s="27" t="s">
        <v>5</v>
      </c>
      <c r="W112" s="27" t="s">
        <v>120</v>
      </c>
      <c r="X112" s="27" t="str">
        <f t="shared" si="42"/>
        <v>N/A</v>
      </c>
    </row>
    <row r="113" spans="1:38" x14ac:dyDescent="0.2">
      <c r="J113" s="27" t="s">
        <v>19</v>
      </c>
      <c r="K113" s="27" t="s">
        <v>65</v>
      </c>
      <c r="M113" s="27" t="s">
        <v>66</v>
      </c>
      <c r="N113" s="27" t="s">
        <v>9</v>
      </c>
      <c r="O113" s="27" t="str">
        <f t="shared" ref="O113:O114" si="43">IF(K113="Not","No",IF(K113="n/a","N/A",IF(K113&gt;$Y$2,"Yes","No")))</f>
        <v>N/A</v>
      </c>
      <c r="Q113" s="27" t="s">
        <v>118</v>
      </c>
      <c r="R113" s="27" t="str">
        <f>IF(COUNTIF(R110:R112,"Yes"),"Yes","No")</f>
        <v>Yes</v>
      </c>
      <c r="S113" s="27" t="str">
        <f>IF(COUNTIF(S110:S112,"Yes"),"Yes","No")</f>
        <v>No</v>
      </c>
      <c r="U113" s="27" t="s">
        <v>164</v>
      </c>
      <c r="V113" s="27" t="s">
        <v>120</v>
      </c>
      <c r="W113" s="27" t="s">
        <v>120</v>
      </c>
      <c r="X113" s="27" t="str">
        <f t="shared" si="42"/>
        <v>N/A</v>
      </c>
    </row>
    <row r="114" spans="1:38" x14ac:dyDescent="0.2">
      <c r="J114" s="27" t="s">
        <v>22</v>
      </c>
      <c r="K114" s="27" t="s">
        <v>65</v>
      </c>
      <c r="M114" s="27" t="s">
        <v>66</v>
      </c>
      <c r="N114" s="27" t="s">
        <v>9</v>
      </c>
      <c r="O114" s="27" t="str">
        <f t="shared" si="43"/>
        <v>N/A</v>
      </c>
      <c r="U114" s="27" t="s">
        <v>162</v>
      </c>
      <c r="V114" s="27" t="str">
        <f>R111</f>
        <v>Yes</v>
      </c>
      <c r="W114" s="27" t="str">
        <f>S111</f>
        <v>N/A</v>
      </c>
      <c r="X114" s="27" t="str">
        <f>IF(V114="N/A","N/A",IF(W114="N/A", "N/A", IF(V114=W114, "Yes","No")))</f>
        <v>N/A</v>
      </c>
    </row>
    <row r="115" spans="1:38" x14ac:dyDescent="0.2">
      <c r="J115" s="27" t="s">
        <v>25</v>
      </c>
      <c r="K115" s="27">
        <v>0</v>
      </c>
      <c r="L115" s="27" t="s">
        <v>7</v>
      </c>
      <c r="M115" s="27" t="s">
        <v>82</v>
      </c>
      <c r="N115" s="27" t="s">
        <v>9</v>
      </c>
      <c r="O115" s="27" t="str">
        <f t="shared" ref="O115:O117" si="44">IF(K115="Not","No",IF(K115="n/a","N/A",IF(K115&gt;$Y$6,"Yes","No")))</f>
        <v>No</v>
      </c>
      <c r="U115" s="27" t="s">
        <v>101</v>
      </c>
      <c r="V115" s="27" t="s">
        <v>5</v>
      </c>
      <c r="W115" s="27" t="s">
        <v>120</v>
      </c>
      <c r="X115" s="27" t="str">
        <f>IF(V115="N/A","N/A",IF(W115="N/A", "N/A", IF(V115=W115, "Yes","No")))</f>
        <v>N/A</v>
      </c>
    </row>
    <row r="116" spans="1:38" x14ac:dyDescent="0.2">
      <c r="J116" s="27" t="s">
        <v>29</v>
      </c>
      <c r="K116" s="27">
        <v>14.9</v>
      </c>
      <c r="L116" s="27" t="s">
        <v>12</v>
      </c>
      <c r="M116" s="27" t="s">
        <v>82</v>
      </c>
      <c r="N116" s="27" t="s">
        <v>9</v>
      </c>
      <c r="O116" s="27" t="str">
        <f t="shared" si="44"/>
        <v>No</v>
      </c>
      <c r="U116" s="27" t="s">
        <v>104</v>
      </c>
      <c r="V116" s="27" t="s">
        <v>5</v>
      </c>
      <c r="W116" s="27" t="s">
        <v>120</v>
      </c>
      <c r="X116" s="27" t="str">
        <f>IF(V116="N/A","N/A",IF(W116="N/A", "N/A", IF(V116=W116, "Yes","No")))</f>
        <v>N/A</v>
      </c>
    </row>
    <row r="117" spans="1:38" x14ac:dyDescent="0.2">
      <c r="J117" s="27" t="s">
        <v>34</v>
      </c>
      <c r="K117" s="27">
        <v>8.5</v>
      </c>
      <c r="L117" s="27" t="s">
        <v>12</v>
      </c>
      <c r="M117" s="27" t="s">
        <v>82</v>
      </c>
      <c r="N117" s="27" t="s">
        <v>9</v>
      </c>
      <c r="O117" s="27" t="str">
        <f t="shared" si="44"/>
        <v>No</v>
      </c>
      <c r="U117" s="27" t="s">
        <v>106</v>
      </c>
      <c r="V117" s="27" t="str">
        <f>R112</f>
        <v>Yes</v>
      </c>
      <c r="W117" s="27" t="str">
        <f>S112</f>
        <v>No</v>
      </c>
      <c r="X117" s="27" t="str">
        <f>IF(V117="N/A","N/A",IF(W117="N/A", "N/A", IF(V117=W117, "Yes","No")))</f>
        <v>No</v>
      </c>
    </row>
    <row r="118" spans="1:38" x14ac:dyDescent="0.2">
      <c r="U118" s="27" t="s">
        <v>121</v>
      </c>
      <c r="V118" s="27" t="str">
        <f>R113</f>
        <v>Yes</v>
      </c>
      <c r="W118" s="27" t="str">
        <f>S113</f>
        <v>No</v>
      </c>
      <c r="X118" s="27" t="str">
        <f>IF(V118="N/A","N/A",IF(W118="N/A", "N/A", IF(V118=W118, "Yes","No")))</f>
        <v>No</v>
      </c>
    </row>
    <row r="120" spans="1:38" x14ac:dyDescent="0.2">
      <c r="A120" s="67">
        <v>1207</v>
      </c>
      <c r="C120" s="27">
        <v>7</v>
      </c>
    </row>
    <row r="121" spans="1:38" x14ac:dyDescent="0.2">
      <c r="A121" s="59" t="s">
        <v>0</v>
      </c>
      <c r="E121" s="27" t="s">
        <v>274</v>
      </c>
      <c r="F121" s="27" t="s">
        <v>275</v>
      </c>
      <c r="G121" s="27" t="s">
        <v>119</v>
      </c>
      <c r="J121" s="59" t="s">
        <v>1</v>
      </c>
      <c r="N121" s="27" t="s">
        <v>277</v>
      </c>
      <c r="O121" s="27" t="s">
        <v>278</v>
      </c>
      <c r="Q121" s="59" t="s">
        <v>115</v>
      </c>
      <c r="R121" s="59" t="s">
        <v>0</v>
      </c>
      <c r="S121" s="59" t="s">
        <v>1</v>
      </c>
      <c r="U121" s="59" t="s">
        <v>115</v>
      </c>
      <c r="V121" s="59" t="s">
        <v>0</v>
      </c>
      <c r="W121" s="59" t="s">
        <v>1</v>
      </c>
      <c r="X121" s="59" t="s">
        <v>122</v>
      </c>
      <c r="AA121" s="27" t="str">
        <f>IF(R122="Yes","LRA-Soil","")</f>
        <v/>
      </c>
      <c r="AB121" s="27" t="str">
        <f>IF(R123="Yes","LRA-Paint","")</f>
        <v>LRA-Paint</v>
      </c>
      <c r="AC121" s="27" t="str">
        <f>IF(R124="Yes","LRA-Dust","")</f>
        <v/>
      </c>
      <c r="AD121" s="27" t="str">
        <f>IF(S122="Yes","LSK-Soil","")</f>
        <v>LSK-Soil</v>
      </c>
      <c r="AE121" s="27" t="str">
        <f>IF(S123="Yes","LSK-Paint","")</f>
        <v/>
      </c>
      <c r="AF121" s="27" t="str">
        <f>IF(S124="Yes","LSK-Dust","")</f>
        <v/>
      </c>
      <c r="AI121" s="27" t="s">
        <v>46</v>
      </c>
      <c r="AJ121" s="27" t="s">
        <v>43</v>
      </c>
      <c r="AK121" s="27" t="s">
        <v>116</v>
      </c>
      <c r="AL121" s="27" t="s">
        <v>117</v>
      </c>
    </row>
    <row r="122" spans="1:38" x14ac:dyDescent="0.2">
      <c r="A122" s="27" t="s">
        <v>83</v>
      </c>
      <c r="B122" s="27" t="s">
        <v>84</v>
      </c>
      <c r="C122" s="27">
        <v>213</v>
      </c>
      <c r="D122" s="27" t="s">
        <v>12</v>
      </c>
      <c r="E122" s="27" t="s">
        <v>9</v>
      </c>
      <c r="F122" s="27" t="str">
        <f>IF(C122&gt;$W$3,"Yes","No")</f>
        <v>No</v>
      </c>
      <c r="G122" s="27" t="s">
        <v>9</v>
      </c>
      <c r="J122" s="27" t="s">
        <v>6</v>
      </c>
      <c r="K122" s="27">
        <v>1743</v>
      </c>
      <c r="L122" s="27" t="s">
        <v>87</v>
      </c>
      <c r="M122" s="27" t="s">
        <v>88</v>
      </c>
      <c r="N122" s="27" t="s">
        <v>5</v>
      </c>
      <c r="O122" s="27" t="str">
        <f t="shared" ref="O122:O124" si="45">IF(K122="Not","No",IF(K122="n/a","N/A",IF(K122&gt;$Y$3,"Yes","No")))</f>
        <v>Yes</v>
      </c>
      <c r="Q122" s="27" t="s">
        <v>116</v>
      </c>
      <c r="R122" s="27" t="str">
        <f>_xlfn.XLOOKUP("ppm",D122:D136,F122:F136,"N/A")</f>
        <v>No</v>
      </c>
      <c r="S122" s="27" t="str">
        <f>IF(COUNTIF(O122:O124,"Yes"),"Yes","No")</f>
        <v>Yes</v>
      </c>
      <c r="U122" s="27" t="s">
        <v>92</v>
      </c>
      <c r="V122" s="27" t="s">
        <v>120</v>
      </c>
      <c r="W122" s="27" t="s">
        <v>120</v>
      </c>
      <c r="X122" s="27" t="str">
        <f>IF(V122="N/A","N/A",IF(W122="N/A", "N/A", IF(V122=W122, "Yes","No")))</f>
        <v>N/A</v>
      </c>
      <c r="AI122" s="27">
        <f>COUNTIF(H121:H136,"Exterior")</f>
        <v>0</v>
      </c>
      <c r="AJ122" s="27">
        <f>COUNTIF(H121:H136, "Interior")</f>
        <v>12</v>
      </c>
      <c r="AK122" s="27">
        <f>COUNTIFS(D121:D136,"ppm")+COUNTIFS(D121:D136,"mg/Kg")</f>
        <v>1</v>
      </c>
      <c r="AL122" s="27">
        <f>COUNTIF(D121:D136,"ug/ft2")</f>
        <v>1</v>
      </c>
    </row>
    <row r="123" spans="1:38" x14ac:dyDescent="0.2">
      <c r="A123" s="27" t="s">
        <v>71</v>
      </c>
      <c r="B123" s="27" t="s">
        <v>86</v>
      </c>
      <c r="C123" s="27">
        <v>11.9</v>
      </c>
      <c r="D123" s="27" t="s">
        <v>4</v>
      </c>
      <c r="E123" s="27" t="s">
        <v>5</v>
      </c>
      <c r="F123" s="27" t="str">
        <f t="shared" ref="F123:F135" si="46">IF(C123&gt;=$W$2,"Yes","No")</f>
        <v>Yes</v>
      </c>
      <c r="G123" s="27" t="s">
        <v>5</v>
      </c>
      <c r="H123" s="27" t="s">
        <v>43</v>
      </c>
      <c r="J123" s="27" t="s">
        <v>11</v>
      </c>
      <c r="K123" s="27">
        <v>0</v>
      </c>
      <c r="L123" s="27" t="s">
        <v>90</v>
      </c>
      <c r="M123" s="27" t="s">
        <v>91</v>
      </c>
      <c r="N123" s="27" t="s">
        <v>9</v>
      </c>
      <c r="O123" s="27" t="str">
        <f t="shared" si="45"/>
        <v>No</v>
      </c>
      <c r="Q123" s="27" t="s">
        <v>98</v>
      </c>
      <c r="R123" s="27" t="str">
        <f>_xlfn.XLOOKUP("mg/cm2",D122:D136,G122:G136,"N/A")</f>
        <v>Yes</v>
      </c>
      <c r="S123" s="27" t="str">
        <f>IF(COUNTIF(O125:O126,"Yes"),"Yes","No")</f>
        <v>No</v>
      </c>
      <c r="U123" s="27" t="s">
        <v>95</v>
      </c>
      <c r="V123" s="27" t="str">
        <f>R122</f>
        <v>No</v>
      </c>
      <c r="W123" s="27" t="str">
        <f>S122</f>
        <v>Yes</v>
      </c>
      <c r="X123" s="27" t="str">
        <f t="shared" ref="X123:X125" si="47">IF(V123="N/A","N/A",IF(W123="N/A", "N/A", IF(V123=W123, "Yes","No")))</f>
        <v>No</v>
      </c>
    </row>
    <row r="124" spans="1:38" x14ac:dyDescent="0.2">
      <c r="A124" s="27" t="s">
        <v>71</v>
      </c>
      <c r="B124" s="27" t="s">
        <v>89</v>
      </c>
      <c r="C124" s="27">
        <v>3.9</v>
      </c>
      <c r="D124" s="27" t="s">
        <v>4</v>
      </c>
      <c r="E124" s="27" t="s">
        <v>5</v>
      </c>
      <c r="F124" s="27" t="str">
        <f t="shared" si="46"/>
        <v>Yes</v>
      </c>
      <c r="G124" s="27" t="s">
        <v>9</v>
      </c>
      <c r="H124" s="27" t="s">
        <v>43</v>
      </c>
      <c r="J124" s="27" t="s">
        <v>15</v>
      </c>
      <c r="K124" s="27">
        <v>92</v>
      </c>
      <c r="L124" s="27" t="s">
        <v>85</v>
      </c>
      <c r="M124" s="27" t="s">
        <v>94</v>
      </c>
      <c r="N124" s="27" t="s">
        <v>9</v>
      </c>
      <c r="O124" s="27" t="str">
        <f t="shared" si="45"/>
        <v>No</v>
      </c>
      <c r="Q124" s="27" t="s">
        <v>117</v>
      </c>
      <c r="R124" s="27" t="str">
        <f>_xlfn.XLOOKUP("ug/ft2",D122:D136,F122:F136,"N/A")</f>
        <v>No</v>
      </c>
      <c r="S124" s="27" t="str">
        <f>IF(COUNTIF(O127:O129,"Yes"),"Yes","No")</f>
        <v>No</v>
      </c>
      <c r="U124" s="27" t="s">
        <v>163</v>
      </c>
      <c r="V124" s="27" t="s">
        <v>5</v>
      </c>
      <c r="W124" s="27" t="s">
        <v>9</v>
      </c>
      <c r="X124" s="27" t="str">
        <f t="shared" si="47"/>
        <v>No</v>
      </c>
    </row>
    <row r="125" spans="1:38" x14ac:dyDescent="0.2">
      <c r="A125" s="27" t="s">
        <v>70</v>
      </c>
      <c r="B125" s="27" t="s">
        <v>93</v>
      </c>
      <c r="C125" s="27">
        <v>1.9</v>
      </c>
      <c r="D125" s="27" t="s">
        <v>4</v>
      </c>
      <c r="E125" s="27" t="s">
        <v>5</v>
      </c>
      <c r="F125" s="27" t="str">
        <f t="shared" si="46"/>
        <v>Yes</v>
      </c>
      <c r="G125" s="27" t="s">
        <v>5</v>
      </c>
      <c r="H125" s="27" t="s">
        <v>43</v>
      </c>
      <c r="J125" s="27" t="s">
        <v>19</v>
      </c>
      <c r="K125" s="27">
        <v>0</v>
      </c>
      <c r="L125" s="27" t="s">
        <v>85</v>
      </c>
      <c r="M125" s="27" t="s">
        <v>97</v>
      </c>
      <c r="N125" s="27" t="s">
        <v>9</v>
      </c>
      <c r="O125" s="27" t="str">
        <f t="shared" ref="O125:O126" si="48">IF(K125="Not","No",IF(K125="n/a","N/A",IF(K125&gt;$Y$2,"Yes","No")))</f>
        <v>No</v>
      </c>
      <c r="Q125" s="27" t="s">
        <v>118</v>
      </c>
      <c r="R125" s="27" t="str">
        <f>IF(COUNTIF(R122:R124,"Yes"),"Yes","No")</f>
        <v>Yes</v>
      </c>
      <c r="S125" s="27" t="str">
        <f>IF(COUNTIF(S122:S124,"Yes"),"Yes","No")</f>
        <v>Yes</v>
      </c>
      <c r="U125" s="27" t="s">
        <v>164</v>
      </c>
      <c r="V125" s="27" t="s">
        <v>120</v>
      </c>
      <c r="W125" s="27" t="s">
        <v>9</v>
      </c>
      <c r="X125" s="27" t="str">
        <f t="shared" si="47"/>
        <v>N/A</v>
      </c>
    </row>
    <row r="126" spans="1:38" x14ac:dyDescent="0.2">
      <c r="A126" s="27" t="s">
        <v>70</v>
      </c>
      <c r="B126" s="27" t="s">
        <v>96</v>
      </c>
      <c r="C126" s="27">
        <v>1.7</v>
      </c>
      <c r="D126" s="27" t="s">
        <v>4</v>
      </c>
      <c r="E126" s="27" t="s">
        <v>5</v>
      </c>
      <c r="F126" s="27" t="str">
        <f t="shared" si="46"/>
        <v>Yes</v>
      </c>
      <c r="G126" s="27" t="s">
        <v>5</v>
      </c>
      <c r="H126" s="27" t="s">
        <v>43</v>
      </c>
      <c r="J126" s="27" t="s">
        <v>22</v>
      </c>
      <c r="K126" s="27">
        <v>1559</v>
      </c>
      <c r="L126" s="27" t="s">
        <v>85</v>
      </c>
      <c r="M126" s="27" t="s">
        <v>100</v>
      </c>
      <c r="N126" s="27" t="s">
        <v>9</v>
      </c>
      <c r="O126" s="27" t="str">
        <f t="shared" si="48"/>
        <v>No</v>
      </c>
      <c r="U126" s="27" t="s">
        <v>162</v>
      </c>
      <c r="V126" s="27" t="str">
        <f>R123</f>
        <v>Yes</v>
      </c>
      <c r="W126" s="27" t="str">
        <f>S123</f>
        <v>No</v>
      </c>
      <c r="X126" s="27" t="str">
        <f>IF(V126="N/A","N/A",IF(W126="N/A", "N/A", IF(V126=W126, "Yes","No")))</f>
        <v>No</v>
      </c>
    </row>
    <row r="127" spans="1:38" x14ac:dyDescent="0.2">
      <c r="A127" s="27" t="s">
        <v>70</v>
      </c>
      <c r="B127" s="27" t="s">
        <v>99</v>
      </c>
      <c r="C127" s="27">
        <v>1.3</v>
      </c>
      <c r="D127" s="27" t="s">
        <v>4</v>
      </c>
      <c r="E127" s="27" t="s">
        <v>5</v>
      </c>
      <c r="F127" s="27" t="str">
        <f t="shared" si="46"/>
        <v>Yes</v>
      </c>
      <c r="G127" s="27" t="s">
        <v>9</v>
      </c>
      <c r="H127" s="27" t="s">
        <v>43</v>
      </c>
      <c r="J127" s="27" t="s">
        <v>25</v>
      </c>
      <c r="K127" s="27">
        <v>0</v>
      </c>
      <c r="L127" s="27" t="s">
        <v>85</v>
      </c>
      <c r="M127" s="27" t="s">
        <v>103</v>
      </c>
      <c r="N127" s="27" t="s">
        <v>9</v>
      </c>
      <c r="O127" s="27" t="str">
        <f>IF(K127="Not","No",IF(K127="n/a","N/A",IF(K127&gt;$Y$5,"Yes","No")))</f>
        <v>No</v>
      </c>
      <c r="U127" s="27" t="s">
        <v>101</v>
      </c>
      <c r="V127" s="27" t="s">
        <v>5</v>
      </c>
      <c r="W127" s="27" t="s">
        <v>120</v>
      </c>
      <c r="X127" s="27" t="str">
        <f>IF(V127="N/A","N/A",IF(W127="N/A", "N/A", IF(V127=W127, "Yes","No")))</f>
        <v>N/A</v>
      </c>
    </row>
    <row r="128" spans="1:38" x14ac:dyDescent="0.2">
      <c r="A128" s="27" t="s">
        <v>70</v>
      </c>
      <c r="B128" s="27" t="s">
        <v>102</v>
      </c>
      <c r="C128" s="27">
        <v>2</v>
      </c>
      <c r="D128" s="27" t="s">
        <v>4</v>
      </c>
      <c r="E128" s="27" t="s">
        <v>5</v>
      </c>
      <c r="F128" s="27" t="str">
        <f t="shared" si="46"/>
        <v>Yes</v>
      </c>
      <c r="G128" s="27" t="s">
        <v>5</v>
      </c>
      <c r="H128" s="27" t="s">
        <v>43</v>
      </c>
      <c r="J128" s="27" t="s">
        <v>29</v>
      </c>
      <c r="K128" s="27">
        <v>9</v>
      </c>
      <c r="L128" s="27" t="s">
        <v>85</v>
      </c>
      <c r="M128" s="27" t="s">
        <v>105</v>
      </c>
      <c r="N128" s="27" t="s">
        <v>9</v>
      </c>
      <c r="O128" s="27" t="str">
        <f t="shared" ref="O128:O129" si="49">IF(K128="Not","No",IF(K128="n/a","N/A",IF(K128&gt;$Y$6,"Yes","No")))</f>
        <v>No</v>
      </c>
      <c r="U128" s="27" t="s">
        <v>104</v>
      </c>
      <c r="V128" s="27" t="s">
        <v>120</v>
      </c>
      <c r="W128" s="27" t="s">
        <v>9</v>
      </c>
      <c r="X128" s="27" t="str">
        <f>IF(V128="N/A","N/A",IF(W128="N/A", "N/A", IF(V128=W128, "Yes","No")))</f>
        <v>N/A</v>
      </c>
    </row>
    <row r="129" spans="1:38" x14ac:dyDescent="0.2">
      <c r="A129" s="27" t="s">
        <v>70</v>
      </c>
      <c r="B129" s="27" t="s">
        <v>102</v>
      </c>
      <c r="C129" s="27">
        <v>2.2999999999999998</v>
      </c>
      <c r="D129" s="27" t="s">
        <v>4</v>
      </c>
      <c r="E129" s="27" t="s">
        <v>5</v>
      </c>
      <c r="F129" s="27" t="str">
        <f t="shared" si="46"/>
        <v>Yes</v>
      </c>
      <c r="G129" s="27" t="s">
        <v>5</v>
      </c>
      <c r="H129" s="27" t="s">
        <v>43</v>
      </c>
      <c r="J129" s="27" t="s">
        <v>34</v>
      </c>
      <c r="K129" s="27">
        <v>14</v>
      </c>
      <c r="L129" s="27" t="s">
        <v>85</v>
      </c>
      <c r="M129" s="27" t="s">
        <v>107</v>
      </c>
      <c r="N129" s="27" t="s">
        <v>9</v>
      </c>
      <c r="O129" s="27" t="str">
        <f t="shared" si="49"/>
        <v>No</v>
      </c>
      <c r="U129" s="27" t="s">
        <v>106</v>
      </c>
      <c r="V129" s="27" t="str">
        <f>R124</f>
        <v>No</v>
      </c>
      <c r="W129" s="27" t="str">
        <f>S124</f>
        <v>No</v>
      </c>
      <c r="X129" s="27" t="str">
        <f>IF(V129="N/A","N/A",IF(W129="N/A", "N/A", IF(V129=W129, "Yes","No")))</f>
        <v>Yes</v>
      </c>
    </row>
    <row r="130" spans="1:38" x14ac:dyDescent="0.2">
      <c r="A130" s="27" t="s">
        <v>64</v>
      </c>
      <c r="B130" s="27" t="s">
        <v>99</v>
      </c>
      <c r="C130" s="27">
        <v>5.0999999999999996</v>
      </c>
      <c r="D130" s="27" t="s">
        <v>4</v>
      </c>
      <c r="E130" s="27" t="s">
        <v>5</v>
      </c>
      <c r="F130" s="27" t="str">
        <f t="shared" si="46"/>
        <v>Yes</v>
      </c>
      <c r="G130" s="27" t="s">
        <v>9</v>
      </c>
      <c r="H130" s="27" t="s">
        <v>43</v>
      </c>
      <c r="U130" s="27" t="s">
        <v>121</v>
      </c>
      <c r="V130" s="27" t="str">
        <f>R125</f>
        <v>Yes</v>
      </c>
      <c r="W130" s="27" t="str">
        <f>S125</f>
        <v>Yes</v>
      </c>
      <c r="X130" s="27" t="str">
        <f>IF(V130="N/A","N/A",IF(W130="N/A", "N/A", IF(V130=W130, "Yes","No")))</f>
        <v>Yes</v>
      </c>
    </row>
    <row r="131" spans="1:38" x14ac:dyDescent="0.2">
      <c r="A131" s="27" t="s">
        <v>64</v>
      </c>
      <c r="B131" s="27" t="s">
        <v>99</v>
      </c>
      <c r="C131" s="27">
        <v>5.6</v>
      </c>
      <c r="D131" s="27" t="s">
        <v>4</v>
      </c>
      <c r="E131" s="27" t="s">
        <v>5</v>
      </c>
      <c r="F131" s="27" t="str">
        <f t="shared" si="46"/>
        <v>Yes</v>
      </c>
      <c r="G131" s="27" t="s">
        <v>9</v>
      </c>
      <c r="H131" s="27" t="s">
        <v>43</v>
      </c>
    </row>
    <row r="132" spans="1:38" x14ac:dyDescent="0.2">
      <c r="A132" s="27" t="s">
        <v>64</v>
      </c>
      <c r="B132" s="27" t="s">
        <v>99</v>
      </c>
      <c r="C132" s="27">
        <v>5.0999999999999996</v>
      </c>
      <c r="D132" s="27" t="s">
        <v>4</v>
      </c>
      <c r="E132" s="27" t="s">
        <v>5</v>
      </c>
      <c r="F132" s="27" t="str">
        <f t="shared" si="46"/>
        <v>Yes</v>
      </c>
      <c r="G132" s="27" t="s">
        <v>5</v>
      </c>
      <c r="H132" s="27" t="s">
        <v>43</v>
      </c>
    </row>
    <row r="133" spans="1:38" x14ac:dyDescent="0.2">
      <c r="A133" s="27" t="s">
        <v>64</v>
      </c>
      <c r="B133" s="27" t="s">
        <v>102</v>
      </c>
      <c r="C133" s="27">
        <v>19.399999999999999</v>
      </c>
      <c r="D133" s="27" t="s">
        <v>4</v>
      </c>
      <c r="E133" s="27" t="s">
        <v>5</v>
      </c>
      <c r="F133" s="27" t="str">
        <f t="shared" si="46"/>
        <v>Yes</v>
      </c>
      <c r="G133" s="27" t="s">
        <v>9</v>
      </c>
      <c r="H133" s="27" t="s">
        <v>43</v>
      </c>
    </row>
    <row r="134" spans="1:38" x14ac:dyDescent="0.2">
      <c r="A134" s="27" t="s">
        <v>64</v>
      </c>
      <c r="B134" s="27" t="s">
        <v>102</v>
      </c>
      <c r="C134" s="27">
        <v>15.1</v>
      </c>
      <c r="D134" s="27" t="s">
        <v>4</v>
      </c>
      <c r="E134" s="27" t="s">
        <v>5</v>
      </c>
      <c r="F134" s="27" t="str">
        <f t="shared" si="46"/>
        <v>Yes</v>
      </c>
      <c r="G134" s="27" t="s">
        <v>9</v>
      </c>
      <c r="H134" s="27" t="s">
        <v>43</v>
      </c>
    </row>
    <row r="135" spans="1:38" x14ac:dyDescent="0.2">
      <c r="A135" s="27" t="s">
        <v>73</v>
      </c>
      <c r="B135" s="27" t="s">
        <v>108</v>
      </c>
      <c r="C135" s="27">
        <v>4.5</v>
      </c>
      <c r="D135" s="27" t="s">
        <v>4</v>
      </c>
      <c r="E135" s="27" t="s">
        <v>5</v>
      </c>
      <c r="F135" s="27" t="str">
        <f t="shared" si="46"/>
        <v>Yes</v>
      </c>
      <c r="G135" s="27" t="s">
        <v>9</v>
      </c>
    </row>
    <row r="136" spans="1:38" x14ac:dyDescent="0.2">
      <c r="A136" s="27" t="s">
        <v>109</v>
      </c>
      <c r="B136" s="27" t="s">
        <v>110</v>
      </c>
      <c r="C136" s="61">
        <v>10</v>
      </c>
      <c r="D136" s="27" t="s">
        <v>33</v>
      </c>
      <c r="E136" s="27" t="s">
        <v>5</v>
      </c>
      <c r="F136" s="27" t="str">
        <f>IF(C136&gt;$W$6,"Yes","No")</f>
        <v>No</v>
      </c>
      <c r="G136" s="27" t="s">
        <v>5</v>
      </c>
    </row>
    <row r="140" spans="1:38" x14ac:dyDescent="0.2">
      <c r="A140" s="57">
        <v>391</v>
      </c>
      <c r="B140" s="27" t="s">
        <v>111</v>
      </c>
      <c r="C140" s="27">
        <v>8</v>
      </c>
      <c r="J140" s="27">
        <v>2021.6010000000001</v>
      </c>
    </row>
    <row r="141" spans="1:38" x14ac:dyDescent="0.2">
      <c r="A141" s="59" t="s">
        <v>0</v>
      </c>
      <c r="E141" s="27" t="s">
        <v>274</v>
      </c>
      <c r="F141" s="27" t="s">
        <v>275</v>
      </c>
      <c r="G141" s="27" t="s">
        <v>119</v>
      </c>
      <c r="J141" s="59" t="s">
        <v>1</v>
      </c>
      <c r="N141" s="27" t="s">
        <v>277</v>
      </c>
      <c r="O141" s="27" t="s">
        <v>278</v>
      </c>
      <c r="Q141" s="59" t="s">
        <v>115</v>
      </c>
      <c r="R141" s="59" t="s">
        <v>0</v>
      </c>
      <c r="S141" s="59" t="s">
        <v>1</v>
      </c>
      <c r="U141" s="59" t="s">
        <v>115</v>
      </c>
      <c r="V141" s="59" t="s">
        <v>0</v>
      </c>
      <c r="W141" s="59" t="s">
        <v>1</v>
      </c>
      <c r="X141" s="59" t="s">
        <v>122</v>
      </c>
      <c r="AA141" s="27" t="str">
        <f>IF(R142="Yes","LRA-Soil","")</f>
        <v/>
      </c>
      <c r="AB141" s="27" t="str">
        <f>IF(R143="Yes","LRA-Paint","")</f>
        <v>LRA-Paint</v>
      </c>
      <c r="AC141" s="27" t="str">
        <f>IF(R144="Yes","LRA-Dust","")</f>
        <v/>
      </c>
      <c r="AD141" s="27" t="str">
        <f>IF(S142="Yes","LSK-Soil","")</f>
        <v/>
      </c>
      <c r="AE141" s="27" t="str">
        <f>IF(S143="Yes","LSK-Paint","")</f>
        <v/>
      </c>
      <c r="AF141" s="27" t="str">
        <f>IF(S144="Yes","LSK-Dust","")</f>
        <v/>
      </c>
      <c r="AI141" s="27" t="s">
        <v>46</v>
      </c>
      <c r="AJ141" s="27" t="s">
        <v>43</v>
      </c>
      <c r="AK141" s="27" t="s">
        <v>116</v>
      </c>
      <c r="AL141" s="27" t="s">
        <v>117</v>
      </c>
    </row>
    <row r="142" spans="1:38" x14ac:dyDescent="0.2">
      <c r="A142" s="27" t="s">
        <v>63</v>
      </c>
      <c r="B142" s="27" t="s">
        <v>89</v>
      </c>
      <c r="C142" s="27">
        <v>1.5</v>
      </c>
      <c r="D142" s="27" t="s">
        <v>4</v>
      </c>
      <c r="E142" s="27" t="s">
        <v>5</v>
      </c>
      <c r="F142" s="27" t="str">
        <f t="shared" ref="F142" si="50">IF(C142&gt;=$W$2,"Yes","No")</f>
        <v>Yes</v>
      </c>
      <c r="G142" s="27" t="s">
        <v>5</v>
      </c>
      <c r="H142" s="27" t="s">
        <v>46</v>
      </c>
      <c r="J142" s="27" t="s">
        <v>6</v>
      </c>
      <c r="K142" s="27">
        <v>79</v>
      </c>
      <c r="L142" s="27" t="s">
        <v>12</v>
      </c>
      <c r="M142" s="27" t="s">
        <v>112</v>
      </c>
      <c r="N142" s="27" t="s">
        <v>9</v>
      </c>
      <c r="O142" s="27" t="str">
        <f t="shared" ref="O142:O144" si="51">IF(K142="Not","No",IF(K142="n/a","N/A",IF(K142&gt;$Y$3,"Yes","No")))</f>
        <v>No</v>
      </c>
      <c r="Q142" s="27" t="s">
        <v>116</v>
      </c>
      <c r="R142" s="27" t="str">
        <f>_xlfn.XLOOKUP("ppm",D142:D145,F142:F145,"N/A")</f>
        <v>No</v>
      </c>
      <c r="S142" s="27" t="str">
        <f>IF(COUNTIF(O142:O144,"Yes"),"Yes","No")</f>
        <v>No</v>
      </c>
      <c r="U142" s="27" t="s">
        <v>92</v>
      </c>
      <c r="V142" s="27" t="s">
        <v>120</v>
      </c>
      <c r="W142" s="27" t="s">
        <v>120</v>
      </c>
      <c r="X142" s="27" t="str">
        <f>IF(V142="N/A","N/A",IF(W142="N/A", "N/A", IF(V142=W142, "Yes","No")))</f>
        <v>N/A</v>
      </c>
      <c r="AI142" s="27">
        <f>COUNTIF(H141:H145,"Exterior")</f>
        <v>1</v>
      </c>
      <c r="AJ142" s="27">
        <f>COUNTIF(H141:H145, "Interior")</f>
        <v>1</v>
      </c>
      <c r="AK142" s="27">
        <f>COUNTIFS(D141:D145,"ppm")+COUNTIFS(D141:D145,"mg/Kg")</f>
        <v>1</v>
      </c>
      <c r="AL142" s="27">
        <f>COUNTIF(D141:D145,"ug/ft2")</f>
        <v>1</v>
      </c>
    </row>
    <row r="143" spans="1:38" x14ac:dyDescent="0.2">
      <c r="A143" s="27" t="s">
        <v>75</v>
      </c>
      <c r="B143" s="27" t="s">
        <v>84</v>
      </c>
      <c r="C143" s="27">
        <v>28.6</v>
      </c>
      <c r="D143" s="27" t="s">
        <v>12</v>
      </c>
      <c r="E143" s="27" t="s">
        <v>9</v>
      </c>
      <c r="F143" s="27" t="str">
        <f>IF(C143&gt;$W$3,"Yes","No")</f>
        <v>No</v>
      </c>
      <c r="G143" s="27" t="s">
        <v>9</v>
      </c>
      <c r="J143" s="27" t="s">
        <v>11</v>
      </c>
      <c r="K143" s="27">
        <v>50.3</v>
      </c>
      <c r="L143" s="27" t="s">
        <v>12</v>
      </c>
      <c r="M143" s="27" t="s">
        <v>67</v>
      </c>
      <c r="N143" s="27" t="s">
        <v>9</v>
      </c>
      <c r="O143" s="27" t="str">
        <f t="shared" si="51"/>
        <v>No</v>
      </c>
      <c r="Q143" s="27" t="s">
        <v>98</v>
      </c>
      <c r="R143" s="27" t="str">
        <f>_xlfn.XLOOKUP("mg/cm2",D142:D145,G142:G145,"N/A")</f>
        <v>Yes</v>
      </c>
      <c r="S143" s="27" t="str">
        <f>IF(COUNTIF(O145:O146,"Yes"),"Yes","No")</f>
        <v>No</v>
      </c>
      <c r="U143" s="27" t="s">
        <v>95</v>
      </c>
      <c r="V143" s="27" t="str">
        <f>R142</f>
        <v>No</v>
      </c>
      <c r="W143" s="27" t="str">
        <f>S142</f>
        <v>No</v>
      </c>
      <c r="X143" s="27" t="str">
        <f t="shared" ref="X143:X145" si="52">IF(V143="N/A","N/A",IF(W143="N/A", "N/A", IF(V143=W143, "Yes","No")))</f>
        <v>Yes</v>
      </c>
    </row>
    <row r="144" spans="1:38" x14ac:dyDescent="0.2">
      <c r="A144" s="27" t="s">
        <v>113</v>
      </c>
      <c r="B144" s="27" t="s">
        <v>102</v>
      </c>
      <c r="C144" s="27">
        <v>3.3</v>
      </c>
      <c r="D144" s="27" t="s">
        <v>4</v>
      </c>
      <c r="E144" s="27" t="s">
        <v>5</v>
      </c>
      <c r="F144" s="27" t="str">
        <f t="shared" ref="F144" si="53">IF(C144&gt;=$W$2,"Yes","No")</f>
        <v>Yes</v>
      </c>
      <c r="G144" s="27" t="s">
        <v>5</v>
      </c>
      <c r="H144" s="27" t="s">
        <v>43</v>
      </c>
      <c r="J144" s="27" t="s">
        <v>15</v>
      </c>
      <c r="K144" s="27">
        <v>46</v>
      </c>
      <c r="L144" s="27" t="s">
        <v>12</v>
      </c>
      <c r="M144" s="27" t="s">
        <v>114</v>
      </c>
      <c r="N144" s="27" t="s">
        <v>9</v>
      </c>
      <c r="O144" s="27" t="str">
        <f t="shared" si="51"/>
        <v>No</v>
      </c>
      <c r="Q144" s="27" t="s">
        <v>117</v>
      </c>
      <c r="R144" s="27" t="str">
        <f>_xlfn.XLOOKUP("ug/ft2",D142:D145,F142:F145,"N/A")</f>
        <v>No</v>
      </c>
      <c r="S144" s="27" t="str">
        <f>IF(COUNTIF(O147:O149,"Yes"),"Yes","No")</f>
        <v>No</v>
      </c>
      <c r="U144" s="27" t="s">
        <v>163</v>
      </c>
      <c r="V144" s="27" t="s">
        <v>5</v>
      </c>
      <c r="W144" s="27" t="s">
        <v>9</v>
      </c>
      <c r="X144" s="27" t="str">
        <f t="shared" si="52"/>
        <v>No</v>
      </c>
    </row>
    <row r="145" spans="1:38" x14ac:dyDescent="0.2">
      <c r="A145" s="27" t="s">
        <v>71</v>
      </c>
      <c r="B145" s="27" t="s">
        <v>110</v>
      </c>
      <c r="C145" s="27">
        <v>6.8</v>
      </c>
      <c r="D145" s="27" t="s">
        <v>33</v>
      </c>
      <c r="E145" s="27" t="s">
        <v>9</v>
      </c>
      <c r="F145" s="27" t="str">
        <f>IF(C145&gt;$W$6,"Yes","No")</f>
        <v>No</v>
      </c>
      <c r="G145" s="27" t="s">
        <v>9</v>
      </c>
      <c r="J145" s="27" t="s">
        <v>19</v>
      </c>
      <c r="K145" s="27">
        <v>18</v>
      </c>
      <c r="L145" s="27" t="s">
        <v>12</v>
      </c>
      <c r="M145" s="27" t="s">
        <v>43</v>
      </c>
      <c r="N145" s="27" t="s">
        <v>9</v>
      </c>
      <c r="O145" s="27" t="str">
        <f t="shared" ref="O145:O146" si="54">IF(K145="Not","No",IF(K145="n/a","N/A",IF(K145&gt;$Y$2,"Yes","No")))</f>
        <v>No</v>
      </c>
      <c r="Q145" s="27" t="s">
        <v>118</v>
      </c>
      <c r="R145" s="27" t="str">
        <f>IF(COUNTIF(R142:R144,"Yes"),"Yes","No")</f>
        <v>Yes</v>
      </c>
      <c r="S145" s="27" t="str">
        <f>IF(COUNTIF(S142:S144,"Yes"),"Yes","No")</f>
        <v>No</v>
      </c>
      <c r="U145" s="27" t="s">
        <v>164</v>
      </c>
      <c r="V145" s="27" t="s">
        <v>5</v>
      </c>
      <c r="W145" s="27" t="s">
        <v>9</v>
      </c>
      <c r="X145" s="27" t="str">
        <f t="shared" si="52"/>
        <v>No</v>
      </c>
    </row>
    <row r="146" spans="1:38" x14ac:dyDescent="0.2">
      <c r="J146" s="27" t="s">
        <v>22</v>
      </c>
      <c r="K146" s="27" t="s">
        <v>44</v>
      </c>
      <c r="L146" s="27" t="s">
        <v>45</v>
      </c>
      <c r="M146" s="27" t="s">
        <v>46</v>
      </c>
      <c r="N146" s="27" t="s">
        <v>9</v>
      </c>
      <c r="O146" s="27" t="str">
        <f t="shared" si="54"/>
        <v>No</v>
      </c>
      <c r="U146" s="27" t="s">
        <v>162</v>
      </c>
      <c r="V146" s="27" t="str">
        <f>R143</f>
        <v>Yes</v>
      </c>
      <c r="W146" s="27" t="str">
        <f>S143</f>
        <v>No</v>
      </c>
      <c r="X146" s="27" t="str">
        <f>IF(V146="N/A","N/A",IF(W146="N/A", "N/A", IF(V146=W146, "Yes","No")))</f>
        <v>No</v>
      </c>
    </row>
    <row r="147" spans="1:38" x14ac:dyDescent="0.2">
      <c r="J147" s="27" t="s">
        <v>25</v>
      </c>
      <c r="K147" s="27" t="s">
        <v>65</v>
      </c>
      <c r="M147" s="27" t="s">
        <v>66</v>
      </c>
      <c r="N147" s="27" t="s">
        <v>9</v>
      </c>
      <c r="O147" s="27" t="str">
        <f t="shared" ref="O147:O149" si="55">IF(K147="Not","No",IF(K147="n/a","N/A",IF(K147&gt;$Y$6,"Yes","No")))</f>
        <v>N/A</v>
      </c>
      <c r="U147" s="27" t="s">
        <v>101</v>
      </c>
      <c r="V147" s="27" t="s">
        <v>9</v>
      </c>
      <c r="W147" s="27" t="s">
        <v>120</v>
      </c>
      <c r="X147" s="27" t="str">
        <f>IF(V147="N/A","N/A",IF(W147="N/A", "N/A", IF(V147=W147, "Yes","No")))</f>
        <v>N/A</v>
      </c>
    </row>
    <row r="148" spans="1:38" x14ac:dyDescent="0.2">
      <c r="J148" s="27" t="s">
        <v>29</v>
      </c>
      <c r="K148" s="27" t="s">
        <v>65</v>
      </c>
      <c r="M148" s="27" t="s">
        <v>66</v>
      </c>
      <c r="N148" s="27" t="s">
        <v>9</v>
      </c>
      <c r="O148" s="27" t="str">
        <f t="shared" si="55"/>
        <v>N/A</v>
      </c>
      <c r="U148" s="27" t="s">
        <v>104</v>
      </c>
      <c r="V148" s="27" t="s">
        <v>120</v>
      </c>
      <c r="W148" s="27" t="s">
        <v>120</v>
      </c>
      <c r="X148" s="27" t="str">
        <f>IF(V148="N/A","N/A",IF(W148="N/A", "N/A", IF(V148=W148, "Yes","No")))</f>
        <v>N/A</v>
      </c>
    </row>
    <row r="149" spans="1:38" x14ac:dyDescent="0.2">
      <c r="J149" s="27" t="s">
        <v>34</v>
      </c>
      <c r="K149" s="27" t="s">
        <v>65</v>
      </c>
      <c r="M149" s="27" t="s">
        <v>66</v>
      </c>
      <c r="N149" s="27" t="s">
        <v>9</v>
      </c>
      <c r="O149" s="27" t="str">
        <f t="shared" si="55"/>
        <v>N/A</v>
      </c>
      <c r="U149" s="27" t="s">
        <v>106</v>
      </c>
      <c r="V149" s="27" t="str">
        <f>R144</f>
        <v>No</v>
      </c>
      <c r="W149" s="27" t="s">
        <v>120</v>
      </c>
      <c r="X149" s="27" t="str">
        <f>IF(V149="N/A","N/A",IF(W149="N/A", "N/A", IF(V149=W149, "Yes","No")))</f>
        <v>N/A</v>
      </c>
    </row>
    <row r="150" spans="1:38" x14ac:dyDescent="0.2">
      <c r="U150" s="27" t="s">
        <v>121</v>
      </c>
      <c r="V150" s="27" t="str">
        <f>R145</f>
        <v>Yes</v>
      </c>
      <c r="W150" s="27" t="str">
        <f>S145</f>
        <v>No</v>
      </c>
      <c r="X150" s="27" t="str">
        <f>IF(V150="N/A","N/A",IF(W150="N/A", "N/A", IF(V150=W150, "Yes","No")))</f>
        <v>No</v>
      </c>
    </row>
    <row r="152" spans="1:38" x14ac:dyDescent="0.2">
      <c r="A152" s="27">
        <v>980</v>
      </c>
      <c r="B152" s="27" t="s">
        <v>152</v>
      </c>
      <c r="C152" s="27">
        <v>9</v>
      </c>
    </row>
    <row r="153" spans="1:38" x14ac:dyDescent="0.2">
      <c r="A153" s="59" t="s">
        <v>0</v>
      </c>
      <c r="E153" s="27" t="s">
        <v>274</v>
      </c>
      <c r="F153" s="27" t="s">
        <v>275</v>
      </c>
      <c r="G153" s="27" t="s">
        <v>119</v>
      </c>
      <c r="J153" s="59" t="s">
        <v>1</v>
      </c>
      <c r="N153" s="27" t="s">
        <v>277</v>
      </c>
      <c r="O153" s="27" t="s">
        <v>278</v>
      </c>
      <c r="Q153" s="59" t="s">
        <v>115</v>
      </c>
      <c r="R153" s="59" t="s">
        <v>0</v>
      </c>
      <c r="S153" s="59" t="s">
        <v>1</v>
      </c>
      <c r="U153" s="59" t="s">
        <v>115</v>
      </c>
      <c r="V153" s="59" t="s">
        <v>0</v>
      </c>
      <c r="W153" s="59" t="s">
        <v>1</v>
      </c>
      <c r="X153" s="59" t="s">
        <v>122</v>
      </c>
      <c r="AA153" s="27" t="str">
        <f>IF(R154="Yes","LRA-Soil","")</f>
        <v>LRA-Soil</v>
      </c>
      <c r="AB153" s="27" t="str">
        <f>IF(R155="Yes","LRA-Paint","")</f>
        <v>LRA-Paint</v>
      </c>
      <c r="AC153" s="27" t="str">
        <f>IF(R156="Yes","LRA-Dust","")</f>
        <v>LRA-Dust</v>
      </c>
      <c r="AD153" s="27" t="str">
        <f>IF(S154="Yes","LSK-Soil","")</f>
        <v>LSK-Soil</v>
      </c>
      <c r="AE153" s="27" t="str">
        <f>IF(S155="Yes","LSK-Paint","")</f>
        <v>LSK-Paint</v>
      </c>
      <c r="AF153" s="27" t="str">
        <f>IF(S156="Yes","LSK-Dust","")</f>
        <v>LSK-Dust</v>
      </c>
      <c r="AI153" s="27" t="s">
        <v>46</v>
      </c>
      <c r="AJ153" s="27" t="s">
        <v>43</v>
      </c>
      <c r="AK153" s="27" t="s">
        <v>116</v>
      </c>
      <c r="AL153" s="27" t="s">
        <v>117</v>
      </c>
    </row>
    <row r="154" spans="1:38" x14ac:dyDescent="0.2">
      <c r="A154" s="27" t="s">
        <v>153</v>
      </c>
      <c r="B154" s="27" t="s">
        <v>64</v>
      </c>
      <c r="C154" s="27">
        <v>24.3</v>
      </c>
      <c r="D154" s="27" t="s">
        <v>4</v>
      </c>
      <c r="E154" s="27" t="s">
        <v>5</v>
      </c>
      <c r="F154" s="27" t="str">
        <f t="shared" ref="F154:F167" si="56">IF(C154&gt;=$W$2,"Yes","No")</f>
        <v>Yes</v>
      </c>
      <c r="G154" s="27" t="s">
        <v>5</v>
      </c>
      <c r="H154" s="27" t="s">
        <v>46</v>
      </c>
      <c r="J154" s="27" t="s">
        <v>6</v>
      </c>
      <c r="K154" s="27">
        <v>469</v>
      </c>
      <c r="L154" s="27" t="s">
        <v>12</v>
      </c>
      <c r="M154" s="27" t="s">
        <v>160</v>
      </c>
      <c r="N154" s="27" t="s">
        <v>9</v>
      </c>
      <c r="O154" s="27" t="str">
        <f t="shared" ref="O154:O156" si="57">IF(K154="Not","No",IF(K154="n/a","N/A",IF(K154&gt;$Y$3,"Yes","No")))</f>
        <v>Yes</v>
      </c>
      <c r="Q154" s="27" t="s">
        <v>116</v>
      </c>
      <c r="R154" s="27" t="str">
        <f>_xlfn.XLOOKUP("mg/Kg",D154:D185,F154:F185,"N/A")</f>
        <v>Yes</v>
      </c>
      <c r="S154" s="27" t="str">
        <f>IF(COUNTIF(O154:O156,"Yes"),"Yes","No")</f>
        <v>Yes</v>
      </c>
      <c r="U154" s="27" t="s">
        <v>92</v>
      </c>
      <c r="V154" s="27" t="s">
        <v>120</v>
      </c>
      <c r="W154" s="27" t="s">
        <v>5</v>
      </c>
      <c r="X154" s="27" t="str">
        <f>IF(V154="N/A","N/A",IF(W154="N/A", "N/A", IF(V154=W154, "Yes","No")))</f>
        <v>N/A</v>
      </c>
      <c r="AI154" s="27">
        <f>COUNTIF(H153:H185,"Exterior")</f>
        <v>14</v>
      </c>
      <c r="AJ154" s="27">
        <f>COUNTIF(H153:H185, "Interior")</f>
        <v>10</v>
      </c>
      <c r="AK154" s="27">
        <f>COUNTIFS(D153:D185,"ppm")+COUNTIFS(D153:D185,"mg/Kg")</f>
        <v>1</v>
      </c>
      <c r="AL154" s="27">
        <f>COUNTIF(D153:D185,"ug/ft2")</f>
        <v>6</v>
      </c>
    </row>
    <row r="155" spans="1:38" x14ac:dyDescent="0.2">
      <c r="A155" s="27" t="s">
        <v>153</v>
      </c>
      <c r="B155" s="27" t="s">
        <v>24</v>
      </c>
      <c r="C155" s="27">
        <v>3.2</v>
      </c>
      <c r="D155" s="27" t="s">
        <v>4</v>
      </c>
      <c r="E155" s="27" t="s">
        <v>5</v>
      </c>
      <c r="F155" s="27" t="str">
        <f t="shared" si="56"/>
        <v>Yes</v>
      </c>
      <c r="G155" s="27" t="s">
        <v>5</v>
      </c>
      <c r="H155" s="27" t="s">
        <v>46</v>
      </c>
      <c r="J155" s="27" t="s">
        <v>11</v>
      </c>
      <c r="K155" s="27">
        <v>1183</v>
      </c>
      <c r="L155" s="27" t="s">
        <v>12</v>
      </c>
      <c r="M155" s="27" t="s">
        <v>161</v>
      </c>
      <c r="N155" s="27" t="s">
        <v>5</v>
      </c>
      <c r="O155" s="27" t="str">
        <f t="shared" si="57"/>
        <v>Yes</v>
      </c>
      <c r="Q155" s="27" t="s">
        <v>98</v>
      </c>
      <c r="R155" s="27" t="str">
        <f>_xlfn.XLOOKUP("mg/cm2",D154:D185,G154:G185,"N/A")</f>
        <v>Yes</v>
      </c>
      <c r="S155" s="27" t="str">
        <f>IF(COUNTIF(O157:O158,"Yes"),"Yes","No")</f>
        <v>Yes</v>
      </c>
      <c r="U155" s="27" t="s">
        <v>95</v>
      </c>
      <c r="V155" s="27" t="str">
        <f>R154</f>
        <v>Yes</v>
      </c>
      <c r="W155" s="27" t="str">
        <f>S154</f>
        <v>Yes</v>
      </c>
      <c r="X155" s="27" t="str">
        <f t="shared" ref="X155:X158" si="58">IF(V155="N/A","N/A",IF(W155="N/A", "N/A", IF(V155=W155, "Yes","No")))</f>
        <v>Yes</v>
      </c>
    </row>
    <row r="156" spans="1:38" x14ac:dyDescent="0.2">
      <c r="A156" s="27" t="s">
        <v>62</v>
      </c>
      <c r="B156" s="27" t="s">
        <v>24</v>
      </c>
      <c r="C156" s="27">
        <v>2.5</v>
      </c>
      <c r="D156" s="27" t="s">
        <v>4</v>
      </c>
      <c r="E156" s="27" t="s">
        <v>5</v>
      </c>
      <c r="F156" s="27" t="str">
        <f t="shared" si="56"/>
        <v>Yes</v>
      </c>
      <c r="G156" s="27" t="s">
        <v>5</v>
      </c>
      <c r="H156" s="27" t="s">
        <v>46</v>
      </c>
      <c r="J156" s="27" t="s">
        <v>15</v>
      </c>
      <c r="K156" s="27">
        <v>54</v>
      </c>
      <c r="L156" s="27" t="s">
        <v>12</v>
      </c>
      <c r="M156" s="27" t="s">
        <v>41</v>
      </c>
      <c r="N156" s="27" t="s">
        <v>9</v>
      </c>
      <c r="O156" s="27" t="str">
        <f t="shared" si="57"/>
        <v>No</v>
      </c>
      <c r="Q156" s="27" t="s">
        <v>117</v>
      </c>
      <c r="R156" s="27" t="str">
        <f>_xlfn.XLOOKUP("ug/ft2",D154:D185,F154:F185,"N/A")</f>
        <v>Yes</v>
      </c>
      <c r="S156" s="27" t="str">
        <f>IF(COUNTIF(O159:O161,"Yes"),"Yes","No")</f>
        <v>Yes</v>
      </c>
      <c r="U156" s="27" t="s">
        <v>163</v>
      </c>
      <c r="V156" s="27" t="s">
        <v>5</v>
      </c>
      <c r="W156" s="27" t="s">
        <v>5</v>
      </c>
      <c r="X156" s="27" t="str">
        <f t="shared" si="58"/>
        <v>Yes</v>
      </c>
    </row>
    <row r="157" spans="1:38" x14ac:dyDescent="0.2">
      <c r="A157" s="27" t="s">
        <v>62</v>
      </c>
      <c r="B157" s="27" t="s">
        <v>24</v>
      </c>
      <c r="C157" s="27">
        <v>1.7</v>
      </c>
      <c r="D157" s="27" t="s">
        <v>4</v>
      </c>
      <c r="E157" s="27" t="s">
        <v>5</v>
      </c>
      <c r="F157" s="27" t="str">
        <f t="shared" si="56"/>
        <v>Yes</v>
      </c>
      <c r="G157" s="27" t="s">
        <v>5</v>
      </c>
      <c r="H157" s="27" t="s">
        <v>46</v>
      </c>
      <c r="J157" s="27" t="s">
        <v>19</v>
      </c>
      <c r="K157" s="27">
        <v>13029</v>
      </c>
      <c r="L157" s="27" t="s">
        <v>12</v>
      </c>
      <c r="M157" s="27" t="s">
        <v>279</v>
      </c>
      <c r="N157" s="27" t="s">
        <v>5</v>
      </c>
      <c r="O157" s="27" t="str">
        <f t="shared" ref="O157:O158" si="59">IF(K157="Not","No",IF(K157="n/a","N/A",IF(K157&gt;$Y$2,"Yes","No")))</f>
        <v>Yes</v>
      </c>
      <c r="Q157" s="27" t="s">
        <v>118</v>
      </c>
      <c r="R157" s="27" t="str">
        <f>IF(COUNTIF(R154:R156,"Yes"),"Yes","No")</f>
        <v>Yes</v>
      </c>
      <c r="S157" s="27" t="str">
        <f>IF(COUNTIF(S154:S156,"Yes"),"Yes","No")</f>
        <v>Yes</v>
      </c>
      <c r="U157" s="27" t="s">
        <v>164</v>
      </c>
      <c r="V157" s="27" t="s">
        <v>5</v>
      </c>
      <c r="W157" s="27" t="s">
        <v>5</v>
      </c>
      <c r="X157" s="27" t="str">
        <f t="shared" si="58"/>
        <v>Yes</v>
      </c>
    </row>
    <row r="158" spans="1:38" x14ac:dyDescent="0.2">
      <c r="A158" s="27" t="s">
        <v>63</v>
      </c>
      <c r="B158" s="27" t="s">
        <v>3</v>
      </c>
      <c r="C158" s="27">
        <v>28.9</v>
      </c>
      <c r="D158" s="27" t="s">
        <v>4</v>
      </c>
      <c r="E158" s="27" t="s">
        <v>5</v>
      </c>
      <c r="F158" s="27" t="str">
        <f t="shared" si="56"/>
        <v>Yes</v>
      </c>
      <c r="G158" s="27" t="s">
        <v>5</v>
      </c>
      <c r="H158" s="27" t="s">
        <v>46</v>
      </c>
      <c r="J158" s="27" t="s">
        <v>22</v>
      </c>
      <c r="K158" s="27">
        <v>251535</v>
      </c>
      <c r="L158" s="27" t="s">
        <v>12</v>
      </c>
      <c r="M158" s="27" t="s">
        <v>280</v>
      </c>
      <c r="N158" s="27" t="s">
        <v>5</v>
      </c>
      <c r="O158" s="27" t="str">
        <f t="shared" si="59"/>
        <v>Yes</v>
      </c>
      <c r="U158" s="27" t="s">
        <v>162</v>
      </c>
      <c r="V158" s="27" t="str">
        <f>R155</f>
        <v>Yes</v>
      </c>
      <c r="W158" s="27" t="str">
        <f>S155</f>
        <v>Yes</v>
      </c>
      <c r="X158" s="27" t="str">
        <f t="shared" si="58"/>
        <v>Yes</v>
      </c>
    </row>
    <row r="159" spans="1:38" x14ac:dyDescent="0.2">
      <c r="A159" s="27" t="s">
        <v>63</v>
      </c>
      <c r="B159" s="27" t="s">
        <v>10</v>
      </c>
      <c r="C159" s="27">
        <v>28.4</v>
      </c>
      <c r="D159" s="27" t="s">
        <v>4</v>
      </c>
      <c r="E159" s="27" t="s">
        <v>5</v>
      </c>
      <c r="F159" s="27" t="str">
        <f t="shared" si="56"/>
        <v>Yes</v>
      </c>
      <c r="G159" s="27" t="s">
        <v>5</v>
      </c>
      <c r="H159" s="27" t="s">
        <v>46</v>
      </c>
      <c r="J159" s="27" t="s">
        <v>25</v>
      </c>
      <c r="K159" s="27">
        <v>229</v>
      </c>
      <c r="L159" s="27" t="s">
        <v>12</v>
      </c>
      <c r="M159" s="27" t="s">
        <v>59</v>
      </c>
      <c r="N159" s="27" t="s">
        <v>9</v>
      </c>
      <c r="O159" s="27" t="str">
        <f>IF(K159="Not","No",IF(K159="n/a","N/A",IF(K159&gt;$Y$5,"Yes","No")))</f>
        <v>No</v>
      </c>
      <c r="U159" s="27" t="s">
        <v>101</v>
      </c>
      <c r="V159" s="27" t="s">
        <v>5</v>
      </c>
      <c r="W159" s="27" t="s">
        <v>5</v>
      </c>
      <c r="X159" s="27" t="str">
        <f>IF(V159="N/A","N/A",IF(W159="N/A", "N/A", IF(V159=W159, "Yes","No")))</f>
        <v>Yes</v>
      </c>
    </row>
    <row r="160" spans="1:38" x14ac:dyDescent="0.2">
      <c r="A160" s="27" t="s">
        <v>63</v>
      </c>
      <c r="B160" s="27" t="s">
        <v>10</v>
      </c>
      <c r="C160" s="27">
        <v>26</v>
      </c>
      <c r="D160" s="27" t="s">
        <v>4</v>
      </c>
      <c r="E160" s="27" t="s">
        <v>5</v>
      </c>
      <c r="F160" s="27" t="str">
        <f t="shared" si="56"/>
        <v>Yes</v>
      </c>
      <c r="G160" s="27" t="s">
        <v>5</v>
      </c>
      <c r="H160" s="27" t="s">
        <v>46</v>
      </c>
      <c r="J160" s="27" t="s">
        <v>29</v>
      </c>
      <c r="K160" s="27">
        <v>17</v>
      </c>
      <c r="L160" s="27" t="s">
        <v>12</v>
      </c>
      <c r="M160" s="27" t="s">
        <v>72</v>
      </c>
      <c r="N160" s="27" t="s">
        <v>9</v>
      </c>
      <c r="O160" s="27" t="str">
        <f t="shared" ref="O160:O161" si="60">IF(K160="Not","No",IF(K160="n/a","N/A",IF(K160&gt;$Y$6,"Yes","No")))</f>
        <v>No</v>
      </c>
      <c r="U160" s="27" t="s">
        <v>104</v>
      </c>
      <c r="V160" s="27" t="s">
        <v>5</v>
      </c>
      <c r="W160" s="27" t="s">
        <v>9</v>
      </c>
      <c r="X160" s="27" t="str">
        <f>IF(V160="N/A","N/A",IF(W160="N/A", "N/A", IF(V160=W160, "Yes","No")))</f>
        <v>No</v>
      </c>
    </row>
    <row r="161" spans="1:24" x14ac:dyDescent="0.2">
      <c r="A161" s="27" t="s">
        <v>63</v>
      </c>
      <c r="B161" s="27" t="s">
        <v>24</v>
      </c>
      <c r="C161" s="27">
        <v>30.2</v>
      </c>
      <c r="D161" s="27" t="s">
        <v>4</v>
      </c>
      <c r="E161" s="27" t="s">
        <v>5</v>
      </c>
      <c r="F161" s="27" t="str">
        <f t="shared" si="56"/>
        <v>Yes</v>
      </c>
      <c r="G161" s="27" t="s">
        <v>5</v>
      </c>
      <c r="H161" s="27" t="s">
        <v>46</v>
      </c>
      <c r="J161" s="27" t="s">
        <v>34</v>
      </c>
      <c r="K161" s="27">
        <v>729</v>
      </c>
      <c r="L161" s="27" t="s">
        <v>12</v>
      </c>
      <c r="M161" s="27" t="s">
        <v>74</v>
      </c>
      <c r="N161" s="27" t="s">
        <v>5</v>
      </c>
      <c r="O161" s="27" t="str">
        <f t="shared" si="60"/>
        <v>Yes</v>
      </c>
      <c r="U161" s="27" t="s">
        <v>106</v>
      </c>
      <c r="V161" s="27" t="str">
        <f>R156</f>
        <v>Yes</v>
      </c>
      <c r="W161" s="27" t="str">
        <f>S156</f>
        <v>Yes</v>
      </c>
      <c r="X161" s="27" t="str">
        <f>IF(V161="N/A","N/A",IF(W161="N/A", "N/A", IF(V161=W161, "Yes","No")))</f>
        <v>Yes</v>
      </c>
    </row>
    <row r="162" spans="1:24" x14ac:dyDescent="0.2">
      <c r="A162" s="27" t="s">
        <v>63</v>
      </c>
      <c r="B162" s="27" t="s">
        <v>24</v>
      </c>
      <c r="C162" s="27">
        <v>25.7</v>
      </c>
      <c r="D162" s="27" t="s">
        <v>4</v>
      </c>
      <c r="E162" s="27" t="s">
        <v>5</v>
      </c>
      <c r="F162" s="27" t="str">
        <f t="shared" si="56"/>
        <v>Yes</v>
      </c>
      <c r="G162" s="27" t="s">
        <v>5</v>
      </c>
      <c r="H162" s="27" t="s">
        <v>46</v>
      </c>
      <c r="U162" s="27" t="s">
        <v>121</v>
      </c>
      <c r="V162" s="27" t="str">
        <f>R157</f>
        <v>Yes</v>
      </c>
      <c r="W162" s="27" t="str">
        <f>S157</f>
        <v>Yes</v>
      </c>
      <c r="X162" s="27" t="str">
        <f>IF(V162="N/A","N/A",IF(W162="N/A", "N/A", IF(V162=W162, "Yes","No")))</f>
        <v>Yes</v>
      </c>
    </row>
    <row r="163" spans="1:24" x14ac:dyDescent="0.2">
      <c r="A163" s="27" t="s">
        <v>63</v>
      </c>
      <c r="B163" s="27" t="s">
        <v>24</v>
      </c>
      <c r="C163" s="27">
        <v>28.1</v>
      </c>
      <c r="D163" s="27" t="s">
        <v>4</v>
      </c>
      <c r="E163" s="27" t="s">
        <v>5</v>
      </c>
      <c r="F163" s="27" t="str">
        <f t="shared" si="56"/>
        <v>Yes</v>
      </c>
      <c r="G163" s="27" t="s">
        <v>5</v>
      </c>
      <c r="H163" s="27" t="s">
        <v>46</v>
      </c>
    </row>
    <row r="164" spans="1:24" x14ac:dyDescent="0.2">
      <c r="A164" s="27" t="s">
        <v>63</v>
      </c>
      <c r="B164" s="27" t="s">
        <v>24</v>
      </c>
      <c r="C164" s="27">
        <v>28.5</v>
      </c>
      <c r="D164" s="27" t="s">
        <v>4</v>
      </c>
      <c r="E164" s="27" t="s">
        <v>5</v>
      </c>
      <c r="F164" s="27" t="str">
        <f t="shared" si="56"/>
        <v>Yes</v>
      </c>
      <c r="G164" s="27" t="s">
        <v>5</v>
      </c>
      <c r="H164" s="27" t="s">
        <v>46</v>
      </c>
    </row>
    <row r="165" spans="1:24" x14ac:dyDescent="0.2">
      <c r="A165" s="27" t="s">
        <v>63</v>
      </c>
      <c r="B165" s="27" t="s">
        <v>24</v>
      </c>
      <c r="C165" s="27">
        <v>31.9</v>
      </c>
      <c r="D165" s="27" t="s">
        <v>4</v>
      </c>
      <c r="E165" s="27" t="s">
        <v>5</v>
      </c>
      <c r="F165" s="27" t="str">
        <f t="shared" si="56"/>
        <v>Yes</v>
      </c>
      <c r="G165" s="27" t="s">
        <v>5</v>
      </c>
      <c r="H165" s="27" t="s">
        <v>46</v>
      </c>
    </row>
    <row r="166" spans="1:24" x14ac:dyDescent="0.2">
      <c r="A166" s="27" t="s">
        <v>63</v>
      </c>
      <c r="B166" s="27" t="s">
        <v>24</v>
      </c>
      <c r="C166" s="27">
        <v>35.9</v>
      </c>
      <c r="D166" s="27" t="s">
        <v>4</v>
      </c>
      <c r="E166" s="27" t="s">
        <v>5</v>
      </c>
      <c r="F166" s="27" t="str">
        <f t="shared" si="56"/>
        <v>Yes</v>
      </c>
      <c r="G166" s="27" t="s">
        <v>5</v>
      </c>
      <c r="H166" s="27" t="s">
        <v>46</v>
      </c>
    </row>
    <row r="167" spans="1:24" x14ac:dyDescent="0.2">
      <c r="A167" s="27" t="s">
        <v>154</v>
      </c>
      <c r="B167" s="27" t="s">
        <v>155</v>
      </c>
      <c r="C167" s="27">
        <v>2.2000000000000002</v>
      </c>
      <c r="D167" s="27" t="s">
        <v>4</v>
      </c>
      <c r="E167" s="27" t="s">
        <v>5</v>
      </c>
      <c r="F167" s="27" t="str">
        <f t="shared" si="56"/>
        <v>Yes</v>
      </c>
      <c r="G167" s="27" t="s">
        <v>5</v>
      </c>
      <c r="H167" s="27" t="s">
        <v>46</v>
      </c>
    </row>
    <row r="168" spans="1:24" x14ac:dyDescent="0.2">
      <c r="A168" s="27" t="s">
        <v>68</v>
      </c>
      <c r="B168" s="27" t="s">
        <v>69</v>
      </c>
      <c r="C168" s="27">
        <v>998</v>
      </c>
      <c r="D168" s="27" t="s">
        <v>37</v>
      </c>
      <c r="E168" s="27" t="s">
        <v>9</v>
      </c>
      <c r="F168" s="27" t="str">
        <f>IF(C168&gt;$W$3,"Yes","No")</f>
        <v>Yes</v>
      </c>
      <c r="G168" s="27" t="s">
        <v>9</v>
      </c>
    </row>
    <row r="169" spans="1:24" x14ac:dyDescent="0.2">
      <c r="A169" s="27" t="s">
        <v>156</v>
      </c>
      <c r="B169" s="27" t="s">
        <v>24</v>
      </c>
      <c r="C169" s="27">
        <v>1.4</v>
      </c>
      <c r="D169" s="27" t="s">
        <v>4</v>
      </c>
      <c r="E169" s="27" t="s">
        <v>5</v>
      </c>
      <c r="F169" s="27" t="str">
        <f t="shared" ref="F169:F179" si="61">IF(C169&gt;=$W$2,"Yes","No")</f>
        <v>Yes</v>
      </c>
      <c r="G169" s="27" t="s">
        <v>9</v>
      </c>
      <c r="H169" s="27" t="s">
        <v>43</v>
      </c>
    </row>
    <row r="170" spans="1:24" x14ac:dyDescent="0.2">
      <c r="A170" s="27" t="s">
        <v>156</v>
      </c>
      <c r="B170" s="27" t="s">
        <v>24</v>
      </c>
      <c r="C170" s="27">
        <v>2.4</v>
      </c>
      <c r="D170" s="27" t="s">
        <v>4</v>
      </c>
      <c r="E170" s="27" t="s">
        <v>5</v>
      </c>
      <c r="F170" s="27" t="str">
        <f t="shared" si="61"/>
        <v>Yes</v>
      </c>
      <c r="G170" s="27" t="s">
        <v>9</v>
      </c>
      <c r="H170" s="27" t="s">
        <v>43</v>
      </c>
    </row>
    <row r="171" spans="1:24" x14ac:dyDescent="0.2">
      <c r="A171" s="27" t="s">
        <v>157</v>
      </c>
      <c r="B171" s="27" t="s">
        <v>40</v>
      </c>
      <c r="C171" s="27">
        <v>3</v>
      </c>
      <c r="D171" s="27" t="s">
        <v>4</v>
      </c>
      <c r="E171" s="27" t="s">
        <v>5</v>
      </c>
      <c r="F171" s="27" t="str">
        <f t="shared" si="61"/>
        <v>Yes</v>
      </c>
      <c r="G171" s="27" t="s">
        <v>5</v>
      </c>
      <c r="H171" s="27" t="s">
        <v>43</v>
      </c>
    </row>
    <row r="172" spans="1:24" x14ac:dyDescent="0.2">
      <c r="A172" s="27" t="s">
        <v>71</v>
      </c>
      <c r="B172" s="27" t="s">
        <v>40</v>
      </c>
      <c r="C172" s="27">
        <v>2.4</v>
      </c>
      <c r="D172" s="27" t="s">
        <v>4</v>
      </c>
      <c r="E172" s="27" t="s">
        <v>5</v>
      </c>
      <c r="F172" s="27" t="str">
        <f t="shared" si="61"/>
        <v>Yes</v>
      </c>
      <c r="G172" s="27" t="s">
        <v>9</v>
      </c>
      <c r="H172" s="27" t="s">
        <v>43</v>
      </c>
    </row>
    <row r="173" spans="1:24" x14ac:dyDescent="0.2">
      <c r="A173" s="27" t="s">
        <v>71</v>
      </c>
      <c r="B173" s="27" t="s">
        <v>40</v>
      </c>
      <c r="C173" s="27">
        <v>2.6</v>
      </c>
      <c r="D173" s="27" t="s">
        <v>4</v>
      </c>
      <c r="E173" s="27" t="s">
        <v>5</v>
      </c>
      <c r="F173" s="27" t="str">
        <f t="shared" si="61"/>
        <v>Yes</v>
      </c>
      <c r="G173" s="27" t="s">
        <v>9</v>
      </c>
      <c r="H173" s="27" t="s">
        <v>43</v>
      </c>
    </row>
    <row r="174" spans="1:24" x14ac:dyDescent="0.2">
      <c r="A174" s="27" t="s">
        <v>71</v>
      </c>
      <c r="B174" s="27" t="s">
        <v>40</v>
      </c>
      <c r="C174" s="27">
        <v>1.7</v>
      </c>
      <c r="D174" s="27" t="s">
        <v>4</v>
      </c>
      <c r="E174" s="27" t="s">
        <v>5</v>
      </c>
      <c r="F174" s="27" t="str">
        <f t="shared" si="61"/>
        <v>Yes</v>
      </c>
      <c r="G174" s="27" t="s">
        <v>9</v>
      </c>
      <c r="H174" s="27" t="s">
        <v>43</v>
      </c>
    </row>
    <row r="175" spans="1:24" x14ac:dyDescent="0.2">
      <c r="A175" s="27" t="s">
        <v>71</v>
      </c>
      <c r="B175" s="27" t="s">
        <v>40</v>
      </c>
      <c r="C175" s="27">
        <v>2.8</v>
      </c>
      <c r="D175" s="27" t="s">
        <v>4</v>
      </c>
      <c r="E175" s="27" t="s">
        <v>5</v>
      </c>
      <c r="F175" s="27" t="str">
        <f t="shared" si="61"/>
        <v>Yes</v>
      </c>
      <c r="G175" s="27" t="s">
        <v>9</v>
      </c>
      <c r="H175" s="27" t="s">
        <v>43</v>
      </c>
    </row>
    <row r="176" spans="1:24" x14ac:dyDescent="0.2">
      <c r="A176" s="27" t="s">
        <v>70</v>
      </c>
      <c r="B176" s="27" t="s">
        <v>40</v>
      </c>
      <c r="C176" s="27">
        <v>3.5</v>
      </c>
      <c r="D176" s="27" t="s">
        <v>4</v>
      </c>
      <c r="E176" s="27" t="s">
        <v>5</v>
      </c>
      <c r="F176" s="27" t="str">
        <f t="shared" si="61"/>
        <v>Yes</v>
      </c>
      <c r="G176" s="27" t="s">
        <v>5</v>
      </c>
      <c r="H176" s="27" t="s">
        <v>43</v>
      </c>
    </row>
    <row r="177" spans="1:38" x14ac:dyDescent="0.2">
      <c r="A177" s="27" t="s">
        <v>158</v>
      </c>
      <c r="B177" s="27" t="s">
        <v>40</v>
      </c>
      <c r="C177" s="27">
        <v>1.6</v>
      </c>
      <c r="D177" s="27" t="s">
        <v>4</v>
      </c>
      <c r="E177" s="27" t="s">
        <v>5</v>
      </c>
      <c r="F177" s="27" t="str">
        <f t="shared" si="61"/>
        <v>Yes</v>
      </c>
      <c r="G177" s="27" t="s">
        <v>9</v>
      </c>
      <c r="H177" s="27" t="s">
        <v>43</v>
      </c>
    </row>
    <row r="178" spans="1:38" x14ac:dyDescent="0.2">
      <c r="A178" s="27" t="s">
        <v>158</v>
      </c>
      <c r="B178" s="27" t="s">
        <v>40</v>
      </c>
      <c r="C178" s="27">
        <v>2.2000000000000002</v>
      </c>
      <c r="D178" s="27" t="s">
        <v>4</v>
      </c>
      <c r="E178" s="27" t="s">
        <v>5</v>
      </c>
      <c r="F178" s="27" t="str">
        <f t="shared" si="61"/>
        <v>Yes</v>
      </c>
      <c r="G178" s="27" t="s">
        <v>9</v>
      </c>
      <c r="H178" s="27" t="s">
        <v>43</v>
      </c>
    </row>
    <row r="179" spans="1:38" x14ac:dyDescent="0.2">
      <c r="A179" s="27" t="s">
        <v>73</v>
      </c>
      <c r="B179" s="27" t="s">
        <v>56</v>
      </c>
      <c r="C179" s="27">
        <v>3.5</v>
      </c>
      <c r="D179" s="27" t="s">
        <v>4</v>
      </c>
      <c r="E179" s="27" t="s">
        <v>5</v>
      </c>
      <c r="F179" s="27" t="str">
        <f t="shared" si="61"/>
        <v>Yes</v>
      </c>
      <c r="G179" s="27" t="s">
        <v>5</v>
      </c>
    </row>
    <row r="180" spans="1:38" x14ac:dyDescent="0.2">
      <c r="A180" s="27" t="s">
        <v>159</v>
      </c>
      <c r="B180" s="27" t="s">
        <v>32</v>
      </c>
      <c r="C180" s="27">
        <v>12</v>
      </c>
      <c r="D180" s="27" t="s">
        <v>33</v>
      </c>
      <c r="E180" s="27" t="s">
        <v>5</v>
      </c>
      <c r="F180" s="27" t="str">
        <f>IF(C180&gt;$W$6,"Yes","No")</f>
        <v>Yes</v>
      </c>
      <c r="G180" s="27" t="s">
        <v>5</v>
      </c>
    </row>
    <row r="181" spans="1:38" x14ac:dyDescent="0.2">
      <c r="A181" s="27" t="s">
        <v>159</v>
      </c>
      <c r="B181" s="27" t="s">
        <v>54</v>
      </c>
      <c r="C181" s="27">
        <v>990</v>
      </c>
      <c r="D181" s="27" t="s">
        <v>33</v>
      </c>
      <c r="E181" s="27" t="s">
        <v>5</v>
      </c>
      <c r="F181" s="27" t="str">
        <f>IF(C181&gt;=$W$5,"Yes","No")</f>
        <v>Yes</v>
      </c>
      <c r="G181" s="27" t="s">
        <v>5</v>
      </c>
    </row>
    <row r="182" spans="1:38" x14ac:dyDescent="0.2">
      <c r="A182" s="27" t="s">
        <v>71</v>
      </c>
      <c r="B182" s="27" t="s">
        <v>32</v>
      </c>
      <c r="C182" s="27">
        <v>230</v>
      </c>
      <c r="D182" s="27" t="s">
        <v>33</v>
      </c>
      <c r="E182" s="27" t="s">
        <v>5</v>
      </c>
      <c r="F182" s="27" t="str">
        <f t="shared" ref="F182:F183" si="62">IF(C182&gt;$W$6,"Yes","No")</f>
        <v>Yes</v>
      </c>
      <c r="G182" s="27" t="s">
        <v>5</v>
      </c>
    </row>
    <row r="183" spans="1:38" x14ac:dyDescent="0.2">
      <c r="A183" s="27" t="s">
        <v>70</v>
      </c>
      <c r="B183" s="27" t="s">
        <v>32</v>
      </c>
      <c r="C183" s="27">
        <v>15</v>
      </c>
      <c r="D183" s="27" t="s">
        <v>33</v>
      </c>
      <c r="E183" s="27" t="s">
        <v>5</v>
      </c>
      <c r="F183" s="27" t="str">
        <f t="shared" si="62"/>
        <v>Yes</v>
      </c>
      <c r="G183" s="27" t="s">
        <v>5</v>
      </c>
    </row>
    <row r="184" spans="1:38" x14ac:dyDescent="0.2">
      <c r="A184" s="27" t="s">
        <v>70</v>
      </c>
      <c r="B184" s="27" t="s">
        <v>54</v>
      </c>
      <c r="C184" s="27">
        <v>430</v>
      </c>
      <c r="D184" s="27" t="s">
        <v>33</v>
      </c>
      <c r="E184" s="27" t="s">
        <v>5</v>
      </c>
      <c r="F184" s="27" t="str">
        <f>IF(C184&gt;=$W$5,"Yes","No")</f>
        <v>Yes</v>
      </c>
      <c r="G184" s="27" t="s">
        <v>5</v>
      </c>
    </row>
    <row r="185" spans="1:38" x14ac:dyDescent="0.2">
      <c r="A185" s="27" t="s">
        <v>158</v>
      </c>
      <c r="B185" s="27" t="s">
        <v>32</v>
      </c>
      <c r="C185" s="27">
        <v>590</v>
      </c>
      <c r="D185" s="27" t="s">
        <v>33</v>
      </c>
      <c r="E185" s="27" t="s">
        <v>5</v>
      </c>
      <c r="F185" s="27" t="str">
        <f>IF(C185&gt;$W$6,"Yes","No")</f>
        <v>Yes</v>
      </c>
      <c r="G185" s="27" t="s">
        <v>5</v>
      </c>
    </row>
    <row r="188" spans="1:38" x14ac:dyDescent="0.2">
      <c r="A188" s="27">
        <v>519</v>
      </c>
      <c r="B188" s="27" t="s">
        <v>152</v>
      </c>
      <c r="C188" s="27">
        <v>10</v>
      </c>
    </row>
    <row r="189" spans="1:38" x14ac:dyDescent="0.2">
      <c r="A189" s="59" t="s">
        <v>0</v>
      </c>
      <c r="E189" s="27" t="s">
        <v>274</v>
      </c>
      <c r="F189" s="27" t="s">
        <v>275</v>
      </c>
      <c r="G189" s="27" t="s">
        <v>119</v>
      </c>
      <c r="J189" s="59" t="s">
        <v>1</v>
      </c>
      <c r="N189" s="27" t="s">
        <v>277</v>
      </c>
      <c r="O189" s="27" t="s">
        <v>278</v>
      </c>
      <c r="Q189" s="59" t="s">
        <v>115</v>
      </c>
      <c r="R189" s="59" t="s">
        <v>0</v>
      </c>
      <c r="S189" s="59" t="s">
        <v>1</v>
      </c>
      <c r="U189" s="59" t="s">
        <v>115</v>
      </c>
      <c r="V189" s="59" t="s">
        <v>0</v>
      </c>
      <c r="W189" s="59" t="s">
        <v>1</v>
      </c>
      <c r="X189" s="59" t="s">
        <v>122</v>
      </c>
      <c r="AA189" s="27" t="str">
        <f>IF(R190="Yes","LRA-Soil","")</f>
        <v/>
      </c>
      <c r="AB189" s="27" t="str">
        <f>IF(R191="Yes","LRA-Paint","")</f>
        <v>LRA-Paint</v>
      </c>
      <c r="AC189" s="27" t="str">
        <f>IF(R192="Yes","LRA-Dust","")</f>
        <v/>
      </c>
      <c r="AD189" s="27" t="str">
        <f>IF(S190="Yes","LSK-Soil","")</f>
        <v>LSK-Soil</v>
      </c>
      <c r="AE189" s="27" t="str">
        <f>IF(S191="Yes","LSK-Paint","")</f>
        <v/>
      </c>
      <c r="AF189" s="27" t="str">
        <f>IF(S192="Yes","LSK-Dust","")</f>
        <v>LSK-Dust</v>
      </c>
      <c r="AI189" s="27" t="s">
        <v>46</v>
      </c>
      <c r="AJ189" s="27" t="s">
        <v>43</v>
      </c>
      <c r="AK189" s="27" t="s">
        <v>116</v>
      </c>
      <c r="AL189" s="27" t="s">
        <v>117</v>
      </c>
    </row>
    <row r="190" spans="1:38" x14ac:dyDescent="0.2">
      <c r="A190" s="27" t="s">
        <v>63</v>
      </c>
      <c r="B190" s="27" t="s">
        <v>10</v>
      </c>
      <c r="C190" s="27">
        <v>32</v>
      </c>
      <c r="D190" s="27" t="s">
        <v>4</v>
      </c>
      <c r="E190" s="27" t="s">
        <v>5</v>
      </c>
      <c r="F190" s="27" t="str">
        <f t="shared" ref="F190:F204" si="63">IF(C190&gt;=$W$2,"Yes","No")</f>
        <v>Yes</v>
      </c>
      <c r="G190" s="27" t="s">
        <v>5</v>
      </c>
      <c r="H190" s="27" t="s">
        <v>46</v>
      </c>
      <c r="J190" s="27" t="s">
        <v>6</v>
      </c>
      <c r="K190" s="27">
        <v>321.2</v>
      </c>
      <c r="L190" s="27" t="s">
        <v>12</v>
      </c>
      <c r="M190" s="27" t="s">
        <v>36</v>
      </c>
      <c r="N190" s="27" t="s">
        <v>9</v>
      </c>
      <c r="O190" s="27" t="str">
        <f t="shared" ref="O190:O192" si="64">IF(K190="Not","No",IF(K190="n/a","N/A",IF(K190&gt;$Y$3,"Yes","No")))</f>
        <v>No</v>
      </c>
      <c r="Q190" s="27" t="s">
        <v>116</v>
      </c>
      <c r="R190" s="27" t="str">
        <f>_xlfn.XLOOKUP("mg/Kg",D190:D204,F190:F204,"N/A")</f>
        <v>N/A</v>
      </c>
      <c r="S190" s="27" t="str">
        <f>IF(COUNTIF(O190:O192,"Yes"),"Yes","No")</f>
        <v>Yes</v>
      </c>
      <c r="U190" s="27" t="s">
        <v>92</v>
      </c>
      <c r="V190" s="27" t="s">
        <v>120</v>
      </c>
      <c r="W190" s="27" t="s">
        <v>5</v>
      </c>
      <c r="X190" s="27" t="str">
        <f>IF(V190="N/A","N/A",IF(W190="N/A", "N/A", IF(V190=W190, "Yes","No")))</f>
        <v>N/A</v>
      </c>
      <c r="AI190" s="27">
        <f>COUNTIF(H189:H204,"Exterior")</f>
        <v>7</v>
      </c>
      <c r="AJ190" s="27">
        <f>COUNTIF(H189:H204, "Interior")</f>
        <v>8</v>
      </c>
      <c r="AK190" s="27">
        <f>COUNTIFS(D189:D204,"ppm")+COUNTIFS(D189:D204,"mg/Kg")</f>
        <v>0</v>
      </c>
      <c r="AL190" s="27">
        <f>COUNTIF(D189:D204,"ug/ft2")</f>
        <v>0</v>
      </c>
    </row>
    <row r="191" spans="1:38" x14ac:dyDescent="0.2">
      <c r="A191" s="27" t="s">
        <v>63</v>
      </c>
      <c r="B191" s="27" t="s">
        <v>169</v>
      </c>
      <c r="C191" s="27">
        <v>34</v>
      </c>
      <c r="D191" s="27" t="s">
        <v>4</v>
      </c>
      <c r="E191" s="27" t="s">
        <v>5</v>
      </c>
      <c r="F191" s="27" t="str">
        <f t="shared" si="63"/>
        <v>Yes</v>
      </c>
      <c r="G191" s="27" t="s">
        <v>5</v>
      </c>
      <c r="H191" s="27" t="s">
        <v>46</v>
      </c>
      <c r="J191" s="27" t="s">
        <v>11</v>
      </c>
      <c r="K191" s="27">
        <v>837.3</v>
      </c>
      <c r="L191" s="27" t="s">
        <v>12</v>
      </c>
      <c r="M191" s="27" t="s">
        <v>176</v>
      </c>
      <c r="N191" s="27" t="s">
        <v>5</v>
      </c>
      <c r="O191" s="27" t="str">
        <f t="shared" si="64"/>
        <v>Yes</v>
      </c>
      <c r="Q191" s="27" t="s">
        <v>98</v>
      </c>
      <c r="R191" s="27" t="str">
        <f>_xlfn.XLOOKUP("mg/cm2",D190:D204,G190:G204,"N/A")</f>
        <v>Yes</v>
      </c>
      <c r="S191" s="27" t="str">
        <f>IF(COUNTIF(O193:O194,"Yes"),"Yes","No")</f>
        <v>No</v>
      </c>
      <c r="U191" s="27" t="s">
        <v>95</v>
      </c>
      <c r="V191" s="27" t="str">
        <f>R190</f>
        <v>N/A</v>
      </c>
      <c r="W191" s="27" t="str">
        <f>S190</f>
        <v>Yes</v>
      </c>
      <c r="X191" s="27" t="str">
        <f t="shared" ref="X191:X194" si="65">IF(V191="N/A","N/A",IF(W191="N/A", "N/A", IF(V191=W191, "Yes","No")))</f>
        <v>N/A</v>
      </c>
    </row>
    <row r="192" spans="1:38" x14ac:dyDescent="0.2">
      <c r="A192" s="27" t="s">
        <v>63</v>
      </c>
      <c r="B192" s="27" t="s">
        <v>18</v>
      </c>
      <c r="C192" s="27">
        <v>30</v>
      </c>
      <c r="D192" s="27" t="s">
        <v>4</v>
      </c>
      <c r="E192" s="27" t="s">
        <v>5</v>
      </c>
      <c r="F192" s="27" t="str">
        <f t="shared" si="63"/>
        <v>Yes</v>
      </c>
      <c r="G192" s="27" t="s">
        <v>5</v>
      </c>
      <c r="H192" s="27" t="s">
        <v>46</v>
      </c>
      <c r="J192" s="27" t="s">
        <v>15</v>
      </c>
      <c r="K192" s="27">
        <v>241.5</v>
      </c>
      <c r="L192" s="27" t="s">
        <v>12</v>
      </c>
      <c r="M192" s="27" t="s">
        <v>41</v>
      </c>
      <c r="N192" s="27" t="s">
        <v>9</v>
      </c>
      <c r="O192" s="27" t="str">
        <f t="shared" si="64"/>
        <v>No</v>
      </c>
      <c r="Q192" s="27" t="s">
        <v>117</v>
      </c>
      <c r="R192" s="27" t="str">
        <f>_xlfn.XLOOKUP("ug/ft2",D190:D204,F190:F204,"N/A")</f>
        <v>N/A</v>
      </c>
      <c r="S192" s="27" t="str">
        <f>IF(COUNTIF(O195:O197,"Yes"),"Yes","No")</f>
        <v>Yes</v>
      </c>
      <c r="U192" s="27" t="s">
        <v>163</v>
      </c>
      <c r="V192" s="27" t="s">
        <v>5</v>
      </c>
      <c r="W192" s="61" t="s">
        <v>9</v>
      </c>
      <c r="X192" s="27" t="str">
        <f t="shared" si="65"/>
        <v>No</v>
      </c>
    </row>
    <row r="193" spans="1:38" x14ac:dyDescent="0.2">
      <c r="A193" s="27" t="s">
        <v>63</v>
      </c>
      <c r="B193" s="27" t="s">
        <v>170</v>
      </c>
      <c r="C193" s="27">
        <v>32</v>
      </c>
      <c r="D193" s="27" t="s">
        <v>4</v>
      </c>
      <c r="E193" s="27" t="s">
        <v>5</v>
      </c>
      <c r="F193" s="27" t="str">
        <f t="shared" si="63"/>
        <v>Yes</v>
      </c>
      <c r="G193" s="27" t="s">
        <v>5</v>
      </c>
      <c r="H193" s="27" t="s">
        <v>46</v>
      </c>
      <c r="J193" s="27" t="s">
        <v>19</v>
      </c>
      <c r="K193" s="27" t="s">
        <v>44</v>
      </c>
      <c r="L193" s="27" t="s">
        <v>45</v>
      </c>
      <c r="M193" s="27" t="s">
        <v>177</v>
      </c>
      <c r="N193" s="27" t="s">
        <v>9</v>
      </c>
      <c r="O193" s="27" t="str">
        <f t="shared" ref="O193:O194" si="66">IF(K193="Not","No",IF(K193="n/a","N/A",IF(K193&gt;$Y$2,"Yes","No")))</f>
        <v>No</v>
      </c>
      <c r="Q193" s="27" t="s">
        <v>118</v>
      </c>
      <c r="R193" s="27" t="str">
        <f>IF(COUNTIF(R190:R192,"Yes"),"Yes","No")</f>
        <v>Yes</v>
      </c>
      <c r="S193" s="27" t="str">
        <f>IF(COUNTIF(S190:S192,"Yes"),"Yes","No")</f>
        <v>Yes</v>
      </c>
      <c r="U193" s="27" t="s">
        <v>164</v>
      </c>
      <c r="V193" s="27" t="s">
        <v>5</v>
      </c>
      <c r="W193" s="27" t="s">
        <v>120</v>
      </c>
      <c r="X193" s="27" t="str">
        <f t="shared" si="65"/>
        <v>N/A</v>
      </c>
    </row>
    <row r="194" spans="1:38" x14ac:dyDescent="0.2">
      <c r="A194" s="27" t="s">
        <v>63</v>
      </c>
      <c r="B194" s="27" t="s">
        <v>18</v>
      </c>
      <c r="C194" s="27">
        <v>33</v>
      </c>
      <c r="D194" s="27" t="s">
        <v>4</v>
      </c>
      <c r="E194" s="27" t="s">
        <v>5</v>
      </c>
      <c r="F194" s="27" t="str">
        <f t="shared" si="63"/>
        <v>Yes</v>
      </c>
      <c r="G194" s="27" t="s">
        <v>5</v>
      </c>
      <c r="H194" s="27" t="s">
        <v>46</v>
      </c>
      <c r="J194" s="27" t="s">
        <v>22</v>
      </c>
      <c r="K194" s="27">
        <v>1262.8</v>
      </c>
      <c r="L194" s="27" t="s">
        <v>12</v>
      </c>
      <c r="M194" s="27" t="s">
        <v>178</v>
      </c>
      <c r="N194" s="61" t="s">
        <v>9</v>
      </c>
      <c r="O194" s="27" t="str">
        <f t="shared" si="66"/>
        <v>No</v>
      </c>
      <c r="U194" s="27" t="s">
        <v>162</v>
      </c>
      <c r="V194" s="27" t="str">
        <f>R191</f>
        <v>Yes</v>
      </c>
      <c r="W194" s="27" t="str">
        <f>S191</f>
        <v>No</v>
      </c>
      <c r="X194" s="27" t="str">
        <f t="shared" si="65"/>
        <v>No</v>
      </c>
    </row>
    <row r="195" spans="1:38" x14ac:dyDescent="0.2">
      <c r="A195" s="27" t="s">
        <v>171</v>
      </c>
      <c r="B195" s="27" t="s">
        <v>171</v>
      </c>
      <c r="C195" s="27">
        <v>5.9</v>
      </c>
      <c r="D195" s="27" t="s">
        <v>4</v>
      </c>
      <c r="E195" s="27" t="s">
        <v>5</v>
      </c>
      <c r="F195" s="27" t="str">
        <f t="shared" si="63"/>
        <v>Yes</v>
      </c>
      <c r="G195" s="27" t="s">
        <v>5</v>
      </c>
      <c r="H195" s="27" t="s">
        <v>43</v>
      </c>
      <c r="J195" s="27" t="s">
        <v>25</v>
      </c>
      <c r="K195" s="27" t="s">
        <v>44</v>
      </c>
      <c r="L195" s="27" t="s">
        <v>45</v>
      </c>
      <c r="M195" s="27" t="s">
        <v>59</v>
      </c>
      <c r="N195" s="27" t="s">
        <v>9</v>
      </c>
      <c r="O195" s="27" t="str">
        <f>IF(K195="Not","No",IF(K195="n/a","N/A",IF(K195&gt;$Y$5,"Yes","No")))</f>
        <v>No</v>
      </c>
      <c r="U195" s="27" t="s">
        <v>101</v>
      </c>
      <c r="V195" s="27" t="s">
        <v>120</v>
      </c>
      <c r="W195" s="27" t="s">
        <v>5</v>
      </c>
      <c r="X195" s="27" t="str">
        <f>IF(V195="N/A","N/A",IF(W195="N/A", "N/A", IF(V195=W195, "Yes","No")))</f>
        <v>N/A</v>
      </c>
    </row>
    <row r="196" spans="1:38" x14ac:dyDescent="0.2">
      <c r="A196" s="27" t="s">
        <v>172</v>
      </c>
      <c r="B196" s="27" t="s">
        <v>18</v>
      </c>
      <c r="C196" s="27">
        <v>0</v>
      </c>
      <c r="D196" s="27" t="s">
        <v>4</v>
      </c>
      <c r="E196" s="27" t="s">
        <v>9</v>
      </c>
      <c r="F196" s="27" t="str">
        <f t="shared" si="63"/>
        <v>No</v>
      </c>
      <c r="G196" s="27" t="s">
        <v>9</v>
      </c>
      <c r="H196" s="27" t="s">
        <v>46</v>
      </c>
      <c r="J196" s="27" t="s">
        <v>29</v>
      </c>
      <c r="K196" s="27">
        <v>161</v>
      </c>
      <c r="L196" s="27" t="s">
        <v>12</v>
      </c>
      <c r="M196" s="27" t="s">
        <v>72</v>
      </c>
      <c r="N196" s="27" t="s">
        <v>5</v>
      </c>
      <c r="O196" s="27" t="str">
        <f t="shared" ref="O196:O197" si="67">IF(K196="Not","No",IF(K196="n/a","N/A",IF(K196&gt;$Y$6,"Yes","No")))</f>
        <v>Yes</v>
      </c>
      <c r="U196" s="27" t="s">
        <v>104</v>
      </c>
      <c r="V196" s="27" t="s">
        <v>120</v>
      </c>
      <c r="W196" s="27" t="s">
        <v>9</v>
      </c>
      <c r="X196" s="27" t="str">
        <f>IF(V196="N/A","N/A",IF(W196="N/A", "N/A", IF(V196=W196, "Yes","No")))</f>
        <v>N/A</v>
      </c>
    </row>
    <row r="197" spans="1:38" x14ac:dyDescent="0.2">
      <c r="A197" s="27" t="s">
        <v>63</v>
      </c>
      <c r="B197" s="27" t="s">
        <v>24</v>
      </c>
      <c r="C197" s="27">
        <v>0.2</v>
      </c>
      <c r="D197" s="27" t="s">
        <v>4</v>
      </c>
      <c r="E197" s="27" t="s">
        <v>9</v>
      </c>
      <c r="F197" s="27" t="str">
        <f t="shared" si="63"/>
        <v>No</v>
      </c>
      <c r="G197" s="27" t="s">
        <v>9</v>
      </c>
      <c r="H197" s="27" t="s">
        <v>46</v>
      </c>
      <c r="J197" s="27" t="s">
        <v>34</v>
      </c>
      <c r="K197" s="27">
        <v>4.9000000000000004</v>
      </c>
      <c r="L197" s="27" t="s">
        <v>12</v>
      </c>
      <c r="M197" s="27" t="s">
        <v>74</v>
      </c>
      <c r="N197" s="27" t="s">
        <v>9</v>
      </c>
      <c r="O197" s="27" t="str">
        <f t="shared" si="67"/>
        <v>No</v>
      </c>
      <c r="U197" s="27" t="s">
        <v>106</v>
      </c>
      <c r="V197" s="27" t="str">
        <f>R192</f>
        <v>N/A</v>
      </c>
      <c r="W197" s="27" t="str">
        <f>S192</f>
        <v>Yes</v>
      </c>
      <c r="X197" s="27" t="str">
        <f>IF(V197="N/A","N/A",IF(W197="N/A", "N/A", IF(V197=W197, "Yes","No")))</f>
        <v>N/A</v>
      </c>
    </row>
    <row r="198" spans="1:38" x14ac:dyDescent="0.2">
      <c r="A198" s="27" t="s">
        <v>172</v>
      </c>
      <c r="B198" s="27" t="s">
        <v>173</v>
      </c>
      <c r="C198" s="27">
        <v>0</v>
      </c>
      <c r="D198" s="27" t="s">
        <v>4</v>
      </c>
      <c r="E198" s="27" t="s">
        <v>9</v>
      </c>
      <c r="F198" s="27" t="str">
        <f t="shared" si="63"/>
        <v>No</v>
      </c>
      <c r="G198" s="27" t="s">
        <v>9</v>
      </c>
      <c r="H198" s="27" t="s">
        <v>43</v>
      </c>
      <c r="U198" s="27" t="s">
        <v>121</v>
      </c>
      <c r="V198" s="27" t="str">
        <f>R193</f>
        <v>Yes</v>
      </c>
      <c r="W198" s="27" t="str">
        <f>S193</f>
        <v>Yes</v>
      </c>
      <c r="X198" s="27" t="str">
        <f>IF(V198="N/A","N/A",IF(W198="N/A", "N/A", IF(V198=W198, "Yes","No")))</f>
        <v>Yes</v>
      </c>
    </row>
    <row r="199" spans="1:38" x14ac:dyDescent="0.2">
      <c r="A199" s="27" t="s">
        <v>70</v>
      </c>
      <c r="B199" s="27" t="s">
        <v>170</v>
      </c>
      <c r="C199" s="27">
        <v>0</v>
      </c>
      <c r="D199" s="27" t="s">
        <v>4</v>
      </c>
      <c r="E199" s="27" t="s">
        <v>9</v>
      </c>
      <c r="F199" s="27" t="str">
        <f t="shared" si="63"/>
        <v>No</v>
      </c>
      <c r="G199" s="27" t="s">
        <v>9</v>
      </c>
      <c r="H199" s="27" t="s">
        <v>43</v>
      </c>
    </row>
    <row r="200" spans="1:38" x14ac:dyDescent="0.2">
      <c r="A200" s="27" t="s">
        <v>70</v>
      </c>
      <c r="B200" s="27" t="s">
        <v>40</v>
      </c>
      <c r="C200" s="27">
        <v>0</v>
      </c>
      <c r="D200" s="27" t="s">
        <v>4</v>
      </c>
      <c r="E200" s="27" t="s">
        <v>9</v>
      </c>
      <c r="F200" s="27" t="str">
        <f t="shared" si="63"/>
        <v>No</v>
      </c>
      <c r="G200" s="27" t="s">
        <v>9</v>
      </c>
      <c r="H200" s="27" t="s">
        <v>43</v>
      </c>
    </row>
    <row r="201" spans="1:38" x14ac:dyDescent="0.2">
      <c r="A201" s="27" t="s">
        <v>158</v>
      </c>
      <c r="B201" s="27" t="s">
        <v>40</v>
      </c>
      <c r="C201" s="27">
        <v>0</v>
      </c>
      <c r="D201" s="27" t="s">
        <v>4</v>
      </c>
      <c r="E201" s="27" t="s">
        <v>9</v>
      </c>
      <c r="F201" s="27" t="str">
        <f t="shared" si="63"/>
        <v>No</v>
      </c>
      <c r="G201" s="27" t="s">
        <v>9</v>
      </c>
      <c r="H201" s="27" t="s">
        <v>43</v>
      </c>
    </row>
    <row r="202" spans="1:38" x14ac:dyDescent="0.2">
      <c r="A202" s="27" t="s">
        <v>158</v>
      </c>
      <c r="B202" s="27" t="s">
        <v>174</v>
      </c>
      <c r="C202" s="27">
        <v>0.6</v>
      </c>
      <c r="D202" s="27" t="s">
        <v>4</v>
      </c>
      <c r="E202" s="27" t="s">
        <v>9</v>
      </c>
      <c r="F202" s="27" t="str">
        <f t="shared" si="63"/>
        <v>No</v>
      </c>
      <c r="G202" s="27" t="s">
        <v>9</v>
      </c>
      <c r="H202" s="27" t="s">
        <v>43</v>
      </c>
    </row>
    <row r="203" spans="1:38" x14ac:dyDescent="0.2">
      <c r="A203" s="27" t="s">
        <v>158</v>
      </c>
      <c r="B203" s="27" t="s">
        <v>54</v>
      </c>
      <c r="C203" s="27">
        <v>0.6</v>
      </c>
      <c r="D203" s="27" t="s">
        <v>4</v>
      </c>
      <c r="E203" s="27" t="s">
        <v>9</v>
      </c>
      <c r="F203" s="27" t="str">
        <f t="shared" si="63"/>
        <v>No</v>
      </c>
      <c r="G203" s="27" t="s">
        <v>9</v>
      </c>
      <c r="H203" s="27" t="s">
        <v>43</v>
      </c>
    </row>
    <row r="204" spans="1:38" x14ac:dyDescent="0.2">
      <c r="A204" s="27" t="s">
        <v>171</v>
      </c>
      <c r="B204" s="27" t="s">
        <v>175</v>
      </c>
      <c r="C204" s="27">
        <v>0.3</v>
      </c>
      <c r="D204" s="27" t="s">
        <v>4</v>
      </c>
      <c r="E204" s="27" t="s">
        <v>9</v>
      </c>
      <c r="F204" s="27" t="str">
        <f t="shared" si="63"/>
        <v>No</v>
      </c>
      <c r="G204" s="27" t="s">
        <v>9</v>
      </c>
      <c r="H204" s="27" t="s">
        <v>43</v>
      </c>
      <c r="U204" s="59"/>
      <c r="V204" s="59"/>
      <c r="W204" s="59"/>
      <c r="X204" s="59"/>
    </row>
    <row r="207" spans="1:38" x14ac:dyDescent="0.2">
      <c r="A207" s="27">
        <v>1208</v>
      </c>
      <c r="B207" s="27" t="s">
        <v>152</v>
      </c>
      <c r="C207" s="27">
        <v>11</v>
      </c>
    </row>
    <row r="208" spans="1:38" x14ac:dyDescent="0.2">
      <c r="A208" s="59" t="s">
        <v>0</v>
      </c>
      <c r="E208" s="27" t="s">
        <v>274</v>
      </c>
      <c r="F208" s="27" t="s">
        <v>275</v>
      </c>
      <c r="G208" s="27" t="s">
        <v>119</v>
      </c>
      <c r="J208" s="59" t="s">
        <v>1</v>
      </c>
      <c r="N208" s="27" t="s">
        <v>277</v>
      </c>
      <c r="O208" s="27" t="s">
        <v>278</v>
      </c>
      <c r="Q208" s="59" t="s">
        <v>115</v>
      </c>
      <c r="R208" s="59" t="s">
        <v>0</v>
      </c>
      <c r="S208" s="59" t="s">
        <v>1</v>
      </c>
      <c r="U208" s="59" t="s">
        <v>115</v>
      </c>
      <c r="V208" s="59" t="s">
        <v>0</v>
      </c>
      <c r="W208" s="59" t="s">
        <v>1</v>
      </c>
      <c r="X208" s="59" t="s">
        <v>122</v>
      </c>
      <c r="AA208" s="27" t="str">
        <f>IF(R209="Yes","LRA-Soil","")</f>
        <v/>
      </c>
      <c r="AB208" s="27" t="str">
        <f>IF(R210="Yes","LRA-Paint","")</f>
        <v/>
      </c>
      <c r="AC208" s="27" t="str">
        <f>IF(R211="Yes","LRA-Dust","")</f>
        <v/>
      </c>
      <c r="AD208" s="27" t="str">
        <f>IF(S209="Yes","LSK-Soil","")</f>
        <v/>
      </c>
      <c r="AE208" s="27" t="str">
        <f>IF(S210="Yes","LSK-Paint","")</f>
        <v/>
      </c>
      <c r="AF208" s="27" t="str">
        <f>IF(S211="Yes","LSK-Dust","")</f>
        <v/>
      </c>
      <c r="AI208" s="27" t="s">
        <v>46</v>
      </c>
      <c r="AJ208" s="27" t="s">
        <v>43</v>
      </c>
      <c r="AK208" s="27" t="s">
        <v>116</v>
      </c>
      <c r="AL208" s="27" t="s">
        <v>117</v>
      </c>
    </row>
    <row r="209" spans="1:38" x14ac:dyDescent="0.2">
      <c r="A209" s="27" t="s">
        <v>38</v>
      </c>
      <c r="C209" s="27">
        <v>126</v>
      </c>
      <c r="D209" s="27" t="s">
        <v>37</v>
      </c>
      <c r="E209" s="27" t="s">
        <v>9</v>
      </c>
      <c r="F209" s="27" t="str">
        <f t="shared" ref="F209:F211" si="68">IF(C209&gt;$W$3,"Yes","No")</f>
        <v>No</v>
      </c>
      <c r="G209" s="27" t="s">
        <v>9</v>
      </c>
      <c r="J209" s="27" t="s">
        <v>6</v>
      </c>
      <c r="K209" s="27">
        <v>92</v>
      </c>
      <c r="L209" s="27" t="s">
        <v>12</v>
      </c>
      <c r="M209" s="27" t="s">
        <v>269</v>
      </c>
      <c r="N209" s="27" t="s">
        <v>9</v>
      </c>
      <c r="O209" s="27" t="str">
        <f t="shared" ref="O209:O211" si="69">IF(K209="Not","No",IF(K209="n/a","N/A",IF(K209&gt;$Y$3,"Yes","No")))</f>
        <v>No</v>
      </c>
      <c r="Q209" s="27" t="s">
        <v>116</v>
      </c>
      <c r="R209" s="27" t="str">
        <f>_xlfn.XLOOKUP("mg/Kg",D209:D213,F209:F213,"N/A")</f>
        <v>No</v>
      </c>
      <c r="S209" s="27" t="str">
        <f>IF(COUNTIF(O209:O211,"Yes"),"Yes","No")</f>
        <v>No</v>
      </c>
      <c r="U209" s="27" t="s">
        <v>92</v>
      </c>
      <c r="V209" s="27" t="s">
        <v>120</v>
      </c>
      <c r="W209" s="27" t="s">
        <v>9</v>
      </c>
      <c r="X209" s="27" t="str">
        <f>IF(V209="N/A","N/A",IF(W209="N/A", "N/A", IF(V209=W209, "Yes","No")))</f>
        <v>N/A</v>
      </c>
      <c r="AI209" s="27">
        <f>COUNTIF(H208:H211,"Exterior")</f>
        <v>0</v>
      </c>
      <c r="AJ209" s="27">
        <f>COUNTIF(H208:H211, "Interior")</f>
        <v>0</v>
      </c>
      <c r="AK209" s="27">
        <f>COUNTIFS(D208:D211,"ppm")+COUNTIFS(D208:D211,"mg/Kg")</f>
        <v>3</v>
      </c>
      <c r="AL209" s="27">
        <f>COUNTIF(D208:D211,"ug/ft2")</f>
        <v>0</v>
      </c>
    </row>
    <row r="210" spans="1:38" x14ac:dyDescent="0.2">
      <c r="A210" s="27" t="s">
        <v>182</v>
      </c>
      <c r="C210" s="27">
        <v>198</v>
      </c>
      <c r="D210" s="27" t="s">
        <v>37</v>
      </c>
      <c r="E210" s="27" t="s">
        <v>9</v>
      </c>
      <c r="F210" s="27" t="str">
        <f t="shared" si="68"/>
        <v>No</v>
      </c>
      <c r="G210" s="27" t="s">
        <v>9</v>
      </c>
      <c r="J210" s="27" t="s">
        <v>11</v>
      </c>
      <c r="K210" s="27">
        <v>140</v>
      </c>
      <c r="L210" s="27" t="s">
        <v>12</v>
      </c>
      <c r="M210" s="27" t="s">
        <v>38</v>
      </c>
      <c r="N210" s="27" t="s">
        <v>9</v>
      </c>
      <c r="O210" s="27" t="str">
        <f t="shared" si="69"/>
        <v>No</v>
      </c>
      <c r="Q210" s="27" t="s">
        <v>98</v>
      </c>
      <c r="R210" s="27" t="str">
        <f>_xlfn.XLOOKUP("mg/cm2",D209:D216,G209:G216,"N/A")</f>
        <v>N/A</v>
      </c>
      <c r="S210" s="27" t="str">
        <f>IF(COUNTIF(O212:O213,"Yes"),"Yes","No")</f>
        <v>No</v>
      </c>
      <c r="U210" s="27" t="s">
        <v>95</v>
      </c>
      <c r="V210" s="27" t="str">
        <f>R209</f>
        <v>No</v>
      </c>
      <c r="W210" s="27" t="str">
        <f>S209</f>
        <v>No</v>
      </c>
      <c r="X210" s="27" t="str">
        <f t="shared" ref="X210:X213" si="70">IF(V210="N/A","N/A",IF(W210="N/A", "N/A", IF(V210=W210, "Yes","No")))</f>
        <v>Yes</v>
      </c>
    </row>
    <row r="211" spans="1:38" x14ac:dyDescent="0.2">
      <c r="A211" s="27" t="s">
        <v>183</v>
      </c>
      <c r="C211" s="27">
        <v>211</v>
      </c>
      <c r="D211" s="27" t="s">
        <v>37</v>
      </c>
      <c r="E211" s="27" t="s">
        <v>9</v>
      </c>
      <c r="F211" s="27" t="str">
        <f t="shared" si="68"/>
        <v>No</v>
      </c>
      <c r="G211" s="27" t="s">
        <v>9</v>
      </c>
      <c r="J211" s="27" t="s">
        <v>15</v>
      </c>
      <c r="K211" s="27">
        <v>233</v>
      </c>
      <c r="L211" s="27" t="s">
        <v>12</v>
      </c>
      <c r="M211" s="27" t="s">
        <v>270</v>
      </c>
      <c r="N211" s="27" t="s">
        <v>9</v>
      </c>
      <c r="O211" s="27" t="str">
        <f t="shared" si="69"/>
        <v>No</v>
      </c>
      <c r="Q211" s="27" t="s">
        <v>117</v>
      </c>
      <c r="R211" s="27" t="str">
        <f>_xlfn.XLOOKUP("ug/ft2",D209:D215,F209:F215,"N/A")</f>
        <v>N/A</v>
      </c>
      <c r="S211" s="27" t="s">
        <v>120</v>
      </c>
      <c r="U211" s="27" t="s">
        <v>163</v>
      </c>
      <c r="V211" s="27" t="s">
        <v>120</v>
      </c>
      <c r="W211" s="27" t="s">
        <v>120</v>
      </c>
      <c r="X211" s="27" t="str">
        <f t="shared" si="70"/>
        <v>N/A</v>
      </c>
    </row>
    <row r="212" spans="1:38" x14ac:dyDescent="0.2">
      <c r="J212" s="27" t="s">
        <v>19</v>
      </c>
      <c r="K212" s="27" t="s">
        <v>65</v>
      </c>
      <c r="M212" s="27" t="s">
        <v>66</v>
      </c>
      <c r="N212" s="27" t="s">
        <v>9</v>
      </c>
      <c r="O212" s="27" t="str">
        <f t="shared" ref="O212:O213" si="71">IF(K212="Not","No",IF(K212="n/a","N/A",IF(K212&gt;$Y$2,"Yes","No")))</f>
        <v>N/A</v>
      </c>
      <c r="Q212" s="27" t="s">
        <v>118</v>
      </c>
      <c r="R212" s="27" t="str">
        <f>IF(COUNTIF(R209:R211,"Yes"),"Yes","No")</f>
        <v>No</v>
      </c>
      <c r="S212" s="27" t="str">
        <f>IF(COUNTIF(S209:S211,"Yes"),"Yes","No")</f>
        <v>No</v>
      </c>
      <c r="U212" s="27" t="s">
        <v>164</v>
      </c>
      <c r="V212" s="27" t="s">
        <v>120</v>
      </c>
      <c r="W212" s="27" t="s">
        <v>120</v>
      </c>
      <c r="X212" s="27" t="str">
        <f t="shared" si="70"/>
        <v>N/A</v>
      </c>
    </row>
    <row r="213" spans="1:38" x14ac:dyDescent="0.2">
      <c r="J213" s="27" t="s">
        <v>22</v>
      </c>
      <c r="K213" s="27" t="s">
        <v>65</v>
      </c>
      <c r="M213" s="27" t="s">
        <v>66</v>
      </c>
      <c r="N213" s="27" t="s">
        <v>9</v>
      </c>
      <c r="O213" s="27" t="str">
        <f t="shared" si="71"/>
        <v>N/A</v>
      </c>
      <c r="U213" s="27" t="s">
        <v>162</v>
      </c>
      <c r="V213" s="27" t="str">
        <f>R210</f>
        <v>N/A</v>
      </c>
      <c r="W213" s="27" t="str">
        <f>S210</f>
        <v>No</v>
      </c>
      <c r="X213" s="27" t="str">
        <f t="shared" si="70"/>
        <v>N/A</v>
      </c>
    </row>
    <row r="214" spans="1:38" x14ac:dyDescent="0.2">
      <c r="J214" s="27" t="s">
        <v>25</v>
      </c>
      <c r="K214" s="27" t="s">
        <v>65</v>
      </c>
      <c r="M214" s="27" t="s">
        <v>66</v>
      </c>
      <c r="N214" s="27" t="s">
        <v>9</v>
      </c>
      <c r="O214" s="27" t="str">
        <f t="shared" ref="O214:O216" si="72">IF(K214="Not","No",IF(K214="n/a","N/A",IF(K214&gt;$Y$6,"Yes","No")))</f>
        <v>N/A</v>
      </c>
      <c r="U214" s="27" t="s">
        <v>101</v>
      </c>
      <c r="V214" s="27" t="s">
        <v>120</v>
      </c>
      <c r="W214" s="27" t="s">
        <v>9</v>
      </c>
      <c r="X214" s="27" t="str">
        <f>IF(V214="N/A","N/A",IF(W214="N/A", "N/A", IF(V214=W214, "Yes","No")))</f>
        <v>N/A</v>
      </c>
    </row>
    <row r="215" spans="1:38" x14ac:dyDescent="0.2">
      <c r="J215" s="27" t="s">
        <v>29</v>
      </c>
      <c r="K215" s="27" t="s">
        <v>65</v>
      </c>
      <c r="M215" s="27" t="s">
        <v>66</v>
      </c>
      <c r="N215" s="27" t="s">
        <v>9</v>
      </c>
      <c r="O215" s="27" t="str">
        <f t="shared" si="72"/>
        <v>N/A</v>
      </c>
      <c r="U215" s="27" t="s">
        <v>104</v>
      </c>
      <c r="V215" s="27" t="s">
        <v>120</v>
      </c>
      <c r="W215" s="27" t="s">
        <v>9</v>
      </c>
      <c r="X215" s="27" t="str">
        <f>IF(V215="N/A","N/A",IF(W215="N/A", "N/A", IF(V215=W215, "Yes","No")))</f>
        <v>N/A</v>
      </c>
    </row>
    <row r="216" spans="1:38" x14ac:dyDescent="0.2">
      <c r="J216" s="27" t="s">
        <v>34</v>
      </c>
      <c r="K216" s="27" t="s">
        <v>65</v>
      </c>
      <c r="M216" s="27" t="s">
        <v>66</v>
      </c>
      <c r="N216" s="27" t="s">
        <v>9</v>
      </c>
      <c r="O216" s="27" t="str">
        <f t="shared" si="72"/>
        <v>N/A</v>
      </c>
      <c r="U216" s="27" t="s">
        <v>106</v>
      </c>
      <c r="V216" s="27" t="str">
        <f>R211</f>
        <v>N/A</v>
      </c>
      <c r="W216" s="27" t="str">
        <f>S211</f>
        <v>N/A</v>
      </c>
      <c r="X216" s="27" t="str">
        <f>IF(V216="N/A","N/A",IF(W216="N/A", "N/A", IF(V216=W216, "Yes","No")))</f>
        <v>N/A</v>
      </c>
    </row>
    <row r="217" spans="1:38" x14ac:dyDescent="0.2">
      <c r="U217" s="27" t="s">
        <v>121</v>
      </c>
      <c r="V217" s="27" t="str">
        <f>R212</f>
        <v>No</v>
      </c>
      <c r="W217" s="27" t="str">
        <f>S212</f>
        <v>No</v>
      </c>
      <c r="X217" s="27" t="str">
        <f>IF(V217="N/A","N/A",IF(W217="N/A", "N/A", IF(V217=W217, "Yes","No")))</f>
        <v>Yes</v>
      </c>
    </row>
    <row r="219" spans="1:38" x14ac:dyDescent="0.2">
      <c r="A219" s="27">
        <v>1267</v>
      </c>
      <c r="C219" s="27">
        <v>12</v>
      </c>
    </row>
    <row r="220" spans="1:38" x14ac:dyDescent="0.2">
      <c r="A220" s="59" t="s">
        <v>0</v>
      </c>
      <c r="E220" s="27" t="s">
        <v>274</v>
      </c>
      <c r="F220" s="27" t="s">
        <v>275</v>
      </c>
      <c r="G220" s="27" t="s">
        <v>119</v>
      </c>
      <c r="J220" s="59" t="s">
        <v>1</v>
      </c>
      <c r="N220" s="27" t="s">
        <v>277</v>
      </c>
      <c r="O220" s="27" t="s">
        <v>278</v>
      </c>
      <c r="Q220" s="59" t="s">
        <v>115</v>
      </c>
      <c r="R220" s="59" t="s">
        <v>0</v>
      </c>
      <c r="S220" s="59" t="s">
        <v>1</v>
      </c>
      <c r="U220" s="59" t="s">
        <v>115</v>
      </c>
      <c r="V220" s="59" t="s">
        <v>0</v>
      </c>
      <c r="W220" s="59" t="s">
        <v>1</v>
      </c>
      <c r="X220" s="59" t="s">
        <v>122</v>
      </c>
      <c r="AA220" s="27" t="str">
        <f>IF(R221="Yes","LRA-Soil","")</f>
        <v/>
      </c>
      <c r="AB220" s="27" t="str">
        <f>IF(R222="Yes","LRA-Paint","")</f>
        <v>LRA-Paint</v>
      </c>
      <c r="AC220" s="27" t="str">
        <f>IF(R223="Yes","LRA-Dust","")</f>
        <v>LRA-Dust</v>
      </c>
      <c r="AD220" s="27" t="str">
        <f>IF(S221="Yes","LSK-Soil","")</f>
        <v/>
      </c>
      <c r="AE220" s="27" t="str">
        <f>IF(S222="Yes","LSK-Paint","")</f>
        <v>LSK-Paint</v>
      </c>
      <c r="AF220" s="27" t="str">
        <f>IF(S223="Yes","LSK-Dust","")</f>
        <v/>
      </c>
      <c r="AI220" s="27" t="s">
        <v>46</v>
      </c>
      <c r="AJ220" s="27" t="s">
        <v>43</v>
      </c>
      <c r="AK220" s="27" t="s">
        <v>116</v>
      </c>
      <c r="AL220" s="27" t="s">
        <v>117</v>
      </c>
    </row>
    <row r="221" spans="1:38" x14ac:dyDescent="0.2">
      <c r="A221" s="27" t="s">
        <v>185</v>
      </c>
      <c r="B221" s="27" t="s">
        <v>186</v>
      </c>
      <c r="C221" s="27">
        <v>13.4</v>
      </c>
      <c r="D221" s="27" t="s">
        <v>4</v>
      </c>
      <c r="E221" s="27" t="s">
        <v>5</v>
      </c>
      <c r="F221" s="27" t="str">
        <f t="shared" ref="F221:F222" si="73">IF(C221&gt;=$W$2,"Yes","No")</f>
        <v>Yes</v>
      </c>
      <c r="G221" s="27" t="s">
        <v>5</v>
      </c>
      <c r="H221" s="27" t="s">
        <v>46</v>
      </c>
      <c r="J221" s="27" t="s">
        <v>6</v>
      </c>
      <c r="K221" s="27">
        <v>307</v>
      </c>
      <c r="L221" s="27" t="s">
        <v>7</v>
      </c>
      <c r="M221" s="27" t="s">
        <v>194</v>
      </c>
      <c r="N221" s="27" t="s">
        <v>9</v>
      </c>
      <c r="O221" s="27" t="str">
        <f t="shared" ref="O221:O223" si="74">IF(K221="Not","No",IF(K221="n/a","N/A",IF(K221&gt;$Y$3,"Yes","No")))</f>
        <v>No</v>
      </c>
      <c r="Q221" s="27" t="s">
        <v>116</v>
      </c>
      <c r="R221" s="27" t="str">
        <f>_xlfn.XLOOKUP("ppm",D221:D227,F221:F227,"N/A")</f>
        <v>No</v>
      </c>
      <c r="S221" s="27" t="str">
        <f>IF(COUNTIF(O221:O223,"Yes"),"Yes","No")</f>
        <v>No</v>
      </c>
      <c r="U221" s="27" t="s">
        <v>92</v>
      </c>
      <c r="V221" s="27" t="s">
        <v>120</v>
      </c>
      <c r="W221" s="27" t="s">
        <v>120</v>
      </c>
      <c r="X221" s="27" t="str">
        <f>IF(V221="N/A","N/A",IF(W221="N/A", "N/A", IF(V221=W221, "Yes","No")))</f>
        <v>N/A</v>
      </c>
      <c r="AI221" s="27">
        <f>COUNTIF(H220:H227,"Exterior")</f>
        <v>2</v>
      </c>
      <c r="AJ221" s="27">
        <f>COUNTIF(H220:H227, "Interior")</f>
        <v>3</v>
      </c>
      <c r="AK221" s="27">
        <f>COUNTIFS(D220:D227,"ppm")+COUNTIFS(D220:D227,"mg/Kg")</f>
        <v>1</v>
      </c>
      <c r="AL221" s="27">
        <f>COUNTIF(D220:D227,"ug/ft2")</f>
        <v>1</v>
      </c>
    </row>
    <row r="222" spans="1:38" x14ac:dyDescent="0.2">
      <c r="A222" s="27" t="s">
        <v>185</v>
      </c>
      <c r="B222" s="27" t="s">
        <v>186</v>
      </c>
      <c r="C222" s="27">
        <v>20.7</v>
      </c>
      <c r="D222" s="27" t="s">
        <v>4</v>
      </c>
      <c r="E222" s="27" t="s">
        <v>5</v>
      </c>
      <c r="F222" s="27" t="str">
        <f t="shared" si="73"/>
        <v>Yes</v>
      </c>
      <c r="G222" s="27" t="s">
        <v>5</v>
      </c>
      <c r="H222" s="27" t="s">
        <v>46</v>
      </c>
      <c r="J222" s="27" t="s">
        <v>11</v>
      </c>
      <c r="K222" s="27">
        <v>38</v>
      </c>
      <c r="L222" s="27" t="s">
        <v>12</v>
      </c>
      <c r="M222" s="27" t="s">
        <v>194</v>
      </c>
      <c r="N222" s="27" t="s">
        <v>9</v>
      </c>
      <c r="O222" s="27" t="str">
        <f t="shared" si="74"/>
        <v>No</v>
      </c>
      <c r="Q222" s="27" t="s">
        <v>98</v>
      </c>
      <c r="R222" s="27" t="str">
        <f>_xlfn.XLOOKUP("mg/cm2",D221:D227,G221:G227,"N/A")</f>
        <v>Yes</v>
      </c>
      <c r="S222" s="27" t="str">
        <f>IF(COUNTIF(O224:O225,"Yes"),"Yes","No")</f>
        <v>Yes</v>
      </c>
      <c r="U222" s="27" t="s">
        <v>95</v>
      </c>
      <c r="V222" s="27" t="str">
        <f>R221</f>
        <v>No</v>
      </c>
      <c r="W222" s="27" t="str">
        <f>S221</f>
        <v>No</v>
      </c>
      <c r="X222" s="27" t="str">
        <f t="shared" ref="X222:X225" si="75">IF(V222="N/A","N/A",IF(W222="N/A", "N/A", IF(V222=W222, "Yes","No")))</f>
        <v>Yes</v>
      </c>
    </row>
    <row r="223" spans="1:38" x14ac:dyDescent="0.2">
      <c r="A223" s="27" t="s">
        <v>187</v>
      </c>
      <c r="B223" s="27" t="s">
        <v>193</v>
      </c>
      <c r="C223" s="27">
        <v>105</v>
      </c>
      <c r="D223" s="27" t="s">
        <v>12</v>
      </c>
      <c r="E223" s="27" t="s">
        <v>9</v>
      </c>
      <c r="F223" s="27" t="str">
        <f>IF(C223&gt;$W$3,"Yes","No")</f>
        <v>No</v>
      </c>
      <c r="G223" s="27" t="s">
        <v>9</v>
      </c>
      <c r="J223" s="27" t="s">
        <v>15</v>
      </c>
      <c r="K223" s="27">
        <v>55</v>
      </c>
      <c r="L223" s="27" t="s">
        <v>12</v>
      </c>
      <c r="M223" s="27" t="s">
        <v>194</v>
      </c>
      <c r="N223" s="27" t="s">
        <v>9</v>
      </c>
      <c r="O223" s="27" t="str">
        <f t="shared" si="74"/>
        <v>No</v>
      </c>
      <c r="Q223" s="27" t="s">
        <v>117</v>
      </c>
      <c r="R223" s="27" t="str">
        <f>_xlfn.XLOOKUP("ug/ft2",D221:D227,F221:F227,"N/A")</f>
        <v>Yes</v>
      </c>
      <c r="S223" s="27" t="str">
        <f>IF(COUNTIF(O226:O228,"Yes"),"Yes","No")</f>
        <v>No</v>
      </c>
      <c r="U223" s="27" t="s">
        <v>163</v>
      </c>
      <c r="V223" s="27" t="s">
        <v>5</v>
      </c>
      <c r="W223" s="27" t="s">
        <v>120</v>
      </c>
      <c r="X223" s="27" t="str">
        <f t="shared" si="75"/>
        <v>N/A</v>
      </c>
    </row>
    <row r="224" spans="1:38" x14ac:dyDescent="0.2">
      <c r="A224" s="27" t="s">
        <v>188</v>
      </c>
      <c r="B224" s="27" t="s">
        <v>189</v>
      </c>
      <c r="C224" s="27">
        <v>1</v>
      </c>
      <c r="D224" s="27" t="s">
        <v>4</v>
      </c>
      <c r="E224" s="27" t="s">
        <v>5</v>
      </c>
      <c r="F224" s="27" t="str">
        <f t="shared" ref="F224:F226" si="76">IF(C224&gt;=$W$2,"Yes","No")</f>
        <v>Yes</v>
      </c>
      <c r="G224" s="27" t="s">
        <v>9</v>
      </c>
      <c r="H224" s="27" t="s">
        <v>43</v>
      </c>
      <c r="J224" s="27" t="s">
        <v>19</v>
      </c>
      <c r="K224" s="27">
        <v>1987</v>
      </c>
      <c r="L224" s="27" t="s">
        <v>12</v>
      </c>
      <c r="M224" s="27" t="s">
        <v>194</v>
      </c>
      <c r="N224" s="27" t="s">
        <v>9</v>
      </c>
      <c r="O224" s="27" t="str">
        <f t="shared" ref="O224:O225" si="77">IF(K224="Not","No",IF(K224="n/a","N/A",IF(K224&gt;$Y$2,"Yes","No")))</f>
        <v>No</v>
      </c>
      <c r="Q224" s="27" t="s">
        <v>118</v>
      </c>
      <c r="R224" s="27" t="str">
        <f>IF(COUNTIF(R221:R223,"Yes"),"Yes","No")</f>
        <v>Yes</v>
      </c>
      <c r="S224" s="27" t="str">
        <f>IF(COUNTIF(S221:S223,"Yes"),"Yes","No")</f>
        <v>Yes</v>
      </c>
      <c r="U224" s="27" t="s">
        <v>164</v>
      </c>
      <c r="V224" s="27" t="s">
        <v>5</v>
      </c>
      <c r="W224" s="27" t="s">
        <v>120</v>
      </c>
      <c r="X224" s="27" t="str">
        <f t="shared" si="75"/>
        <v>N/A</v>
      </c>
    </row>
    <row r="225" spans="1:38" x14ac:dyDescent="0.2">
      <c r="A225" s="27" t="s">
        <v>190</v>
      </c>
      <c r="B225" s="27" t="s">
        <v>189</v>
      </c>
      <c r="C225" s="27">
        <v>1.1000000000000001</v>
      </c>
      <c r="D225" s="27" t="s">
        <v>4</v>
      </c>
      <c r="E225" s="27" t="s">
        <v>5</v>
      </c>
      <c r="F225" s="27" t="str">
        <f t="shared" si="76"/>
        <v>Yes</v>
      </c>
      <c r="G225" s="27" t="s">
        <v>5</v>
      </c>
      <c r="H225" s="27" t="s">
        <v>43</v>
      </c>
      <c r="J225" s="27" t="s">
        <v>22</v>
      </c>
      <c r="K225" s="27">
        <v>53119</v>
      </c>
      <c r="L225" s="27" t="s">
        <v>12</v>
      </c>
      <c r="M225" s="27" t="s">
        <v>194</v>
      </c>
      <c r="N225" s="27" t="s">
        <v>5</v>
      </c>
      <c r="O225" s="27" t="str">
        <f t="shared" si="77"/>
        <v>Yes</v>
      </c>
      <c r="U225" s="27" t="s">
        <v>162</v>
      </c>
      <c r="V225" s="27" t="str">
        <f>R222</f>
        <v>Yes</v>
      </c>
      <c r="W225" s="27" t="str">
        <f>S222</f>
        <v>Yes</v>
      </c>
      <c r="X225" s="27" t="str">
        <f t="shared" si="75"/>
        <v>Yes</v>
      </c>
    </row>
    <row r="226" spans="1:38" x14ac:dyDescent="0.2">
      <c r="A226" s="27" t="s">
        <v>191</v>
      </c>
      <c r="B226" s="27" t="s">
        <v>189</v>
      </c>
      <c r="C226" s="27">
        <v>1.1000000000000001</v>
      </c>
      <c r="D226" s="27" t="s">
        <v>4</v>
      </c>
      <c r="E226" s="27" t="s">
        <v>5</v>
      </c>
      <c r="F226" s="27" t="str">
        <f t="shared" si="76"/>
        <v>Yes</v>
      </c>
      <c r="G226" s="27" t="s">
        <v>5</v>
      </c>
      <c r="H226" s="27" t="s">
        <v>43</v>
      </c>
      <c r="J226" s="27" t="s">
        <v>25</v>
      </c>
      <c r="K226" s="27">
        <v>0</v>
      </c>
      <c r="L226" s="27" t="s">
        <v>12</v>
      </c>
      <c r="M226" s="27" t="s">
        <v>194</v>
      </c>
      <c r="N226" s="27" t="s">
        <v>9</v>
      </c>
      <c r="O226" s="27" t="str">
        <f t="shared" ref="O226:O228" si="78">IF(K226="Not","No",IF(K226="n/a","N/A",IF(K226&gt;$Y$6,"Yes","No")))</f>
        <v>No</v>
      </c>
      <c r="U226" s="27" t="s">
        <v>101</v>
      </c>
      <c r="V226" s="27" t="s">
        <v>120</v>
      </c>
      <c r="W226" s="27" t="s">
        <v>120</v>
      </c>
      <c r="X226" s="27" t="str">
        <f>IF(V226="N/A","N/A",IF(W226="N/A", "N/A", IF(V226=W226, "Yes","No")))</f>
        <v>N/A</v>
      </c>
    </row>
    <row r="227" spans="1:38" x14ac:dyDescent="0.2">
      <c r="A227" s="27" t="s">
        <v>188</v>
      </c>
      <c r="B227" s="27" t="s">
        <v>192</v>
      </c>
      <c r="C227" s="27">
        <v>118</v>
      </c>
      <c r="D227" s="27" t="s">
        <v>33</v>
      </c>
      <c r="E227" s="27" t="s">
        <v>5</v>
      </c>
      <c r="F227" s="27" t="str">
        <f>IF(C227&gt;=$W$5,"Yes","No")</f>
        <v>Yes</v>
      </c>
      <c r="G227" s="27" t="s">
        <v>5</v>
      </c>
      <c r="J227" s="27" t="s">
        <v>29</v>
      </c>
      <c r="K227" s="27">
        <v>0</v>
      </c>
      <c r="L227" s="27" t="s">
        <v>12</v>
      </c>
      <c r="M227" s="27" t="s">
        <v>194</v>
      </c>
      <c r="N227" s="27" t="s">
        <v>9</v>
      </c>
      <c r="O227" s="27" t="str">
        <f t="shared" si="78"/>
        <v>No</v>
      </c>
      <c r="U227" s="27" t="s">
        <v>104</v>
      </c>
      <c r="V227" s="27" t="s">
        <v>5</v>
      </c>
      <c r="W227" s="27" t="s">
        <v>120</v>
      </c>
      <c r="X227" s="27" t="str">
        <f>IF(V227="N/A","N/A",IF(W227="N/A", "N/A", IF(V227=W227, "Yes","No")))</f>
        <v>N/A</v>
      </c>
    </row>
    <row r="228" spans="1:38" x14ac:dyDescent="0.2">
      <c r="J228" s="27" t="s">
        <v>34</v>
      </c>
      <c r="K228" s="27">
        <v>0</v>
      </c>
      <c r="L228" s="27" t="s">
        <v>12</v>
      </c>
      <c r="M228" s="27" t="s">
        <v>194</v>
      </c>
      <c r="N228" s="27" t="s">
        <v>9</v>
      </c>
      <c r="O228" s="27" t="str">
        <f t="shared" si="78"/>
        <v>No</v>
      </c>
      <c r="U228" s="27" t="s">
        <v>106</v>
      </c>
      <c r="V228" s="27" t="str">
        <f>R223</f>
        <v>Yes</v>
      </c>
      <c r="W228" s="27" t="str">
        <f>S223</f>
        <v>No</v>
      </c>
      <c r="X228" s="27" t="str">
        <f>IF(V228="N/A","N/A",IF(W228="N/A", "N/A", IF(V228=W228, "Yes","No")))</f>
        <v>No</v>
      </c>
    </row>
    <row r="229" spans="1:38" x14ac:dyDescent="0.2">
      <c r="C229" s="27">
        <v>13</v>
      </c>
      <c r="U229" s="27" t="s">
        <v>121</v>
      </c>
      <c r="V229" s="27" t="str">
        <f>R224</f>
        <v>Yes</v>
      </c>
      <c r="W229" s="27" t="str">
        <f>S224</f>
        <v>Yes</v>
      </c>
      <c r="X229" s="27" t="str">
        <f>IF(V229="N/A","N/A",IF(W229="N/A", "N/A", IF(V229=W229, "Yes","No")))</f>
        <v>Yes</v>
      </c>
    </row>
    <row r="230" spans="1:38" x14ac:dyDescent="0.2">
      <c r="A230" s="27">
        <v>1268</v>
      </c>
    </row>
    <row r="231" spans="1:38" x14ac:dyDescent="0.2">
      <c r="A231" s="59" t="s">
        <v>0</v>
      </c>
      <c r="E231" s="27" t="s">
        <v>274</v>
      </c>
      <c r="F231" s="27" t="s">
        <v>275</v>
      </c>
      <c r="G231" s="27" t="s">
        <v>119</v>
      </c>
      <c r="J231" s="59" t="s">
        <v>1</v>
      </c>
      <c r="N231" s="27" t="s">
        <v>277</v>
      </c>
      <c r="O231" s="27" t="s">
        <v>278</v>
      </c>
      <c r="Q231" s="59" t="s">
        <v>115</v>
      </c>
      <c r="R231" s="59" t="s">
        <v>0</v>
      </c>
      <c r="S231" s="59" t="s">
        <v>1</v>
      </c>
      <c r="U231" s="59" t="s">
        <v>115</v>
      </c>
      <c r="V231" s="59" t="s">
        <v>0</v>
      </c>
      <c r="W231" s="59" t="s">
        <v>1</v>
      </c>
      <c r="X231" s="59" t="s">
        <v>122</v>
      </c>
      <c r="AA231" s="27" t="str">
        <f>IF(R232="Yes","LRA-Soil","")</f>
        <v/>
      </c>
      <c r="AB231" s="27" t="str">
        <f>IF(R233="Yes","LRA-Paint","")</f>
        <v/>
      </c>
      <c r="AC231" s="27" t="str">
        <f>IF(R234="Yes","LRA-Dust","")</f>
        <v/>
      </c>
      <c r="AD231" s="27" t="str">
        <f>IF(S232="Yes","LSK-Soil","")</f>
        <v/>
      </c>
      <c r="AE231" s="27" t="str">
        <f>IF(S233="Yes","LSK-Paint","")</f>
        <v/>
      </c>
      <c r="AF231" s="27" t="str">
        <f>IF(S234="Yes","LSK-Dust","")</f>
        <v/>
      </c>
      <c r="AI231" s="27" t="s">
        <v>46</v>
      </c>
      <c r="AJ231" s="27" t="s">
        <v>43</v>
      </c>
      <c r="AK231" s="27" t="s">
        <v>116</v>
      </c>
      <c r="AL231" s="27" t="s">
        <v>117</v>
      </c>
    </row>
    <row r="232" spans="1:38" x14ac:dyDescent="0.2">
      <c r="A232" s="27" t="s">
        <v>63</v>
      </c>
      <c r="B232" s="27" t="s">
        <v>10</v>
      </c>
      <c r="C232" s="27">
        <v>0</v>
      </c>
      <c r="D232" s="27" t="s">
        <v>4</v>
      </c>
      <c r="E232" s="27" t="s">
        <v>9</v>
      </c>
      <c r="F232" s="27" t="str">
        <f t="shared" ref="F232" si="79">IF(C232&gt;=$W$2,"Yes","No")</f>
        <v>No</v>
      </c>
      <c r="G232" s="27" t="s">
        <v>9</v>
      </c>
      <c r="H232" s="27" t="s">
        <v>46</v>
      </c>
      <c r="J232" s="27" t="s">
        <v>6</v>
      </c>
      <c r="K232" s="27">
        <v>6</v>
      </c>
      <c r="L232" s="27" t="s">
        <v>7</v>
      </c>
      <c r="M232" s="27" t="s">
        <v>36</v>
      </c>
      <c r="N232" s="27" t="s">
        <v>9</v>
      </c>
      <c r="O232" s="27" t="str">
        <f t="shared" ref="O232:O234" si="80">IF(K232="Not","No",IF(K232="n/a","N/A",IF(K232&gt;$Y$3,"Yes","No")))</f>
        <v>No</v>
      </c>
      <c r="Q232" s="27" t="s">
        <v>116</v>
      </c>
      <c r="R232" s="27" t="str">
        <f>_xlfn.XLOOKUP("ppm",D232:D238,F232:F238,"N/A")</f>
        <v>No</v>
      </c>
      <c r="S232" s="27" t="str">
        <f>IF(COUNTIF(O232:O234,"Yes"),"Yes","No")</f>
        <v>No</v>
      </c>
      <c r="U232" s="27" t="s">
        <v>92</v>
      </c>
      <c r="V232" s="27" t="s">
        <v>120</v>
      </c>
      <c r="W232" s="27" t="s">
        <v>120</v>
      </c>
      <c r="X232" s="27" t="str">
        <f>IF(V232="N/A","N/A",IF(W232="N/A", "N/A", IF(V232=W232, "Yes","No")))</f>
        <v>N/A</v>
      </c>
      <c r="AI232" s="27">
        <f>COUNTIF(H231:H236,"Exterior")</f>
        <v>1</v>
      </c>
      <c r="AJ232" s="27">
        <f>COUNTIF(H231:H236, "Interior")</f>
        <v>1</v>
      </c>
      <c r="AK232" s="27">
        <f>COUNTIFS(D231:D236,"ppm")+COUNTIFS(D231:D236,"mg/Kg")</f>
        <v>1</v>
      </c>
      <c r="AL232" s="27">
        <f>COUNTIF(D231:D236,"ug/ft2")</f>
        <v>1</v>
      </c>
    </row>
    <row r="233" spans="1:38" x14ac:dyDescent="0.2">
      <c r="A233" s="27" t="s">
        <v>83</v>
      </c>
      <c r="B233" s="27" t="s">
        <v>69</v>
      </c>
      <c r="C233" s="27">
        <v>40</v>
      </c>
      <c r="D233" s="27" t="s">
        <v>12</v>
      </c>
      <c r="E233" s="27" t="s">
        <v>9</v>
      </c>
      <c r="F233" s="27" t="str">
        <f>IF(C233&gt;$W$3,"Yes","No")</f>
        <v>No</v>
      </c>
      <c r="G233" s="27" t="s">
        <v>9</v>
      </c>
      <c r="J233" s="27" t="s">
        <v>11</v>
      </c>
      <c r="K233" s="27">
        <v>9</v>
      </c>
      <c r="L233" s="27" t="s">
        <v>12</v>
      </c>
      <c r="M233" s="27" t="s">
        <v>38</v>
      </c>
      <c r="N233" s="27" t="s">
        <v>9</v>
      </c>
      <c r="O233" s="27" t="str">
        <f t="shared" si="80"/>
        <v>No</v>
      </c>
      <c r="Q233" s="27" t="s">
        <v>98</v>
      </c>
      <c r="R233" s="27" t="str">
        <f>_xlfn.XLOOKUP("mg/cm2",D232:D238,G232:G238,"N/A")</f>
        <v>No</v>
      </c>
      <c r="S233" s="27" t="str">
        <f>IF(COUNTIF(O235:O236,"Yes"),"Yes","No")</f>
        <v>No</v>
      </c>
      <c r="U233" s="27" t="s">
        <v>95</v>
      </c>
      <c r="V233" s="27" t="str">
        <f>R232</f>
        <v>No</v>
      </c>
      <c r="W233" s="27" t="str">
        <f>S232</f>
        <v>No</v>
      </c>
      <c r="X233" s="27" t="str">
        <f t="shared" ref="X233:X236" si="81">IF(V233="N/A","N/A",IF(W233="N/A", "N/A", IF(V233=W233, "Yes","No")))</f>
        <v>Yes</v>
      </c>
    </row>
    <row r="234" spans="1:38" x14ac:dyDescent="0.2">
      <c r="A234" s="27" t="s">
        <v>71</v>
      </c>
      <c r="B234" s="27" t="s">
        <v>40</v>
      </c>
      <c r="C234" s="27">
        <v>0</v>
      </c>
      <c r="D234" s="27" t="s">
        <v>4</v>
      </c>
      <c r="E234" s="27" t="s">
        <v>9</v>
      </c>
      <c r="F234" s="27" t="str">
        <f t="shared" ref="F234:F235" si="82">IF(C234&gt;=$W$2,"Yes","No")</f>
        <v>No</v>
      </c>
      <c r="G234" s="27" t="s">
        <v>9</v>
      </c>
      <c r="H234" s="27" t="s">
        <v>43</v>
      </c>
      <c r="J234" s="27" t="s">
        <v>15</v>
      </c>
      <c r="K234" s="27">
        <v>12</v>
      </c>
      <c r="L234" s="27" t="s">
        <v>12</v>
      </c>
      <c r="M234" s="27" t="s">
        <v>41</v>
      </c>
      <c r="N234" s="27" t="s">
        <v>9</v>
      </c>
      <c r="O234" s="27" t="str">
        <f t="shared" si="80"/>
        <v>No</v>
      </c>
      <c r="Q234" s="27" t="s">
        <v>117</v>
      </c>
      <c r="R234" s="27" t="str">
        <f>_xlfn.XLOOKUP("ug/ft2",D232:D238,F232:F238,"N/A")</f>
        <v>No</v>
      </c>
      <c r="S234" s="27" t="str">
        <f>IF(COUNTIF(O237:O239,"Yes"),"Yes","No")</f>
        <v>No</v>
      </c>
      <c r="U234" s="27" t="s">
        <v>163</v>
      </c>
      <c r="V234" s="27" t="s">
        <v>9</v>
      </c>
      <c r="W234" s="27" t="s">
        <v>9</v>
      </c>
      <c r="X234" s="27" t="str">
        <f t="shared" si="81"/>
        <v>Yes</v>
      </c>
    </row>
    <row r="235" spans="1:38" x14ac:dyDescent="0.2">
      <c r="A235" s="27" t="s">
        <v>73</v>
      </c>
      <c r="B235" s="27" t="s">
        <v>56</v>
      </c>
      <c r="C235" s="27">
        <v>0.04</v>
      </c>
      <c r="D235" s="27" t="s">
        <v>4</v>
      </c>
      <c r="E235" s="27" t="s">
        <v>9</v>
      </c>
      <c r="F235" s="27" t="str">
        <f t="shared" si="82"/>
        <v>No</v>
      </c>
      <c r="G235" s="27" t="s">
        <v>9</v>
      </c>
      <c r="J235" s="27" t="s">
        <v>19</v>
      </c>
      <c r="K235" s="27">
        <v>0</v>
      </c>
      <c r="L235" s="27" t="s">
        <v>12</v>
      </c>
      <c r="M235" s="27" t="s">
        <v>197</v>
      </c>
      <c r="N235" s="27" t="s">
        <v>9</v>
      </c>
      <c r="O235" s="27" t="str">
        <f t="shared" ref="O235:O236" si="83">IF(K235="Not","No",IF(K235="n/a","N/A",IF(K235&gt;$Y$2,"Yes","No")))</f>
        <v>No</v>
      </c>
      <c r="Q235" s="27" t="s">
        <v>118</v>
      </c>
      <c r="R235" s="27" t="str">
        <f>IF(COUNTIF(R232:R234,"Yes"),"Yes","No")</f>
        <v>No</v>
      </c>
      <c r="S235" s="27" t="str">
        <f>IF(COUNTIF(S232:S234,"Yes"),"Yes","No")</f>
        <v>No</v>
      </c>
      <c r="U235" s="27" t="s">
        <v>164</v>
      </c>
      <c r="V235" s="27" t="s">
        <v>9</v>
      </c>
      <c r="W235" s="27" t="s">
        <v>9</v>
      </c>
      <c r="X235" s="27" t="str">
        <f t="shared" si="81"/>
        <v>Yes</v>
      </c>
    </row>
    <row r="236" spans="1:38" x14ac:dyDescent="0.2">
      <c r="A236" s="27" t="s">
        <v>64</v>
      </c>
      <c r="B236" s="27" t="s">
        <v>32</v>
      </c>
      <c r="C236" s="27">
        <v>3</v>
      </c>
      <c r="D236" s="27" t="s">
        <v>33</v>
      </c>
      <c r="E236" s="27" t="s">
        <v>9</v>
      </c>
      <c r="F236" s="27" t="str">
        <f>IF(C236&gt;$W$6,"Yes","No")</f>
        <v>No</v>
      </c>
      <c r="G236" s="27" t="s">
        <v>9</v>
      </c>
      <c r="J236" s="27" t="s">
        <v>22</v>
      </c>
      <c r="K236" s="27">
        <v>0</v>
      </c>
      <c r="L236" s="27" t="s">
        <v>12</v>
      </c>
      <c r="M236" s="27" t="s">
        <v>62</v>
      </c>
      <c r="N236" s="27" t="s">
        <v>9</v>
      </c>
      <c r="O236" s="27" t="str">
        <f t="shared" si="83"/>
        <v>No</v>
      </c>
      <c r="U236" s="27" t="s">
        <v>162</v>
      </c>
      <c r="V236" s="27" t="str">
        <f>R233</f>
        <v>No</v>
      </c>
      <c r="W236" s="27" t="str">
        <f>S233</f>
        <v>No</v>
      </c>
      <c r="X236" s="27" t="str">
        <f t="shared" si="81"/>
        <v>Yes</v>
      </c>
    </row>
    <row r="237" spans="1:38" x14ac:dyDescent="0.2">
      <c r="J237" s="27" t="s">
        <v>25</v>
      </c>
      <c r="K237" s="27">
        <v>0</v>
      </c>
      <c r="L237" s="27" t="s">
        <v>12</v>
      </c>
      <c r="M237" s="27" t="s">
        <v>59</v>
      </c>
      <c r="N237" s="27" t="s">
        <v>9</v>
      </c>
      <c r="O237" s="27" t="str">
        <f>IF(K237="Not","No",IF(K237="n/a","N/A",IF(K237&gt;$Y$5,"Yes","No")))</f>
        <v>No</v>
      </c>
      <c r="U237" s="27" t="s">
        <v>101</v>
      </c>
      <c r="V237" s="27" t="s">
        <v>9</v>
      </c>
      <c r="W237" s="27" t="s">
        <v>9</v>
      </c>
      <c r="X237" s="27" t="str">
        <f>IF(V237="N/A","N/A",IF(W237="N/A", "N/A", IF(V237=W237, "Yes","No")))</f>
        <v>Yes</v>
      </c>
    </row>
    <row r="238" spans="1:38" x14ac:dyDescent="0.2">
      <c r="J238" s="27" t="s">
        <v>29</v>
      </c>
      <c r="K238" s="27">
        <v>0</v>
      </c>
      <c r="L238" s="27" t="s">
        <v>12</v>
      </c>
      <c r="M238" s="27" t="s">
        <v>60</v>
      </c>
      <c r="N238" s="27" t="s">
        <v>9</v>
      </c>
      <c r="O238" s="27" t="str">
        <f t="shared" ref="O238:O239" si="84">IF(K238="Not","No",IF(K238="n/a","N/A",IF(K238&gt;$Y$6,"Yes","No")))</f>
        <v>No</v>
      </c>
      <c r="U238" s="27" t="s">
        <v>104</v>
      </c>
      <c r="V238" s="27" t="s">
        <v>120</v>
      </c>
      <c r="W238" s="27" t="s">
        <v>9</v>
      </c>
      <c r="X238" s="27" t="str">
        <f>IF(V238="N/A","N/A",IF(W238="N/A", "N/A", IF(V238=W238, "Yes","No")))</f>
        <v>N/A</v>
      </c>
    </row>
    <row r="239" spans="1:38" x14ac:dyDescent="0.2">
      <c r="J239" s="27" t="s">
        <v>34</v>
      </c>
      <c r="K239" s="27">
        <v>0</v>
      </c>
      <c r="L239" s="27" t="s">
        <v>12</v>
      </c>
      <c r="M239" s="27" t="s">
        <v>198</v>
      </c>
      <c r="N239" s="27" t="s">
        <v>9</v>
      </c>
      <c r="O239" s="27" t="str">
        <f t="shared" si="84"/>
        <v>No</v>
      </c>
      <c r="U239" s="27" t="s">
        <v>106</v>
      </c>
      <c r="V239" s="27" t="str">
        <f>R234</f>
        <v>No</v>
      </c>
      <c r="W239" s="27" t="str">
        <f>S234</f>
        <v>No</v>
      </c>
      <c r="X239" s="27" t="str">
        <f>IF(V239="N/A","N/A",IF(W239="N/A", "N/A", IF(V239=W239, "Yes","No")))</f>
        <v>Yes</v>
      </c>
    </row>
    <row r="240" spans="1:38" x14ac:dyDescent="0.2">
      <c r="U240" s="27" t="s">
        <v>121</v>
      </c>
      <c r="V240" s="27" t="str">
        <f>R235</f>
        <v>No</v>
      </c>
      <c r="W240" s="27" t="str">
        <f>S235</f>
        <v>No</v>
      </c>
      <c r="X240" s="27" t="str">
        <f>IF(V240="N/A","N/A",IF(W240="N/A", "N/A", IF(V240=W240, "Yes","No")))</f>
        <v>Yes</v>
      </c>
    </row>
    <row r="243" spans="1:38" x14ac:dyDescent="0.2">
      <c r="A243" s="57">
        <v>1266</v>
      </c>
      <c r="C243" s="27">
        <v>14</v>
      </c>
    </row>
    <row r="244" spans="1:38" x14ac:dyDescent="0.2">
      <c r="A244" s="59" t="s">
        <v>0</v>
      </c>
      <c r="E244" s="27" t="s">
        <v>274</v>
      </c>
      <c r="F244" s="27" t="s">
        <v>275</v>
      </c>
      <c r="G244" s="27" t="s">
        <v>119</v>
      </c>
      <c r="J244" s="59" t="s">
        <v>1</v>
      </c>
      <c r="N244" s="27" t="s">
        <v>277</v>
      </c>
      <c r="O244" s="27" t="s">
        <v>278</v>
      </c>
      <c r="Q244" s="59" t="s">
        <v>115</v>
      </c>
      <c r="R244" s="59" t="s">
        <v>0</v>
      </c>
      <c r="S244" s="59" t="s">
        <v>1</v>
      </c>
      <c r="U244" s="59" t="s">
        <v>115</v>
      </c>
      <c r="V244" s="59" t="s">
        <v>0</v>
      </c>
      <c r="W244" s="59" t="s">
        <v>1</v>
      </c>
      <c r="X244" s="59" t="s">
        <v>122</v>
      </c>
      <c r="AA244" s="27" t="str">
        <f>IF(R245="Yes","LRA-Soil","")</f>
        <v/>
      </c>
      <c r="AB244" s="27" t="str">
        <f>IF(R246="Yes","LRA-Paint","")</f>
        <v>LRA-Paint</v>
      </c>
      <c r="AC244" s="27" t="str">
        <f>IF(R247="Yes","LRA-Dust","")</f>
        <v/>
      </c>
      <c r="AD244" s="27" t="str">
        <f>IF(S245="Yes","LSK-Soil","")</f>
        <v/>
      </c>
      <c r="AE244" s="27" t="str">
        <f>IF(S246="Yes","LSK-Paint","")</f>
        <v/>
      </c>
      <c r="AF244" s="27" t="str">
        <f>IF(S247="Yes","LSK-Dust","")</f>
        <v/>
      </c>
      <c r="AI244" s="27" t="s">
        <v>46</v>
      </c>
      <c r="AJ244" s="27" t="s">
        <v>43</v>
      </c>
      <c r="AK244" s="27" t="s">
        <v>116</v>
      </c>
      <c r="AL244" s="27" t="s">
        <v>117</v>
      </c>
    </row>
    <row r="245" spans="1:38" x14ac:dyDescent="0.2">
      <c r="A245" s="27" t="s">
        <v>63</v>
      </c>
      <c r="B245" s="27" t="s">
        <v>203</v>
      </c>
      <c r="C245" s="27">
        <v>7.2</v>
      </c>
      <c r="D245" s="27" t="s">
        <v>4</v>
      </c>
      <c r="E245" s="27" t="s">
        <v>5</v>
      </c>
      <c r="F245" s="27" t="str">
        <f t="shared" ref="F245:F246" si="85">IF(C245&gt;=$W$2,"Yes","No")</f>
        <v>Yes</v>
      </c>
      <c r="G245" s="27" t="s">
        <v>5</v>
      </c>
      <c r="H245" s="27" t="s">
        <v>46</v>
      </c>
      <c r="J245" s="27" t="s">
        <v>6</v>
      </c>
      <c r="K245" s="27">
        <v>46</v>
      </c>
      <c r="L245" s="27" t="s">
        <v>12</v>
      </c>
      <c r="M245" s="27" t="s">
        <v>36</v>
      </c>
      <c r="N245" s="27" t="s">
        <v>9</v>
      </c>
      <c r="O245" s="27" t="str">
        <f t="shared" ref="O245:O247" si="86">IF(K245="Not","No",IF(K245="n/a","N/A",IF(K245&gt;$Y$3,"Yes","No")))</f>
        <v>No</v>
      </c>
      <c r="Q245" s="27" t="s">
        <v>116</v>
      </c>
      <c r="R245" s="27" t="str">
        <f>_xlfn.XLOOKUP("ppm",D246:D251,F246:F251,"N/A")</f>
        <v>No</v>
      </c>
      <c r="S245" s="27" t="str">
        <f>IF(COUNTIF(O245:O247,"Yes"),"Yes","No")</f>
        <v>No</v>
      </c>
      <c r="U245" s="27" t="s">
        <v>92</v>
      </c>
      <c r="V245" s="27" t="s">
        <v>120</v>
      </c>
      <c r="W245" s="27" t="s">
        <v>120</v>
      </c>
      <c r="X245" s="27" t="str">
        <f>IF(V245="N/A","N/A",IF(W245="N/A", "N/A", IF(V245=W245, "Yes","No")))</f>
        <v>N/A</v>
      </c>
      <c r="AI245" s="27">
        <f>COUNTIF(H244:H249,"Exterior")</f>
        <v>2</v>
      </c>
      <c r="AJ245" s="27">
        <f>COUNTIF(H244:H249, "Interior")</f>
        <v>1</v>
      </c>
      <c r="AK245" s="27">
        <f>COUNTIFS(D244:D249,"ppm")+COUNTIFS(D244:D249,"mg/Kg")</f>
        <v>1</v>
      </c>
      <c r="AL245" s="27">
        <f>COUNTIF(D244:D249,"ug/ft2")</f>
        <v>1</v>
      </c>
    </row>
    <row r="246" spans="1:38" x14ac:dyDescent="0.2">
      <c r="A246" s="27" t="s">
        <v>185</v>
      </c>
      <c r="B246" s="27" t="s">
        <v>204</v>
      </c>
      <c r="C246" s="27">
        <v>1.1000000000000001</v>
      </c>
      <c r="D246" s="27" t="s">
        <v>4</v>
      </c>
      <c r="E246" s="27" t="s">
        <v>5</v>
      </c>
      <c r="F246" s="27" t="str">
        <f t="shared" si="85"/>
        <v>Yes</v>
      </c>
      <c r="G246" s="27" t="s">
        <v>5</v>
      </c>
      <c r="H246" s="27" t="s">
        <v>46</v>
      </c>
      <c r="J246" s="27" t="s">
        <v>11</v>
      </c>
      <c r="K246" s="27">
        <v>44</v>
      </c>
      <c r="L246" s="27" t="s">
        <v>12</v>
      </c>
      <c r="M246" s="27" t="s">
        <v>38</v>
      </c>
      <c r="N246" s="27" t="s">
        <v>9</v>
      </c>
      <c r="O246" s="27" t="str">
        <f t="shared" si="86"/>
        <v>No</v>
      </c>
      <c r="Q246" s="27" t="s">
        <v>98</v>
      </c>
      <c r="R246" s="27" t="str">
        <f>_xlfn.XLOOKUP("mg/cm2",D246:D251,G246:G251,"N/A")</f>
        <v>Yes</v>
      </c>
      <c r="S246" s="27" t="str">
        <f>IF(COUNTIF(O248:O249,"Yes"),"Yes","No")</f>
        <v>No</v>
      </c>
      <c r="U246" s="27" t="s">
        <v>95</v>
      </c>
      <c r="V246" s="27" t="str">
        <f>R245</f>
        <v>No</v>
      </c>
      <c r="W246" s="27" t="str">
        <f>S245</f>
        <v>No</v>
      </c>
      <c r="X246" s="27" t="str">
        <f t="shared" ref="X246:X249" si="87">IF(V246="N/A","N/A",IF(W246="N/A", "N/A", IF(V246=W246, "Yes","No")))</f>
        <v>Yes</v>
      </c>
    </row>
    <row r="247" spans="1:38" x14ac:dyDescent="0.2">
      <c r="A247" s="27" t="s">
        <v>200</v>
      </c>
      <c r="B247" s="27" t="s">
        <v>205</v>
      </c>
      <c r="C247" s="27">
        <v>327</v>
      </c>
      <c r="D247" s="27" t="s">
        <v>12</v>
      </c>
      <c r="E247" s="27" t="s">
        <v>9</v>
      </c>
      <c r="F247" s="27" t="str">
        <f>IF(C247&gt;$W$3,"Yes","No")</f>
        <v>No</v>
      </c>
      <c r="G247" s="27" t="s">
        <v>9</v>
      </c>
      <c r="J247" s="27" t="s">
        <v>15</v>
      </c>
      <c r="K247" s="27">
        <v>77</v>
      </c>
      <c r="L247" s="27" t="s">
        <v>12</v>
      </c>
      <c r="M247" s="27" t="s">
        <v>41</v>
      </c>
      <c r="N247" s="27" t="s">
        <v>9</v>
      </c>
      <c r="O247" s="27" t="str">
        <f t="shared" si="86"/>
        <v>No</v>
      </c>
      <c r="Q247" s="27" t="s">
        <v>117</v>
      </c>
      <c r="R247" s="27" t="str">
        <f>_xlfn.XLOOKUP("ug/ft2",D246:D251,F246:F251,"N/A")</f>
        <v>No</v>
      </c>
      <c r="S247" s="27" t="str">
        <f>IF(COUNTIF(O250:O252,"Yes"),"Yes","No")</f>
        <v>No</v>
      </c>
      <c r="U247" s="27" t="s">
        <v>163</v>
      </c>
      <c r="V247" s="27" t="s">
        <v>9</v>
      </c>
      <c r="W247" s="27" t="s">
        <v>120</v>
      </c>
      <c r="X247" s="27" t="str">
        <f t="shared" si="87"/>
        <v>N/A</v>
      </c>
    </row>
    <row r="248" spans="1:38" x14ac:dyDescent="0.2">
      <c r="A248" s="27" t="s">
        <v>201</v>
      </c>
      <c r="B248" s="27" t="s">
        <v>40</v>
      </c>
      <c r="C248" s="27">
        <v>0</v>
      </c>
      <c r="D248" s="27" t="s">
        <v>4</v>
      </c>
      <c r="E248" s="27" t="s">
        <v>9</v>
      </c>
      <c r="F248" s="27" t="str">
        <f t="shared" ref="F248" si="88">IF(C248&gt;=$W$2,"Yes","No")</f>
        <v>No</v>
      </c>
      <c r="G248" s="27" t="s">
        <v>9</v>
      </c>
      <c r="H248" s="27" t="s">
        <v>43</v>
      </c>
      <c r="J248" s="27" t="s">
        <v>19</v>
      </c>
      <c r="K248" s="27" t="s">
        <v>120</v>
      </c>
      <c r="M248" s="27" t="s">
        <v>66</v>
      </c>
      <c r="N248" s="27" t="s">
        <v>9</v>
      </c>
      <c r="O248" s="27" t="str">
        <f t="shared" ref="O248:O249" si="89">IF(K248="Not","No",IF(K248="n/a","N/A",IF(K248&gt;$Y$2,"Yes","No")))</f>
        <v>N/A</v>
      </c>
      <c r="Q248" s="27" t="s">
        <v>118</v>
      </c>
      <c r="R248" s="27" t="str">
        <f>IF(COUNTIF(R245:R247,"Yes"),"Yes","No")</f>
        <v>Yes</v>
      </c>
      <c r="S248" s="27" t="str">
        <f>IF(COUNTIF(S245:S247,"Yes"),"Yes","No")</f>
        <v>No</v>
      </c>
      <c r="U248" s="27" t="s">
        <v>164</v>
      </c>
      <c r="V248" s="27" t="s">
        <v>5</v>
      </c>
      <c r="W248" s="27" t="s">
        <v>9</v>
      </c>
      <c r="X248" s="27" t="str">
        <f t="shared" si="87"/>
        <v>No</v>
      </c>
    </row>
    <row r="249" spans="1:38" x14ac:dyDescent="0.2">
      <c r="A249" s="27" t="s">
        <v>157</v>
      </c>
      <c r="B249" s="27" t="s">
        <v>54</v>
      </c>
      <c r="C249" s="27">
        <v>10</v>
      </c>
      <c r="D249" s="27" t="s">
        <v>33</v>
      </c>
      <c r="E249" s="27" t="s">
        <v>9</v>
      </c>
      <c r="F249" s="27" t="str">
        <f>IF(C249&gt;=$W$5,"Yes","No")</f>
        <v>No</v>
      </c>
      <c r="G249" s="27" t="s">
        <v>9</v>
      </c>
      <c r="J249" s="27" t="s">
        <v>22</v>
      </c>
      <c r="K249" s="27">
        <v>501</v>
      </c>
      <c r="L249" s="27" t="s">
        <v>12</v>
      </c>
      <c r="M249" s="27" t="s">
        <v>36</v>
      </c>
      <c r="N249" s="27" t="s">
        <v>9</v>
      </c>
      <c r="O249" s="27" t="str">
        <f t="shared" si="89"/>
        <v>No</v>
      </c>
      <c r="U249" s="27" t="s">
        <v>162</v>
      </c>
      <c r="V249" s="27" t="str">
        <f>R246</f>
        <v>Yes</v>
      </c>
      <c r="W249" s="27" t="str">
        <f>S246</f>
        <v>No</v>
      </c>
      <c r="X249" s="27" t="str">
        <f t="shared" si="87"/>
        <v>No</v>
      </c>
    </row>
    <row r="250" spans="1:38" x14ac:dyDescent="0.2">
      <c r="J250" s="27" t="s">
        <v>25</v>
      </c>
      <c r="K250" s="27">
        <v>45</v>
      </c>
      <c r="L250" s="27" t="s">
        <v>12</v>
      </c>
      <c r="M250" s="27" t="s">
        <v>59</v>
      </c>
      <c r="N250" s="27" t="s">
        <v>9</v>
      </c>
      <c r="O250" s="27" t="str">
        <f>IF(K250="Not","No",IF(K250="n/a","N/A",IF(K250&gt;$Y$5,"Yes","No")))</f>
        <v>No</v>
      </c>
      <c r="U250" s="27" t="s">
        <v>101</v>
      </c>
      <c r="V250" s="27" t="s">
        <v>120</v>
      </c>
      <c r="W250" s="27" t="s">
        <v>9</v>
      </c>
      <c r="X250" s="27" t="str">
        <f>IF(V250="N/A","N/A",IF(W250="N/A", "N/A", IF(V250=W250, "Yes","No")))</f>
        <v>N/A</v>
      </c>
    </row>
    <row r="251" spans="1:38" x14ac:dyDescent="0.2">
      <c r="J251" s="27" t="s">
        <v>29</v>
      </c>
      <c r="K251" s="27">
        <v>14</v>
      </c>
      <c r="L251" s="27" t="s">
        <v>12</v>
      </c>
      <c r="M251" s="27" t="s">
        <v>206</v>
      </c>
      <c r="N251" s="27" t="s">
        <v>9</v>
      </c>
      <c r="O251" s="27" t="str">
        <f>IF(K251="Not","No",IF(K251="n/a","N/A",IF(K251&gt;$Y$5,"Yes","No")))</f>
        <v>No</v>
      </c>
      <c r="U251" s="27" t="s">
        <v>104</v>
      </c>
      <c r="V251" s="27" t="s">
        <v>9</v>
      </c>
      <c r="W251" s="27" t="s">
        <v>9</v>
      </c>
      <c r="X251" s="27" t="str">
        <f>IF(V251="N/A","N/A",IF(W251="N/A", "N/A", IF(V251=W251, "Yes","No")))</f>
        <v>Yes</v>
      </c>
    </row>
    <row r="252" spans="1:38" x14ac:dyDescent="0.2">
      <c r="J252" s="27" t="s">
        <v>34</v>
      </c>
      <c r="K252" s="27">
        <v>17</v>
      </c>
      <c r="L252" s="27" t="s">
        <v>12</v>
      </c>
      <c r="M252" s="27" t="s">
        <v>207</v>
      </c>
      <c r="N252" s="27" t="s">
        <v>9</v>
      </c>
      <c r="O252" s="27" t="str">
        <f>IF(K252="Not","No",IF(K252="n/a","N/A",IF(K252&gt;$Y$6,"Yes","No")))</f>
        <v>No</v>
      </c>
      <c r="U252" s="27" t="s">
        <v>106</v>
      </c>
      <c r="V252" s="27" t="str">
        <f>R247</f>
        <v>No</v>
      </c>
      <c r="W252" s="27" t="str">
        <f>S247</f>
        <v>No</v>
      </c>
      <c r="X252" s="27" t="str">
        <f>IF(V252="N/A","N/A",IF(W252="N/A", "N/A", IF(V252=W252, "Yes","No")))</f>
        <v>Yes</v>
      </c>
    </row>
    <row r="253" spans="1:38" x14ac:dyDescent="0.2">
      <c r="U253" s="27" t="s">
        <v>121</v>
      </c>
      <c r="V253" s="27" t="str">
        <f>R248</f>
        <v>Yes</v>
      </c>
      <c r="W253" s="27" t="str">
        <f>S248</f>
        <v>No</v>
      </c>
      <c r="X253" s="27" t="str">
        <f>IF(V253="N/A","N/A",IF(W253="N/A", "N/A", IF(V253=W253, "Yes","No")))</f>
        <v>No</v>
      </c>
    </row>
    <row r="254" spans="1:38" x14ac:dyDescent="0.2">
      <c r="A254" s="27">
        <v>468</v>
      </c>
      <c r="B254" s="27" t="s">
        <v>111</v>
      </c>
      <c r="C254" s="27">
        <v>15</v>
      </c>
    </row>
    <row r="255" spans="1:38" x14ac:dyDescent="0.2">
      <c r="A255" s="59" t="s">
        <v>0</v>
      </c>
      <c r="E255" s="27" t="s">
        <v>274</v>
      </c>
      <c r="F255" s="27" t="s">
        <v>275</v>
      </c>
      <c r="G255" s="27" t="s">
        <v>119</v>
      </c>
      <c r="J255" s="59" t="s">
        <v>1</v>
      </c>
      <c r="N255" s="27" t="s">
        <v>277</v>
      </c>
      <c r="O255" s="27" t="s">
        <v>278</v>
      </c>
      <c r="Q255" s="59" t="s">
        <v>115</v>
      </c>
      <c r="R255" s="59" t="s">
        <v>0</v>
      </c>
      <c r="S255" s="59" t="s">
        <v>1</v>
      </c>
      <c r="U255" s="59" t="s">
        <v>115</v>
      </c>
      <c r="V255" s="59" t="s">
        <v>0</v>
      </c>
      <c r="W255" s="59" t="s">
        <v>1</v>
      </c>
      <c r="X255" s="59" t="s">
        <v>122</v>
      </c>
      <c r="AA255" s="27" t="str">
        <f>IF(R256="Yes","LRA-Soil","")</f>
        <v/>
      </c>
      <c r="AB255" s="27" t="str">
        <f>IF(R257="Yes","LRA-Paint","")</f>
        <v/>
      </c>
      <c r="AC255" s="27" t="str">
        <f>IF(R258="Yes","LRA-Dust","")</f>
        <v/>
      </c>
      <c r="AD255" s="27" t="str">
        <f>IF(S256="Yes","LSK-Soil","")</f>
        <v/>
      </c>
      <c r="AE255" s="27" t="str">
        <f>IF(S257="Yes","LSK-Paint","")</f>
        <v/>
      </c>
      <c r="AF255" s="27" t="str">
        <f>IF(S258="Yes","LSK-Dust","")</f>
        <v/>
      </c>
      <c r="AI255" s="27" t="s">
        <v>46</v>
      </c>
      <c r="AJ255" s="27" t="s">
        <v>43</v>
      </c>
      <c r="AK255" s="27" t="s">
        <v>116</v>
      </c>
      <c r="AL255" s="27" t="s">
        <v>117</v>
      </c>
    </row>
    <row r="256" spans="1:38" x14ac:dyDescent="0.2">
      <c r="A256" s="27" t="s">
        <v>185</v>
      </c>
      <c r="B256" s="27" t="s">
        <v>211</v>
      </c>
      <c r="C256" s="27">
        <v>0.3</v>
      </c>
      <c r="D256" s="27" t="s">
        <v>4</v>
      </c>
      <c r="E256" s="27" t="s">
        <v>9</v>
      </c>
      <c r="F256" s="27" t="str">
        <f t="shared" ref="F256" si="90">IF(C256&gt;=$W$2,"Yes","No")</f>
        <v>No</v>
      </c>
      <c r="G256" s="27" t="s">
        <v>9</v>
      </c>
      <c r="H256" s="27" t="s">
        <v>46</v>
      </c>
      <c r="J256" s="27" t="s">
        <v>6</v>
      </c>
      <c r="K256" s="27">
        <v>17</v>
      </c>
      <c r="L256" s="27" t="s">
        <v>12</v>
      </c>
      <c r="M256" s="27" t="s">
        <v>114</v>
      </c>
      <c r="N256" s="27" t="s">
        <v>9</v>
      </c>
      <c r="O256" s="27" t="str">
        <f t="shared" ref="O256:O258" si="91">IF(K256="Not","No",IF(K256="n/a","N/A",IF(K256&gt;$Y$3,"Yes","No")))</f>
        <v>No</v>
      </c>
      <c r="Q256" s="27" t="s">
        <v>116</v>
      </c>
      <c r="R256" s="27" t="str">
        <f>_xlfn.XLOOKUP("ppm",D256:D259,F256:F259,"N/A")</f>
        <v>No</v>
      </c>
      <c r="S256" s="27" t="str">
        <f>IF(COUNTIF(O256:O258,"Yes"),"Yes","No")</f>
        <v>No</v>
      </c>
      <c r="U256" s="27" t="s">
        <v>92</v>
      </c>
      <c r="V256" s="27" t="s">
        <v>120</v>
      </c>
      <c r="W256" s="27" t="s">
        <v>120</v>
      </c>
      <c r="X256" s="27" t="str">
        <f>IF(V256="N/A","N/A",IF(W256="N/A", "N/A", IF(V256=W256, "Yes","No")))</f>
        <v>N/A</v>
      </c>
      <c r="AI256" s="27">
        <f>COUNTIF(H255:H260,"Exterior")</f>
        <v>1</v>
      </c>
      <c r="AJ256" s="27">
        <f>COUNTIF(H255:H260, "Interior")</f>
        <v>1</v>
      </c>
      <c r="AK256" s="27">
        <f>COUNTIFS(D255:D260,"ppm")+COUNTIFS(D255:D260,"mg/Kg")</f>
        <v>1</v>
      </c>
      <c r="AL256" s="27">
        <f>COUNTIF(D255:D260,"ug/ft2")</f>
        <v>1</v>
      </c>
    </row>
    <row r="257" spans="1:38" x14ac:dyDescent="0.2">
      <c r="A257" s="27" t="s">
        <v>200</v>
      </c>
      <c r="B257" s="27" t="s">
        <v>215</v>
      </c>
      <c r="C257" s="27">
        <v>34.5</v>
      </c>
      <c r="D257" s="27" t="s">
        <v>12</v>
      </c>
      <c r="E257" s="27" t="s">
        <v>9</v>
      </c>
      <c r="F257" s="27" t="str">
        <f>IF(C257&gt;$W$3,"Yes","No")</f>
        <v>No</v>
      </c>
      <c r="G257" s="27" t="s">
        <v>9</v>
      </c>
      <c r="J257" s="27" t="s">
        <v>11</v>
      </c>
      <c r="K257" s="27">
        <v>22</v>
      </c>
      <c r="L257" s="27" t="s">
        <v>12</v>
      </c>
      <c r="M257" s="27" t="s">
        <v>67</v>
      </c>
      <c r="N257" s="27" t="s">
        <v>9</v>
      </c>
      <c r="O257" s="27" t="str">
        <f t="shared" si="91"/>
        <v>No</v>
      </c>
      <c r="Q257" s="27" t="s">
        <v>98</v>
      </c>
      <c r="R257" s="27" t="str">
        <f>_xlfn.XLOOKUP("mg/cm2",D256:D259,G256:G259,"N/A")</f>
        <v>No</v>
      </c>
      <c r="S257" s="27" t="str">
        <f>IF(COUNTIF(O259:O260,"Yes"),"Yes","No")</f>
        <v>No</v>
      </c>
      <c r="U257" s="27" t="s">
        <v>95</v>
      </c>
      <c r="V257" s="27" t="str">
        <f>R256</f>
        <v>No</v>
      </c>
      <c r="W257" s="27" t="str">
        <f>S256</f>
        <v>No</v>
      </c>
      <c r="X257" s="27" t="str">
        <f t="shared" ref="X257:X260" si="92">IF(V257="N/A","N/A",IF(W257="N/A", "N/A", IF(V257=W257, "Yes","No")))</f>
        <v>Yes</v>
      </c>
    </row>
    <row r="258" spans="1:38" x14ac:dyDescent="0.2">
      <c r="A258" s="27" t="s">
        <v>212</v>
      </c>
      <c r="B258" s="27" t="s">
        <v>189</v>
      </c>
      <c r="C258" s="27">
        <v>0.05</v>
      </c>
      <c r="D258" s="27" t="s">
        <v>4</v>
      </c>
      <c r="E258" s="27" t="s">
        <v>9</v>
      </c>
      <c r="F258" s="27" t="str">
        <f t="shared" ref="F258" si="93">IF(C258&gt;=$W$2,"Yes","No")</f>
        <v>No</v>
      </c>
      <c r="G258" s="27" t="s">
        <v>9</v>
      </c>
      <c r="H258" s="27" t="s">
        <v>43</v>
      </c>
      <c r="J258" s="27" t="s">
        <v>15</v>
      </c>
      <c r="K258" s="27">
        <v>29</v>
      </c>
      <c r="L258" s="27" t="s">
        <v>12</v>
      </c>
      <c r="M258" s="27" t="s">
        <v>112</v>
      </c>
      <c r="N258" s="27" t="s">
        <v>9</v>
      </c>
      <c r="O258" s="27" t="str">
        <f t="shared" si="91"/>
        <v>No</v>
      </c>
      <c r="Q258" s="27" t="s">
        <v>117</v>
      </c>
      <c r="R258" s="27" t="str">
        <f>_xlfn.XLOOKUP("ug/ft2",D256:D259,F256:F259,"N/A")</f>
        <v>No</v>
      </c>
      <c r="S258" s="27" t="str">
        <f>IF(COUNTIF(O261:O264,"Yes"),"Yes","No")</f>
        <v>No</v>
      </c>
      <c r="U258" s="27" t="s">
        <v>163</v>
      </c>
      <c r="V258" s="27" t="s">
        <v>9</v>
      </c>
      <c r="W258" s="27" t="s">
        <v>9</v>
      </c>
      <c r="X258" s="27" t="str">
        <f t="shared" si="92"/>
        <v>Yes</v>
      </c>
    </row>
    <row r="259" spans="1:38" x14ac:dyDescent="0.2">
      <c r="A259" s="27" t="s">
        <v>213</v>
      </c>
      <c r="B259" s="27" t="s">
        <v>214</v>
      </c>
      <c r="C259" s="27">
        <v>3</v>
      </c>
      <c r="D259" s="27" t="s">
        <v>33</v>
      </c>
      <c r="E259" s="27" t="s">
        <v>9</v>
      </c>
      <c r="F259" s="27" t="str">
        <f>IF(C259&gt;$W$6,"Yes","No")</f>
        <v>No</v>
      </c>
      <c r="G259" s="27" t="s">
        <v>9</v>
      </c>
      <c r="J259" s="27" t="s">
        <v>19</v>
      </c>
      <c r="K259" s="27">
        <v>19</v>
      </c>
      <c r="L259" s="27" t="s">
        <v>12</v>
      </c>
      <c r="M259" s="27" t="s">
        <v>46</v>
      </c>
      <c r="N259" s="27" t="s">
        <v>9</v>
      </c>
      <c r="O259" s="27" t="str">
        <f t="shared" ref="O259:O260" si="94">IF(K259="Not","No",IF(K259="n/a","N/A",IF(K259&gt;$Y$2,"Yes","No")))</f>
        <v>No</v>
      </c>
      <c r="Q259" s="27" t="s">
        <v>118</v>
      </c>
      <c r="R259" s="27" t="str">
        <f>IF(COUNTIF(R256:R258,"Yes"),"Yes","No")</f>
        <v>No</v>
      </c>
      <c r="S259" s="27" t="str">
        <f>IF(COUNTIF(S256:S258,"Yes"),"Yes","No")</f>
        <v>No</v>
      </c>
      <c r="U259" s="27" t="s">
        <v>164</v>
      </c>
      <c r="V259" s="27" t="s">
        <v>9</v>
      </c>
      <c r="W259" s="27" t="s">
        <v>9</v>
      </c>
      <c r="X259" s="27" t="str">
        <f t="shared" si="92"/>
        <v>Yes</v>
      </c>
    </row>
    <row r="260" spans="1:38" x14ac:dyDescent="0.2">
      <c r="J260" s="27" t="s">
        <v>22</v>
      </c>
      <c r="K260" s="27">
        <v>2.5</v>
      </c>
      <c r="L260" s="27" t="s">
        <v>12</v>
      </c>
      <c r="M260" s="27" t="s">
        <v>43</v>
      </c>
      <c r="N260" s="27" t="s">
        <v>9</v>
      </c>
      <c r="O260" s="27" t="str">
        <f t="shared" si="94"/>
        <v>No</v>
      </c>
      <c r="U260" s="27" t="s">
        <v>162</v>
      </c>
      <c r="V260" s="27" t="str">
        <f>R257</f>
        <v>No</v>
      </c>
      <c r="W260" s="27" t="str">
        <f>S257</f>
        <v>No</v>
      </c>
      <c r="X260" s="27" t="str">
        <f t="shared" si="92"/>
        <v>Yes</v>
      </c>
    </row>
    <row r="261" spans="1:38" x14ac:dyDescent="0.2">
      <c r="J261" s="27" t="s">
        <v>25</v>
      </c>
      <c r="K261" s="27">
        <v>9.6999999999999993</v>
      </c>
      <c r="L261" s="27" t="s">
        <v>12</v>
      </c>
      <c r="M261" s="27" t="s">
        <v>209</v>
      </c>
      <c r="N261" s="27" t="s">
        <v>9</v>
      </c>
      <c r="O261" s="27" t="str">
        <f>IF(K261="Not","No",IF(K261="n/a","N/A",IF(K261&gt;$Y$7,"Yes","No")))</f>
        <v>No</v>
      </c>
      <c r="U261" s="27" t="s">
        <v>101</v>
      </c>
      <c r="V261" s="27" t="s">
        <v>9</v>
      </c>
      <c r="W261" s="27" t="s">
        <v>9</v>
      </c>
      <c r="X261" s="27" t="str">
        <f>IF(V261="N/A","N/A",IF(W261="N/A", "N/A", IF(V261=W261, "Yes","No")))</f>
        <v>Yes</v>
      </c>
    </row>
    <row r="262" spans="1:38" x14ac:dyDescent="0.2">
      <c r="J262" s="27" t="s">
        <v>29</v>
      </c>
      <c r="K262" s="27">
        <v>2.5</v>
      </c>
      <c r="L262" s="27" t="s">
        <v>12</v>
      </c>
      <c r="M262" s="27" t="s">
        <v>126</v>
      </c>
      <c r="N262" s="27" t="s">
        <v>9</v>
      </c>
      <c r="O262" s="27" t="str">
        <f t="shared" ref="O262:O263" si="95">IF(K262="Not","No",IF(K262="n/a","N/A",IF(K262&gt;$Y$6,"Yes","No")))</f>
        <v>No</v>
      </c>
      <c r="U262" s="27" t="s">
        <v>104</v>
      </c>
      <c r="V262" s="27" t="s">
        <v>120</v>
      </c>
      <c r="W262" s="27" t="s">
        <v>9</v>
      </c>
      <c r="X262" s="27" t="str">
        <f>IF(V262="N/A","N/A",IF(W262="N/A", "N/A", IF(V262=W262, "Yes","No")))</f>
        <v>N/A</v>
      </c>
    </row>
    <row r="263" spans="1:38" x14ac:dyDescent="0.2">
      <c r="J263" s="27" t="s">
        <v>34</v>
      </c>
      <c r="K263" s="27">
        <v>2.5</v>
      </c>
      <c r="L263" s="27" t="s">
        <v>12</v>
      </c>
      <c r="M263" s="27" t="s">
        <v>50</v>
      </c>
      <c r="N263" s="27" t="s">
        <v>9</v>
      </c>
      <c r="O263" s="27" t="str">
        <f t="shared" si="95"/>
        <v>No</v>
      </c>
      <c r="U263" s="27" t="s">
        <v>106</v>
      </c>
      <c r="V263" s="27" t="str">
        <f>R258</f>
        <v>No</v>
      </c>
      <c r="W263" s="27" t="str">
        <f>S258</f>
        <v>No</v>
      </c>
      <c r="X263" s="27" t="str">
        <f>IF(V263="N/A","N/A",IF(W263="N/A", "N/A", IF(V263=W263, "Yes","No")))</f>
        <v>Yes</v>
      </c>
    </row>
    <row r="264" spans="1:38" x14ac:dyDescent="0.2">
      <c r="J264" s="27" t="s">
        <v>208</v>
      </c>
      <c r="K264" s="27">
        <v>2.5</v>
      </c>
      <c r="L264" s="27" t="s">
        <v>12</v>
      </c>
      <c r="M264" s="27" t="s">
        <v>210</v>
      </c>
      <c r="N264" s="27" t="s">
        <v>9</v>
      </c>
      <c r="O264" s="27" t="str">
        <f>IF(K264="Not","No",IF(K264="n/a","N/A",IF(K264&gt;$Y$5,"Yes","No")))</f>
        <v>No</v>
      </c>
      <c r="U264" s="27" t="s">
        <v>121</v>
      </c>
      <c r="V264" s="27" t="str">
        <f>R259</f>
        <v>No</v>
      </c>
      <c r="W264" s="27" t="str">
        <f>S259</f>
        <v>No</v>
      </c>
      <c r="X264" s="27" t="str">
        <f>IF(V264="N/A","N/A",IF(W264="N/A", "N/A", IF(V264=W264, "Yes","No")))</f>
        <v>Yes</v>
      </c>
    </row>
    <row r="266" spans="1:38" x14ac:dyDescent="0.2">
      <c r="A266" s="27">
        <v>469</v>
      </c>
      <c r="B266" s="27" t="s">
        <v>111</v>
      </c>
      <c r="C266" s="27">
        <v>16</v>
      </c>
    </row>
    <row r="267" spans="1:38" x14ac:dyDescent="0.2">
      <c r="A267" s="59" t="s">
        <v>0</v>
      </c>
      <c r="E267" s="27" t="s">
        <v>274</v>
      </c>
      <c r="F267" s="27" t="s">
        <v>275</v>
      </c>
      <c r="G267" s="27" t="s">
        <v>119</v>
      </c>
      <c r="J267" s="59" t="s">
        <v>1</v>
      </c>
      <c r="N267" s="27" t="s">
        <v>277</v>
      </c>
      <c r="O267" s="27" t="s">
        <v>278</v>
      </c>
      <c r="Q267" s="59" t="s">
        <v>115</v>
      </c>
      <c r="R267" s="59" t="s">
        <v>0</v>
      </c>
      <c r="S267" s="59" t="s">
        <v>1</v>
      </c>
      <c r="U267" s="59" t="s">
        <v>115</v>
      </c>
      <c r="V267" s="59" t="s">
        <v>0</v>
      </c>
      <c r="W267" s="59" t="s">
        <v>1</v>
      </c>
      <c r="X267" s="59" t="s">
        <v>122</v>
      </c>
      <c r="AA267" s="27" t="str">
        <f>IF(R268="Yes","LRA-Soil","")</f>
        <v/>
      </c>
      <c r="AB267" s="27" t="str">
        <f>IF(R269="Yes","LRA-Paint","")</f>
        <v>LRA-Paint</v>
      </c>
      <c r="AC267" s="27" t="str">
        <f>IF(R270="Yes","LRA-Dust","")</f>
        <v>LRA-Dust</v>
      </c>
      <c r="AD267" s="27" t="str">
        <f>IF(S268="Yes","LSK-Soil","")</f>
        <v/>
      </c>
      <c r="AE267" s="27" t="str">
        <f>IF(S269="Yes","LSK-Paint","")</f>
        <v>LSK-Paint</v>
      </c>
      <c r="AF267" s="27" t="str">
        <f>IF(S270="Yes","LSK-Dust","")</f>
        <v/>
      </c>
      <c r="AI267" s="27" t="s">
        <v>46</v>
      </c>
      <c r="AJ267" s="27" t="s">
        <v>43</v>
      </c>
      <c r="AK267" s="27" t="s">
        <v>116</v>
      </c>
      <c r="AL267" s="27" t="s">
        <v>117</v>
      </c>
    </row>
    <row r="268" spans="1:38" x14ac:dyDescent="0.2">
      <c r="A268" s="27" t="s">
        <v>185</v>
      </c>
      <c r="B268" s="27" t="s">
        <v>217</v>
      </c>
      <c r="C268" s="27">
        <v>1.3</v>
      </c>
      <c r="D268" s="27" t="s">
        <v>4</v>
      </c>
      <c r="E268" s="27" t="s">
        <v>5</v>
      </c>
      <c r="F268" s="27" t="str">
        <f t="shared" ref="F268" si="96">IF(C268&gt;=$W$2,"Yes","No")</f>
        <v>Yes</v>
      </c>
      <c r="G268" s="27" t="s">
        <v>5</v>
      </c>
      <c r="H268" s="27" t="s">
        <v>46</v>
      </c>
      <c r="J268" s="27" t="s">
        <v>6</v>
      </c>
      <c r="K268" s="27">
        <v>65</v>
      </c>
      <c r="L268" s="27" t="s">
        <v>12</v>
      </c>
      <c r="M268" s="27" t="s">
        <v>114</v>
      </c>
      <c r="N268" s="27" t="s">
        <v>9</v>
      </c>
      <c r="O268" s="27" t="str">
        <f t="shared" ref="O268:O270" si="97">IF(K268="Not","No",IF(K268="n/a","N/A",IF(K268&gt;$Y$3,"Yes","No")))</f>
        <v>No</v>
      </c>
      <c r="Q268" s="27" t="s">
        <v>116</v>
      </c>
      <c r="R268" s="27" t="str">
        <f>_xlfn.XLOOKUP("mg/Kg",D268:D271,F268:F271,"N/A")</f>
        <v>No</v>
      </c>
      <c r="S268" s="27" t="str">
        <f>IF(COUNTIF(O268:O270,"Yes"),"Yes","No")</f>
        <v>No</v>
      </c>
      <c r="U268" s="27" t="s">
        <v>92</v>
      </c>
      <c r="V268" s="27" t="s">
        <v>120</v>
      </c>
      <c r="W268" s="27" t="s">
        <v>120</v>
      </c>
      <c r="X268" s="27" t="str">
        <f>IF(V268="N/A","N/A",IF(W268="N/A", "N/A", IF(V268=W268, "Yes","No")))</f>
        <v>N/A</v>
      </c>
      <c r="AI268" s="27">
        <f>COUNTIF(H267:H272,"Exterior")</f>
        <v>1</v>
      </c>
      <c r="AJ268" s="27">
        <f>COUNTIF(H267:H272, "Interior")</f>
        <v>1</v>
      </c>
      <c r="AK268" s="27">
        <f>COUNTIFS(D267:D272,"ppm")+COUNTIFS(D267:D272,"mg/Kg")</f>
        <v>1</v>
      </c>
      <c r="AL268" s="27">
        <f>COUNTIF(D267:D272,"ug/ft2")</f>
        <v>1</v>
      </c>
    </row>
    <row r="269" spans="1:38" x14ac:dyDescent="0.2">
      <c r="A269" s="27" t="s">
        <v>200</v>
      </c>
      <c r="B269" s="27" t="s">
        <v>215</v>
      </c>
      <c r="C269" s="27">
        <v>140</v>
      </c>
      <c r="D269" s="27" t="s">
        <v>37</v>
      </c>
      <c r="E269" s="27" t="s">
        <v>9</v>
      </c>
      <c r="F269" s="27" t="str">
        <f>IF(C269&gt;$W$3,"Yes","No")</f>
        <v>No</v>
      </c>
      <c r="G269" s="27" t="s">
        <v>9</v>
      </c>
      <c r="J269" s="27" t="s">
        <v>11</v>
      </c>
      <c r="K269" s="27">
        <v>66.599999999999994</v>
      </c>
      <c r="L269" s="27" t="s">
        <v>12</v>
      </c>
      <c r="M269" s="27" t="s">
        <v>67</v>
      </c>
      <c r="N269" s="27" t="s">
        <v>9</v>
      </c>
      <c r="O269" s="27" t="str">
        <f t="shared" si="97"/>
        <v>No</v>
      </c>
      <c r="Q269" s="27" t="s">
        <v>98</v>
      </c>
      <c r="R269" s="27" t="str">
        <f>_xlfn.XLOOKUP("mg/cm2",D268:D271,G268:G271,"N/A")</f>
        <v>Yes</v>
      </c>
      <c r="S269" s="27" t="str">
        <f>IF(COUNTIF(O271:O272,"Yes"),"Yes","No")</f>
        <v>Yes</v>
      </c>
      <c r="U269" s="27" t="s">
        <v>95</v>
      </c>
      <c r="V269" s="27" t="str">
        <f>R268</f>
        <v>No</v>
      </c>
      <c r="W269" s="27" t="str">
        <f>S268</f>
        <v>No</v>
      </c>
      <c r="X269" s="27" t="str">
        <f t="shared" ref="X269:X272" si="98">IF(V269="N/A","N/A",IF(W269="N/A", "N/A", IF(V269=W269, "Yes","No")))</f>
        <v>Yes</v>
      </c>
    </row>
    <row r="270" spans="1:38" x14ac:dyDescent="0.2">
      <c r="A270" s="27" t="s">
        <v>191</v>
      </c>
      <c r="B270" s="27" t="s">
        <v>189</v>
      </c>
      <c r="C270" s="27">
        <v>0.05</v>
      </c>
      <c r="D270" s="27" t="s">
        <v>4</v>
      </c>
      <c r="E270" s="27" t="s">
        <v>9</v>
      </c>
      <c r="F270" s="27" t="str">
        <f t="shared" ref="F270" si="99">IF(C270&gt;=$W$2,"Yes","No")</f>
        <v>No</v>
      </c>
      <c r="G270" s="27" t="s">
        <v>9</v>
      </c>
      <c r="H270" s="27" t="s">
        <v>43</v>
      </c>
      <c r="J270" s="27" t="s">
        <v>15</v>
      </c>
      <c r="K270" s="27">
        <v>364</v>
      </c>
      <c r="L270" s="27" t="s">
        <v>12</v>
      </c>
      <c r="M270" s="27" t="s">
        <v>112</v>
      </c>
      <c r="N270" s="27" t="s">
        <v>9</v>
      </c>
      <c r="O270" s="27" t="str">
        <f t="shared" si="97"/>
        <v>No</v>
      </c>
      <c r="Q270" s="27" t="s">
        <v>117</v>
      </c>
      <c r="R270" s="27" t="str">
        <f>_xlfn.XLOOKUP("ug/ft2",D268:D271,F268:F271,"N/A")</f>
        <v>Yes</v>
      </c>
      <c r="S270" s="27" t="str">
        <f>IF(COUNTIF(O273:O276,"Yes"),"Yes","No")</f>
        <v>No</v>
      </c>
      <c r="U270" s="27" t="s">
        <v>163</v>
      </c>
      <c r="V270" s="27" t="s">
        <v>9</v>
      </c>
      <c r="W270" s="27" t="s">
        <v>9</v>
      </c>
      <c r="X270" s="27" t="str">
        <f t="shared" si="98"/>
        <v>Yes</v>
      </c>
    </row>
    <row r="271" spans="1:38" x14ac:dyDescent="0.2">
      <c r="A271" s="27" t="s">
        <v>201</v>
      </c>
      <c r="B271" s="27" t="s">
        <v>214</v>
      </c>
      <c r="C271" s="27">
        <v>127</v>
      </c>
      <c r="D271" s="27" t="s">
        <v>33</v>
      </c>
      <c r="E271" s="27" t="s">
        <v>5</v>
      </c>
      <c r="F271" s="27" t="str">
        <f>IF(C271&gt;$W$6,"Yes","No")</f>
        <v>Yes</v>
      </c>
      <c r="G271" s="27" t="s">
        <v>5</v>
      </c>
      <c r="J271" s="27" t="s">
        <v>19</v>
      </c>
      <c r="K271" s="27">
        <v>2.5</v>
      </c>
      <c r="L271" s="27" t="s">
        <v>12</v>
      </c>
      <c r="M271" s="27" t="s">
        <v>43</v>
      </c>
      <c r="N271" s="27" t="s">
        <v>9</v>
      </c>
      <c r="O271" s="27" t="str">
        <f t="shared" ref="O271:O272" si="100">IF(K271="Not","No",IF(K271="n/a","N/A",IF(K271&gt;$Y$2,"Yes","No")))</f>
        <v>No</v>
      </c>
      <c r="Q271" s="27" t="s">
        <v>118</v>
      </c>
      <c r="R271" s="27" t="str">
        <f>IF(COUNTIF(R268:R270,"Yes"),"Yes","No")</f>
        <v>Yes</v>
      </c>
      <c r="S271" s="27" t="str">
        <f>IF(COUNTIF(S268:S270,"Yes"),"Yes","No")</f>
        <v>Yes</v>
      </c>
      <c r="U271" s="27" t="s">
        <v>164</v>
      </c>
      <c r="V271" s="27" t="s">
        <v>5</v>
      </c>
      <c r="W271" s="27" t="s">
        <v>5</v>
      </c>
      <c r="X271" s="27" t="str">
        <f t="shared" si="98"/>
        <v>Yes</v>
      </c>
    </row>
    <row r="272" spans="1:38" x14ac:dyDescent="0.2">
      <c r="A272" s="27" t="s">
        <v>218</v>
      </c>
      <c r="B272" s="27" t="s">
        <v>56</v>
      </c>
      <c r="C272" s="27">
        <v>1.7</v>
      </c>
      <c r="D272" s="27" t="s">
        <v>219</v>
      </c>
      <c r="E272" s="27" t="s">
        <v>5</v>
      </c>
      <c r="F272" s="27" t="str">
        <f t="shared" ref="F272" si="101">IF(C272&gt;=$W$2,"Yes","No")</f>
        <v>Yes</v>
      </c>
      <c r="G272" s="27" t="s">
        <v>5</v>
      </c>
      <c r="J272" s="27" t="s">
        <v>22</v>
      </c>
      <c r="K272" s="27">
        <v>34923</v>
      </c>
      <c r="L272" s="27" t="s">
        <v>12</v>
      </c>
      <c r="M272" s="27" t="s">
        <v>46</v>
      </c>
      <c r="N272" s="27" t="s">
        <v>5</v>
      </c>
      <c r="O272" s="27" t="str">
        <f t="shared" si="100"/>
        <v>Yes</v>
      </c>
      <c r="U272" s="27" t="s">
        <v>162</v>
      </c>
      <c r="V272" s="27" t="str">
        <f>R269</f>
        <v>Yes</v>
      </c>
      <c r="W272" s="27" t="str">
        <f>S269</f>
        <v>Yes</v>
      </c>
      <c r="X272" s="27" t="str">
        <f t="shared" si="98"/>
        <v>Yes</v>
      </c>
    </row>
    <row r="273" spans="1:38" x14ac:dyDescent="0.2">
      <c r="J273" s="27" t="s">
        <v>25</v>
      </c>
      <c r="K273" s="27">
        <v>2.5</v>
      </c>
      <c r="L273" s="27" t="s">
        <v>12</v>
      </c>
      <c r="M273" s="27" t="s">
        <v>126</v>
      </c>
      <c r="N273" s="27" t="s">
        <v>9</v>
      </c>
      <c r="O273" s="27" t="str">
        <f t="shared" ref="O273:O274" si="102">IF(K273="Not","No",IF(K273="n/a","N/A",IF(K273&gt;$Y$6,"Yes","No")))</f>
        <v>No</v>
      </c>
      <c r="U273" s="27" t="s">
        <v>101</v>
      </c>
      <c r="V273" s="27" t="s">
        <v>5</v>
      </c>
      <c r="W273" s="27" t="s">
        <v>9</v>
      </c>
      <c r="X273" s="27" t="str">
        <f>IF(V273="N/A","N/A",IF(W273="N/A", "N/A", IF(V273=W273, "Yes","No")))</f>
        <v>No</v>
      </c>
    </row>
    <row r="274" spans="1:38" x14ac:dyDescent="0.2">
      <c r="J274" s="27" t="s">
        <v>29</v>
      </c>
      <c r="K274" s="27">
        <v>2.5</v>
      </c>
      <c r="L274" s="27" t="s">
        <v>12</v>
      </c>
      <c r="M274" s="27" t="s">
        <v>50</v>
      </c>
      <c r="N274" s="27" t="s">
        <v>9</v>
      </c>
      <c r="O274" s="27" t="str">
        <f t="shared" si="102"/>
        <v>No</v>
      </c>
      <c r="U274" s="27" t="s">
        <v>104</v>
      </c>
      <c r="V274" s="27" t="s">
        <v>120</v>
      </c>
      <c r="W274" s="27" t="s">
        <v>9</v>
      </c>
      <c r="X274" s="27" t="str">
        <f>IF(V274="N/A","N/A",IF(W274="N/A", "N/A", IF(V274=W274, "Yes","No")))</f>
        <v>N/A</v>
      </c>
    </row>
    <row r="275" spans="1:38" x14ac:dyDescent="0.2">
      <c r="J275" s="27" t="s">
        <v>34</v>
      </c>
      <c r="K275" s="27">
        <v>2.5</v>
      </c>
      <c r="L275" s="27" t="s">
        <v>12</v>
      </c>
      <c r="M275" s="27" t="s">
        <v>210</v>
      </c>
      <c r="N275" s="27" t="s">
        <v>9</v>
      </c>
      <c r="O275" s="27" t="str">
        <f>IF(K275="Not","No",IF(K275="n/a","N/A",IF(K275&gt;$Y$5,"Yes","No")))</f>
        <v>No</v>
      </c>
      <c r="U275" s="27" t="s">
        <v>106</v>
      </c>
      <c r="V275" s="27" t="str">
        <f>R270</f>
        <v>Yes</v>
      </c>
      <c r="W275" s="27" t="str">
        <f>S270</f>
        <v>No</v>
      </c>
      <c r="X275" s="27" t="str">
        <f>IF(V275="N/A","N/A",IF(W275="N/A", "N/A", IF(V275=W275, "Yes","No")))</f>
        <v>No</v>
      </c>
    </row>
    <row r="276" spans="1:38" x14ac:dyDescent="0.2">
      <c r="J276" s="27" t="s">
        <v>208</v>
      </c>
      <c r="K276" s="27">
        <v>143</v>
      </c>
      <c r="L276" s="27" t="s">
        <v>12</v>
      </c>
      <c r="M276" s="27" t="s">
        <v>209</v>
      </c>
      <c r="N276" s="27" t="s">
        <v>5</v>
      </c>
      <c r="O276" s="27" t="str">
        <f>IF(K276="Not","No",IF(K276="n/a","N/A",IF(K276&gt;$Y$7,"Yes","No")))</f>
        <v>No</v>
      </c>
      <c r="U276" s="27" t="s">
        <v>121</v>
      </c>
      <c r="V276" s="27" t="str">
        <f>R271</f>
        <v>Yes</v>
      </c>
      <c r="W276" s="27" t="str">
        <f>S271</f>
        <v>Yes</v>
      </c>
      <c r="X276" s="27" t="str">
        <f>IF(V276="N/A","N/A",IF(W276="N/A", "N/A", IF(V276=W276, "Yes","No")))</f>
        <v>Yes</v>
      </c>
    </row>
    <row r="278" spans="1:38" x14ac:dyDescent="0.2">
      <c r="A278" s="27">
        <v>591</v>
      </c>
      <c r="B278" s="27" t="s">
        <v>111</v>
      </c>
      <c r="C278" s="27">
        <v>17</v>
      </c>
    </row>
    <row r="279" spans="1:38" x14ac:dyDescent="0.2">
      <c r="A279" s="59" t="s">
        <v>0</v>
      </c>
      <c r="E279" s="27" t="s">
        <v>274</v>
      </c>
      <c r="F279" s="27" t="s">
        <v>275</v>
      </c>
      <c r="G279" s="27" t="s">
        <v>119</v>
      </c>
      <c r="J279" s="59" t="s">
        <v>1</v>
      </c>
      <c r="N279" s="27" t="s">
        <v>277</v>
      </c>
      <c r="O279" s="27" t="s">
        <v>278</v>
      </c>
      <c r="Q279" s="59" t="s">
        <v>115</v>
      </c>
      <c r="R279" s="59" t="s">
        <v>0</v>
      </c>
      <c r="S279" s="59" t="s">
        <v>1</v>
      </c>
      <c r="U279" s="59" t="s">
        <v>115</v>
      </c>
      <c r="V279" s="59" t="s">
        <v>0</v>
      </c>
      <c r="W279" s="59" t="s">
        <v>1</v>
      </c>
      <c r="X279" s="59" t="s">
        <v>122</v>
      </c>
      <c r="AA279" s="27" t="str">
        <f>IF(R280="Yes","LRA-Soil","")</f>
        <v>LRA-Soil</v>
      </c>
      <c r="AB279" s="27" t="str">
        <f>IF(R281="Yes","LRA-Paint","")</f>
        <v>LRA-Paint</v>
      </c>
      <c r="AC279" s="27" t="str">
        <f>IF(R282="Yes","LRA-Dust","")</f>
        <v>LRA-Dust</v>
      </c>
      <c r="AD279" s="27" t="str">
        <f>IF(S280="Yes","LSK-Soil","")</f>
        <v>LSK-Soil</v>
      </c>
      <c r="AE279" s="27" t="str">
        <f>IF(S281="Yes","LSK-Paint","")</f>
        <v>LSK-Paint</v>
      </c>
      <c r="AF279" s="27" t="str">
        <f>IF(S282="Yes","LSK-Dust","")</f>
        <v/>
      </c>
      <c r="AI279" s="27" t="s">
        <v>46</v>
      </c>
      <c r="AJ279" s="27" t="s">
        <v>43</v>
      </c>
      <c r="AK279" s="27" t="s">
        <v>116</v>
      </c>
      <c r="AL279" s="27" t="s">
        <v>117</v>
      </c>
    </row>
    <row r="280" spans="1:38" x14ac:dyDescent="0.2">
      <c r="A280" s="27" t="s">
        <v>185</v>
      </c>
      <c r="B280" s="27" t="s">
        <v>220</v>
      </c>
      <c r="C280" s="27">
        <v>23</v>
      </c>
      <c r="D280" s="27" t="s">
        <v>4</v>
      </c>
      <c r="E280" s="27" t="s">
        <v>5</v>
      </c>
      <c r="F280" s="27" t="str">
        <f t="shared" ref="F280" si="103">IF(C280&gt;=$W$2,"Yes","No")</f>
        <v>Yes</v>
      </c>
      <c r="G280" s="27" t="s">
        <v>5</v>
      </c>
      <c r="H280" s="27" t="s">
        <v>46</v>
      </c>
      <c r="J280" s="27" t="s">
        <v>6</v>
      </c>
      <c r="K280" s="27">
        <v>67</v>
      </c>
      <c r="L280" s="27" t="s">
        <v>12</v>
      </c>
      <c r="M280" s="27" t="s">
        <v>114</v>
      </c>
      <c r="N280" s="27" t="s">
        <v>9</v>
      </c>
      <c r="O280" s="27" t="str">
        <f t="shared" ref="O280:O282" si="104">IF(K280="Not","No",IF(K280="n/a","N/A",IF(K280&gt;$Y$3,"Yes","No")))</f>
        <v>No</v>
      </c>
      <c r="Q280" s="27" t="s">
        <v>116</v>
      </c>
      <c r="R280" s="27" t="str">
        <f>_xlfn.XLOOKUP("ppm",D280:D283,F280:F283,"N/A")</f>
        <v>Yes</v>
      </c>
      <c r="S280" s="27" t="str">
        <f>IF(COUNTIF(O280:O282,"Yes"),"Yes","No")</f>
        <v>Yes</v>
      </c>
      <c r="U280" s="27" t="s">
        <v>92</v>
      </c>
      <c r="V280" s="27" t="s">
        <v>120</v>
      </c>
      <c r="W280" s="27" t="s">
        <v>120</v>
      </c>
      <c r="X280" s="27" t="str">
        <f>IF(V280="N/A","N/A",IF(W280="N/A", "N/A", IF(V280=W280, "Yes","No")))</f>
        <v>N/A</v>
      </c>
      <c r="AI280" s="27">
        <f>COUNTIF(H279:H284,"Exterior")</f>
        <v>1</v>
      </c>
      <c r="AJ280" s="27">
        <f>COUNTIF(H279:H284, "Interior")</f>
        <v>1</v>
      </c>
      <c r="AK280" s="27">
        <f>COUNTIFS(D279:D284,"ppm")+COUNTIFS(D279:D284,"mg/Kg")</f>
        <v>1</v>
      </c>
      <c r="AL280" s="27">
        <f>COUNTIF(D279:D284,"ug/ft2")</f>
        <v>1</v>
      </c>
    </row>
    <row r="281" spans="1:38" x14ac:dyDescent="0.2">
      <c r="A281" s="27" t="s">
        <v>187</v>
      </c>
      <c r="B281" s="27" t="s">
        <v>202</v>
      </c>
      <c r="C281" s="27">
        <v>2540</v>
      </c>
      <c r="D281" s="27" t="s">
        <v>12</v>
      </c>
      <c r="E281" s="27" t="s">
        <v>5</v>
      </c>
      <c r="F281" s="27" t="str">
        <f>IF(C281&gt;$W$3,"Yes","No")</f>
        <v>Yes</v>
      </c>
      <c r="G281" s="27" t="s">
        <v>5</v>
      </c>
      <c r="J281" s="27" t="s">
        <v>11</v>
      </c>
      <c r="K281" s="27">
        <v>497</v>
      </c>
      <c r="L281" s="27" t="s">
        <v>12</v>
      </c>
      <c r="M281" s="27" t="s">
        <v>67</v>
      </c>
      <c r="N281" s="27" t="s">
        <v>9</v>
      </c>
      <c r="O281" s="27" t="str">
        <f t="shared" si="104"/>
        <v>Yes</v>
      </c>
      <c r="Q281" s="27" t="s">
        <v>98</v>
      </c>
      <c r="R281" s="27" t="str">
        <f>_xlfn.XLOOKUP("mg/cm2",D280:D283,G280:G283,"N/A")</f>
        <v>Yes</v>
      </c>
      <c r="S281" s="27" t="str">
        <f>IF(COUNTIF(O283:O284,"Yes"),"Yes","No")</f>
        <v>Yes</v>
      </c>
      <c r="U281" s="27" t="s">
        <v>95</v>
      </c>
      <c r="V281" s="27" t="str">
        <f>R280</f>
        <v>Yes</v>
      </c>
      <c r="W281" s="27" t="str">
        <f>S280</f>
        <v>Yes</v>
      </c>
      <c r="X281" s="27" t="str">
        <f t="shared" ref="X281:X284" si="105">IF(V281="N/A","N/A",IF(W281="N/A", "N/A", IF(V281=W281, "Yes","No")))</f>
        <v>Yes</v>
      </c>
    </row>
    <row r="282" spans="1:38" x14ac:dyDescent="0.2">
      <c r="A282" s="27" t="s">
        <v>213</v>
      </c>
      <c r="B282" s="27" t="s">
        <v>221</v>
      </c>
      <c r="C282" s="27">
        <v>7</v>
      </c>
      <c r="D282" s="27" t="s">
        <v>4</v>
      </c>
      <c r="E282" s="27" t="s">
        <v>5</v>
      </c>
      <c r="F282" s="27" t="str">
        <f t="shared" ref="F282" si="106">IF(C282&gt;=$W$2,"Yes","No")</f>
        <v>Yes</v>
      </c>
      <c r="G282" s="27" t="s">
        <v>5</v>
      </c>
      <c r="H282" s="27" t="s">
        <v>43</v>
      </c>
      <c r="J282" s="27" t="s">
        <v>15</v>
      </c>
      <c r="K282" s="27">
        <v>1435</v>
      </c>
      <c r="L282" s="27" t="s">
        <v>12</v>
      </c>
      <c r="M282" s="27" t="s">
        <v>112</v>
      </c>
      <c r="N282" s="27" t="s">
        <v>5</v>
      </c>
      <c r="O282" s="27" t="str">
        <f t="shared" si="104"/>
        <v>Yes</v>
      </c>
      <c r="Q282" s="27" t="s">
        <v>117</v>
      </c>
      <c r="R282" s="27" t="str">
        <f>_xlfn.XLOOKUP("ug/ft2",D280:D283,F280:F283,"N/A")</f>
        <v>Yes</v>
      </c>
      <c r="S282" s="27" t="str">
        <f>IF(COUNTIF(O285:O288,"Yes"),"Yes","No")</f>
        <v>No</v>
      </c>
      <c r="U282" s="27" t="s">
        <v>163</v>
      </c>
      <c r="V282" s="27" t="s">
        <v>5</v>
      </c>
      <c r="W282" s="27" t="s">
        <v>9</v>
      </c>
      <c r="X282" s="27" t="str">
        <f t="shared" si="105"/>
        <v>No</v>
      </c>
    </row>
    <row r="283" spans="1:38" x14ac:dyDescent="0.2">
      <c r="A283" s="27" t="s">
        <v>201</v>
      </c>
      <c r="B283" s="27" t="s">
        <v>214</v>
      </c>
      <c r="C283" s="27">
        <v>862</v>
      </c>
      <c r="D283" s="27" t="s">
        <v>33</v>
      </c>
      <c r="E283" s="27" t="s">
        <v>5</v>
      </c>
      <c r="F283" s="27" t="str">
        <f>IF(C283&gt;$W$6,"Yes","No")</f>
        <v>Yes</v>
      </c>
      <c r="G283" s="27" t="s">
        <v>5</v>
      </c>
      <c r="J283" s="27" t="s">
        <v>19</v>
      </c>
      <c r="K283" s="27">
        <v>37914</v>
      </c>
      <c r="L283" s="27" t="s">
        <v>12</v>
      </c>
      <c r="M283" s="27" t="s">
        <v>46</v>
      </c>
      <c r="N283" s="27" t="s">
        <v>5</v>
      </c>
      <c r="O283" s="27" t="str">
        <f t="shared" ref="O283:O284" si="107">IF(K283="Not","No",IF(K283="n/a","N/A",IF(K283&gt;$Y$2,"Yes","No")))</f>
        <v>Yes</v>
      </c>
      <c r="Q283" s="27" t="s">
        <v>118</v>
      </c>
      <c r="R283" s="27" t="str">
        <f>IF(COUNTIF(R280:R282,"Yes"),"Yes","No")</f>
        <v>Yes</v>
      </c>
      <c r="S283" s="27" t="str">
        <f>IF(COUNTIF(S280:S282,"Yes"),"Yes","No")</f>
        <v>Yes</v>
      </c>
      <c r="U283" s="27" t="s">
        <v>164</v>
      </c>
      <c r="V283" s="27" t="s">
        <v>5</v>
      </c>
      <c r="W283" s="27" t="s">
        <v>5</v>
      </c>
      <c r="X283" s="27" t="str">
        <f t="shared" si="105"/>
        <v>Yes</v>
      </c>
    </row>
    <row r="284" spans="1:38" x14ac:dyDescent="0.2">
      <c r="J284" s="27" t="s">
        <v>22</v>
      </c>
      <c r="K284" s="27">
        <v>3157</v>
      </c>
      <c r="L284" s="27" t="s">
        <v>12</v>
      </c>
      <c r="M284" s="27" t="s">
        <v>43</v>
      </c>
      <c r="N284" s="27" t="s">
        <v>9</v>
      </c>
      <c r="O284" s="27" t="str">
        <f t="shared" si="107"/>
        <v>No</v>
      </c>
      <c r="U284" s="27" t="s">
        <v>162</v>
      </c>
      <c r="V284" s="27" t="str">
        <f>R281</f>
        <v>Yes</v>
      </c>
      <c r="W284" s="27" t="str">
        <f>S281</f>
        <v>Yes</v>
      </c>
      <c r="X284" s="27" t="str">
        <f t="shared" si="105"/>
        <v>Yes</v>
      </c>
    </row>
    <row r="285" spans="1:38" x14ac:dyDescent="0.2">
      <c r="J285" s="27" t="s">
        <v>25</v>
      </c>
      <c r="K285" s="27">
        <v>17</v>
      </c>
      <c r="L285" s="27" t="s">
        <v>12</v>
      </c>
      <c r="M285" s="27" t="s">
        <v>126</v>
      </c>
      <c r="N285" s="27" t="s">
        <v>9</v>
      </c>
      <c r="O285" s="27" t="str">
        <f t="shared" ref="O285:O286" si="108">IF(K285="Not","No",IF(K285="n/a","N/A",IF(K285&gt;$Y$6,"Yes","No")))</f>
        <v>No</v>
      </c>
      <c r="U285" s="27" t="s">
        <v>101</v>
      </c>
      <c r="V285" s="27" t="s">
        <v>5</v>
      </c>
      <c r="W285" s="27" t="s">
        <v>5</v>
      </c>
      <c r="X285" s="27" t="str">
        <f>IF(V285="N/A","N/A",IF(W285="N/A", "N/A", IF(V285=W285, "Yes","No")))</f>
        <v>Yes</v>
      </c>
    </row>
    <row r="286" spans="1:38" x14ac:dyDescent="0.2">
      <c r="J286" s="27" t="s">
        <v>29</v>
      </c>
      <c r="K286" s="27">
        <v>2.5</v>
      </c>
      <c r="L286" s="27" t="s">
        <v>12</v>
      </c>
      <c r="M286" s="27" t="s">
        <v>222</v>
      </c>
      <c r="N286" s="27" t="s">
        <v>9</v>
      </c>
      <c r="O286" s="27" t="str">
        <f t="shared" si="108"/>
        <v>No</v>
      </c>
      <c r="U286" s="27" t="s">
        <v>104</v>
      </c>
      <c r="V286" s="27" t="s">
        <v>120</v>
      </c>
      <c r="W286" s="27" t="s">
        <v>9</v>
      </c>
      <c r="X286" s="27" t="str">
        <f>IF(V286="N/A","N/A",IF(W286="N/A", "N/A", IF(V286=W286, "Yes","No")))</f>
        <v>N/A</v>
      </c>
    </row>
    <row r="287" spans="1:38" x14ac:dyDescent="0.2">
      <c r="J287" s="27" t="s">
        <v>34</v>
      </c>
      <c r="K287" s="27">
        <v>14</v>
      </c>
      <c r="L287" s="27" t="s">
        <v>12</v>
      </c>
      <c r="M287" s="27" t="s">
        <v>210</v>
      </c>
      <c r="N287" s="27" t="s">
        <v>9</v>
      </c>
      <c r="O287" s="27" t="str">
        <f>IF(K287="Not","No",IF(K287="n/a","N/A",IF(K287&gt;$Y$5,"Yes","No")))</f>
        <v>No</v>
      </c>
      <c r="U287" s="27" t="s">
        <v>106</v>
      </c>
      <c r="V287" s="27" t="str">
        <f>R282</f>
        <v>Yes</v>
      </c>
      <c r="W287" s="27" t="str">
        <f>S282</f>
        <v>No</v>
      </c>
      <c r="X287" s="27" t="str">
        <f>IF(V287="N/A","N/A",IF(W287="N/A", "N/A", IF(V287=W287, "Yes","No")))</f>
        <v>No</v>
      </c>
    </row>
    <row r="288" spans="1:38" x14ac:dyDescent="0.2">
      <c r="J288" s="27" t="s">
        <v>208</v>
      </c>
      <c r="K288" s="27">
        <v>483</v>
      </c>
      <c r="L288" s="27" t="s">
        <v>12</v>
      </c>
      <c r="M288" s="27" t="s">
        <v>223</v>
      </c>
      <c r="N288" s="27" t="s">
        <v>5</v>
      </c>
      <c r="O288" s="27" t="str">
        <f>IF(K288="Not","No",IF(K288="n/a","N/A",IF(K288&gt;$Y$7,"Yes","No")))</f>
        <v>No</v>
      </c>
      <c r="U288" s="27" t="s">
        <v>121</v>
      </c>
      <c r="V288" s="27" t="str">
        <f>R283</f>
        <v>Yes</v>
      </c>
      <c r="W288" s="27" t="str">
        <f>S283</f>
        <v>Yes</v>
      </c>
      <c r="X288" s="27" t="str">
        <f>IF(V288="N/A","N/A",IF(W288="N/A", "N/A", IF(V288=W288, "Yes","No")))</f>
        <v>Yes</v>
      </c>
    </row>
    <row r="290" spans="1:38" x14ac:dyDescent="0.2">
      <c r="A290" s="62">
        <v>592</v>
      </c>
      <c r="B290" s="27" t="s">
        <v>111</v>
      </c>
      <c r="C290" s="27">
        <v>18</v>
      </c>
    </row>
    <row r="291" spans="1:38" x14ac:dyDescent="0.2">
      <c r="A291" s="59" t="s">
        <v>0</v>
      </c>
      <c r="E291" s="27" t="s">
        <v>274</v>
      </c>
      <c r="F291" s="27" t="s">
        <v>275</v>
      </c>
      <c r="G291" s="27" t="s">
        <v>119</v>
      </c>
      <c r="J291" s="59" t="s">
        <v>1</v>
      </c>
      <c r="N291" s="27" t="s">
        <v>277</v>
      </c>
      <c r="O291" s="27" t="s">
        <v>278</v>
      </c>
      <c r="Q291" s="59" t="s">
        <v>115</v>
      </c>
      <c r="R291" s="59" t="s">
        <v>0</v>
      </c>
      <c r="S291" s="59" t="s">
        <v>1</v>
      </c>
      <c r="U291" s="59" t="s">
        <v>115</v>
      </c>
      <c r="V291" s="59" t="s">
        <v>0</v>
      </c>
      <c r="W291" s="59" t="s">
        <v>1</v>
      </c>
      <c r="X291" s="59" t="s">
        <v>122</v>
      </c>
      <c r="AA291" s="27" t="str">
        <f>IF(R292="Yes","LRA-Soil","")</f>
        <v/>
      </c>
      <c r="AB291" s="27" t="str">
        <f>IF(R293="Yes","LRA-Paint","")</f>
        <v/>
      </c>
      <c r="AC291" s="27" t="str">
        <f>IF(R294="Yes","LRA-Dust","")</f>
        <v/>
      </c>
      <c r="AD291" s="27" t="str">
        <f>IF(S292="Yes","LSK-Soil","")</f>
        <v/>
      </c>
      <c r="AE291" s="27" t="str">
        <f>IF(S293="Yes","LSK-Paint","")</f>
        <v>LSK-Paint</v>
      </c>
      <c r="AF291" s="27" t="str">
        <f>IF(S294="Yes","LSK-Dust","")</f>
        <v/>
      </c>
      <c r="AI291" s="27" t="s">
        <v>46</v>
      </c>
      <c r="AJ291" s="27" t="s">
        <v>43</v>
      </c>
      <c r="AK291" s="27" t="s">
        <v>116</v>
      </c>
      <c r="AL291" s="27" t="s">
        <v>117</v>
      </c>
    </row>
    <row r="292" spans="1:38" x14ac:dyDescent="0.2">
      <c r="A292" s="27" t="s">
        <v>235</v>
      </c>
      <c r="B292" s="27" t="s">
        <v>236</v>
      </c>
      <c r="C292" s="27">
        <v>2.2999999999999998</v>
      </c>
      <c r="D292" s="27" t="s">
        <v>4</v>
      </c>
      <c r="E292" s="27" t="s">
        <v>5</v>
      </c>
      <c r="F292" s="27" t="str">
        <f t="shared" ref="F292" si="109">IF(C292&gt;=$W$2,"Yes","No")</f>
        <v>Yes</v>
      </c>
      <c r="G292" s="27" t="s">
        <v>9</v>
      </c>
      <c r="H292" s="27" t="s">
        <v>46</v>
      </c>
      <c r="J292" s="27" t="s">
        <v>6</v>
      </c>
      <c r="K292" s="27">
        <v>191</v>
      </c>
      <c r="L292" s="27" t="s">
        <v>12</v>
      </c>
      <c r="M292" s="27" t="s">
        <v>114</v>
      </c>
      <c r="N292" s="27" t="s">
        <v>9</v>
      </c>
      <c r="O292" s="27" t="str">
        <f t="shared" ref="O292:O294" si="110">IF(K292="Not","No",IF(K292="n/a","N/A",IF(K292&gt;$Y$3,"Yes","No")))</f>
        <v>No</v>
      </c>
      <c r="Q292" s="27" t="s">
        <v>116</v>
      </c>
      <c r="R292" s="27" t="str">
        <f>_xlfn.XLOOKUP("ppm",D292:D295,F292:F295,"N/A")</f>
        <v>No</v>
      </c>
      <c r="S292" s="27" t="str">
        <f>IF(COUNTIF(O292:O294,"Yes"),"Yes","No")</f>
        <v>No</v>
      </c>
      <c r="U292" s="27" t="s">
        <v>92</v>
      </c>
      <c r="V292" s="27" t="s">
        <v>120</v>
      </c>
      <c r="W292" s="27" t="s">
        <v>120</v>
      </c>
      <c r="X292" s="27" t="str">
        <f>IF(V292="N/A","N/A",IF(W292="N/A", "N/A", IF(V292=W292, "Yes","No")))</f>
        <v>N/A</v>
      </c>
      <c r="AI292" s="27">
        <f>COUNTIF(H291:H296,"Exterior")</f>
        <v>1</v>
      </c>
      <c r="AJ292" s="27">
        <f>COUNTIF(H291:H296, "Interior")</f>
        <v>1</v>
      </c>
      <c r="AK292" s="27">
        <f>COUNTIFS(D291:D296,"ppm")+COUNTIFS(D291:D296,"mg/Kg")</f>
        <v>1</v>
      </c>
      <c r="AL292" s="27">
        <f>COUNTIF(D291:D296,"ug/ft2")</f>
        <v>1</v>
      </c>
    </row>
    <row r="293" spans="1:38" x14ac:dyDescent="0.2">
      <c r="A293" s="27" t="s">
        <v>200</v>
      </c>
      <c r="B293" s="27" t="s">
        <v>202</v>
      </c>
      <c r="C293" s="27">
        <v>136</v>
      </c>
      <c r="D293" s="27" t="s">
        <v>12</v>
      </c>
      <c r="E293" s="27" t="s">
        <v>9</v>
      </c>
      <c r="F293" s="27" t="str">
        <f>IF(C293&gt;$W$3,"Yes","No")</f>
        <v>No</v>
      </c>
      <c r="G293" s="27" t="s">
        <v>9</v>
      </c>
      <c r="J293" s="27" t="s">
        <v>11</v>
      </c>
      <c r="K293" s="27">
        <v>67.5</v>
      </c>
      <c r="L293" s="27" t="s">
        <v>12</v>
      </c>
      <c r="M293" s="27" t="s">
        <v>67</v>
      </c>
      <c r="N293" s="27" t="s">
        <v>9</v>
      </c>
      <c r="O293" s="27" t="str">
        <f t="shared" si="110"/>
        <v>No</v>
      </c>
      <c r="Q293" s="27" t="s">
        <v>98</v>
      </c>
      <c r="R293" s="27" t="str">
        <f>_xlfn.XLOOKUP("mg/cm2",D292:D295,G292:G295,"N/A")</f>
        <v>No</v>
      </c>
      <c r="S293" s="27" t="str">
        <f>IF(COUNTIF(O295:O296,"Yes"),"Yes","No")</f>
        <v>Yes</v>
      </c>
      <c r="U293" s="27" t="s">
        <v>95</v>
      </c>
      <c r="V293" s="27" t="str">
        <f>R292</f>
        <v>No</v>
      </c>
      <c r="W293" s="27" t="str">
        <f>S292</f>
        <v>No</v>
      </c>
      <c r="X293" s="27" t="str">
        <f t="shared" ref="X293:X296" si="111">IF(V293="N/A","N/A",IF(W293="N/A", "N/A", IF(V293=W293, "Yes","No")))</f>
        <v>Yes</v>
      </c>
    </row>
    <row r="294" spans="1:38" x14ac:dyDescent="0.2">
      <c r="A294" s="27" t="s">
        <v>191</v>
      </c>
      <c r="B294" s="27" t="s">
        <v>221</v>
      </c>
      <c r="C294" s="27">
        <v>2</v>
      </c>
      <c r="D294" s="27" t="s">
        <v>4</v>
      </c>
      <c r="E294" s="27" t="s">
        <v>5</v>
      </c>
      <c r="F294" s="27" t="str">
        <f t="shared" ref="F294" si="112">IF(C294&gt;=$W$2,"Yes","No")</f>
        <v>Yes</v>
      </c>
      <c r="G294" s="27" t="s">
        <v>9</v>
      </c>
      <c r="H294" s="27" t="s">
        <v>43</v>
      </c>
      <c r="J294" s="27" t="s">
        <v>15</v>
      </c>
      <c r="K294" s="27">
        <v>96</v>
      </c>
      <c r="L294" s="27" t="s">
        <v>12</v>
      </c>
      <c r="M294" s="27" t="s">
        <v>112</v>
      </c>
      <c r="N294" s="27" t="s">
        <v>9</v>
      </c>
      <c r="O294" s="27" t="str">
        <f t="shared" si="110"/>
        <v>No</v>
      </c>
      <c r="Q294" s="27" t="s">
        <v>117</v>
      </c>
      <c r="R294" s="27" t="str">
        <f>_xlfn.XLOOKUP("ug/ft2",D292:D295,F292:F295,"N/A")</f>
        <v>No</v>
      </c>
      <c r="S294" s="27" t="str">
        <f>IF(COUNTIF(O297:O300,"Yes"),"Yes","No")</f>
        <v>No</v>
      </c>
      <c r="U294" s="27" t="s">
        <v>163</v>
      </c>
      <c r="V294" s="27" t="s">
        <v>5</v>
      </c>
      <c r="W294" s="27" t="s">
        <v>9</v>
      </c>
      <c r="X294" s="27" t="str">
        <f t="shared" si="111"/>
        <v>No</v>
      </c>
    </row>
    <row r="295" spans="1:38" x14ac:dyDescent="0.2">
      <c r="A295" s="27" t="s">
        <v>212</v>
      </c>
      <c r="B295" s="27" t="s">
        <v>192</v>
      </c>
      <c r="C295" s="27">
        <v>22.8</v>
      </c>
      <c r="D295" s="27" t="s">
        <v>33</v>
      </c>
      <c r="E295" s="27" t="s">
        <v>9</v>
      </c>
      <c r="F295" s="27" t="str">
        <f>IF(C295&gt;=$W$5,"Yes","No")</f>
        <v>No</v>
      </c>
      <c r="G295" s="27" t="s">
        <v>9</v>
      </c>
      <c r="J295" s="27" t="s">
        <v>19</v>
      </c>
      <c r="K295" s="27">
        <v>6445</v>
      </c>
      <c r="L295" s="27" t="s">
        <v>12</v>
      </c>
      <c r="M295" s="27" t="s">
        <v>46</v>
      </c>
      <c r="N295" s="27" t="s">
        <v>5</v>
      </c>
      <c r="O295" s="27" t="str">
        <f t="shared" ref="O295:O296" si="113">IF(K295="Not","No",IF(K295="n/a","N/A",IF(K295&gt;$Y$2,"Yes","No")))</f>
        <v>Yes</v>
      </c>
      <c r="Q295" s="27" t="s">
        <v>118</v>
      </c>
      <c r="R295" s="27" t="str">
        <f>IF(COUNTIF(R292:R294,"Yes"),"Yes","No")</f>
        <v>No</v>
      </c>
      <c r="S295" s="27" t="str">
        <f>IF(COUNTIF(S292:S294,"Yes"),"Yes","No")</f>
        <v>Yes</v>
      </c>
      <c r="U295" s="27" t="s">
        <v>164</v>
      </c>
      <c r="V295" s="27" t="s">
        <v>5</v>
      </c>
      <c r="W295" s="27" t="s">
        <v>5</v>
      </c>
      <c r="X295" s="27" t="str">
        <f t="shared" si="111"/>
        <v>Yes</v>
      </c>
    </row>
    <row r="296" spans="1:38" x14ac:dyDescent="0.2">
      <c r="J296" s="27" t="s">
        <v>22</v>
      </c>
      <c r="K296" s="27">
        <v>4327</v>
      </c>
      <c r="L296" s="27" t="s">
        <v>12</v>
      </c>
      <c r="M296" s="27" t="s">
        <v>43</v>
      </c>
      <c r="N296" s="27" t="s">
        <v>9</v>
      </c>
      <c r="O296" s="27" t="str">
        <f t="shared" si="113"/>
        <v>No</v>
      </c>
      <c r="U296" s="27" t="s">
        <v>162</v>
      </c>
      <c r="V296" s="27" t="str">
        <f>R293</f>
        <v>No</v>
      </c>
      <c r="W296" s="27" t="str">
        <f>S293</f>
        <v>Yes</v>
      </c>
      <c r="X296" s="27" t="str">
        <f t="shared" si="111"/>
        <v>No</v>
      </c>
    </row>
    <row r="297" spans="1:38" x14ac:dyDescent="0.2">
      <c r="J297" s="27" t="s">
        <v>25</v>
      </c>
      <c r="K297" s="27">
        <v>2.5</v>
      </c>
      <c r="L297" s="27" t="s">
        <v>12</v>
      </c>
      <c r="M297" s="27" t="s">
        <v>126</v>
      </c>
      <c r="N297" s="27" t="s">
        <v>9</v>
      </c>
      <c r="O297" s="27" t="str">
        <f t="shared" ref="O297:O298" si="114">IF(K297="Not","No",IF(K297="n/a","N/A",IF(K297&gt;$Y$6,"Yes","No")))</f>
        <v>No</v>
      </c>
      <c r="U297" s="27" t="s">
        <v>101</v>
      </c>
      <c r="V297" s="27" t="s">
        <v>120</v>
      </c>
      <c r="W297" s="27" t="s">
        <v>5</v>
      </c>
      <c r="X297" s="27" t="str">
        <f>IF(V297="N/A","N/A",IF(W297="N/A", "N/A", IF(V297=W297, "Yes","No")))</f>
        <v>N/A</v>
      </c>
    </row>
    <row r="298" spans="1:38" x14ac:dyDescent="0.2">
      <c r="J298" s="27" t="s">
        <v>29</v>
      </c>
      <c r="K298" s="27">
        <v>4</v>
      </c>
      <c r="L298" s="27" t="s">
        <v>12</v>
      </c>
      <c r="M298" s="27" t="s">
        <v>222</v>
      </c>
      <c r="N298" s="27" t="s">
        <v>9</v>
      </c>
      <c r="O298" s="27" t="str">
        <f t="shared" si="114"/>
        <v>No</v>
      </c>
      <c r="U298" s="27" t="s">
        <v>104</v>
      </c>
      <c r="V298" s="27" t="s">
        <v>9</v>
      </c>
      <c r="W298" s="27" t="s">
        <v>9</v>
      </c>
      <c r="X298" s="27" t="str">
        <f>IF(V298="N/A","N/A",IF(W298="N/A", "N/A", IF(V298=W298, "Yes","No")))</f>
        <v>Yes</v>
      </c>
    </row>
    <row r="299" spans="1:38" x14ac:dyDescent="0.2">
      <c r="J299" s="27" t="s">
        <v>34</v>
      </c>
      <c r="K299" s="27">
        <v>2.5</v>
      </c>
      <c r="L299" s="27" t="s">
        <v>12</v>
      </c>
      <c r="M299" s="27" t="s">
        <v>210</v>
      </c>
      <c r="N299" s="27" t="s">
        <v>9</v>
      </c>
      <c r="O299" s="27" t="str">
        <f>IF(K299="Not","No",IF(K299="n/a","N/A",IF(K299&gt;$Y$5,"Yes","No")))</f>
        <v>No</v>
      </c>
      <c r="U299" s="27" t="s">
        <v>106</v>
      </c>
      <c r="V299" s="27" t="str">
        <f>R294</f>
        <v>No</v>
      </c>
      <c r="W299" s="27" t="str">
        <f>S294</f>
        <v>No</v>
      </c>
      <c r="X299" s="27" t="str">
        <f>IF(V299="N/A","N/A",IF(W299="N/A", "N/A", IF(V299=W299, "Yes","No")))</f>
        <v>Yes</v>
      </c>
    </row>
    <row r="300" spans="1:38" x14ac:dyDescent="0.2">
      <c r="J300" s="27" t="s">
        <v>208</v>
      </c>
      <c r="K300" s="27">
        <v>17.3</v>
      </c>
      <c r="L300" s="27" t="s">
        <v>12</v>
      </c>
      <c r="M300" s="27" t="s">
        <v>223</v>
      </c>
      <c r="N300" s="27" t="s">
        <v>9</v>
      </c>
      <c r="O300" s="27" t="str">
        <f>IF(K300="Not","No",IF(K300="n/a","N/A",IF(K300&gt;$Y$7,"Yes","No")))</f>
        <v>No</v>
      </c>
      <c r="U300" s="27" t="s">
        <v>121</v>
      </c>
      <c r="V300" s="27" t="str">
        <f>R295</f>
        <v>No</v>
      </c>
      <c r="W300" s="27" t="str">
        <f>S295</f>
        <v>Yes</v>
      </c>
      <c r="X300" s="27" t="str">
        <f>IF(V300="N/A","N/A",IF(W300="N/A", "N/A", IF(V300=W300, "Yes","No")))</f>
        <v>No</v>
      </c>
    </row>
    <row r="302" spans="1:38" x14ac:dyDescent="0.2">
      <c r="A302" s="12">
        <v>618</v>
      </c>
      <c r="B302" s="27" t="s">
        <v>111</v>
      </c>
      <c r="C302" s="27">
        <v>19</v>
      </c>
    </row>
    <row r="303" spans="1:38" x14ac:dyDescent="0.2">
      <c r="A303" s="59" t="s">
        <v>0</v>
      </c>
      <c r="E303" s="27" t="s">
        <v>274</v>
      </c>
      <c r="F303" s="27" t="s">
        <v>275</v>
      </c>
      <c r="G303" s="27" t="s">
        <v>119</v>
      </c>
      <c r="J303" s="59" t="s">
        <v>1</v>
      </c>
      <c r="N303" s="27" t="s">
        <v>277</v>
      </c>
      <c r="O303" s="27" t="s">
        <v>278</v>
      </c>
      <c r="Q303" s="59" t="s">
        <v>115</v>
      </c>
      <c r="R303" s="59" t="s">
        <v>0</v>
      </c>
      <c r="S303" s="59" t="s">
        <v>1</v>
      </c>
      <c r="U303" s="59" t="s">
        <v>115</v>
      </c>
      <c r="V303" s="59" t="s">
        <v>0</v>
      </c>
      <c r="W303" s="59" t="s">
        <v>1</v>
      </c>
      <c r="X303" s="59" t="s">
        <v>122</v>
      </c>
      <c r="AA303" s="27" t="str">
        <f>IF(R304="Yes","LRA-Soil","")</f>
        <v>LRA-Soil</v>
      </c>
      <c r="AB303" s="27" t="str">
        <f>IF(R305="Yes","LRA-Paint","")</f>
        <v>LRA-Paint</v>
      </c>
      <c r="AC303" s="27" t="str">
        <f>IF(R306="Yes","LRA-Dust","")</f>
        <v>LRA-Dust</v>
      </c>
      <c r="AD303" s="27" t="str">
        <f>IF(S304="Yes","LSK-Soil","")</f>
        <v>LSK-Soil</v>
      </c>
      <c r="AE303" s="27" t="str">
        <f>IF(S305="Yes","LSK-Paint","")</f>
        <v>LSK-Paint</v>
      </c>
      <c r="AF303" s="27" t="str">
        <f>IF(S306="Yes","LSK-Dust","")</f>
        <v>LSK-Dust</v>
      </c>
      <c r="AI303" s="27" t="s">
        <v>46</v>
      </c>
      <c r="AJ303" s="27" t="s">
        <v>43</v>
      </c>
      <c r="AK303" s="27" t="s">
        <v>116</v>
      </c>
      <c r="AL303" s="27" t="s">
        <v>117</v>
      </c>
    </row>
    <row r="304" spans="1:38" x14ac:dyDescent="0.2">
      <c r="A304" s="27" t="s">
        <v>185</v>
      </c>
      <c r="B304" s="27" t="s">
        <v>217</v>
      </c>
      <c r="C304" s="27">
        <v>41.3</v>
      </c>
      <c r="D304" s="27" t="s">
        <v>4</v>
      </c>
      <c r="E304" s="27" t="s">
        <v>5</v>
      </c>
      <c r="F304" s="27" t="str">
        <f t="shared" ref="F304" si="115">IF(C304&gt;=$W$2,"Yes","No")</f>
        <v>Yes</v>
      </c>
      <c r="G304" s="27" t="s">
        <v>5</v>
      </c>
      <c r="H304" s="27" t="s">
        <v>46</v>
      </c>
      <c r="J304" s="27" t="s">
        <v>6</v>
      </c>
      <c r="K304" s="27">
        <v>146</v>
      </c>
      <c r="L304" s="27" t="s">
        <v>12</v>
      </c>
      <c r="M304" s="27" t="s">
        <v>114</v>
      </c>
      <c r="N304" s="27" t="s">
        <v>9</v>
      </c>
      <c r="O304" s="27" t="str">
        <f t="shared" ref="O304:O306" si="116">IF(K304="Not","No",IF(K304="n/a","N/A",IF(K304&gt;$Y$3,"Yes","No")))</f>
        <v>No</v>
      </c>
      <c r="Q304" s="27" t="s">
        <v>116</v>
      </c>
      <c r="R304" s="27" t="str">
        <f>_xlfn.XLOOKUP("ppm",D304:D307,F304:F307,"N/A")</f>
        <v>Yes</v>
      </c>
      <c r="S304" s="27" t="str">
        <f>IF(COUNTIF(O304:O306,"Yes"),"Yes","No")</f>
        <v>Yes</v>
      </c>
      <c r="U304" s="27" t="s">
        <v>92</v>
      </c>
      <c r="V304" s="27" t="s">
        <v>120</v>
      </c>
      <c r="W304" s="27" t="s">
        <v>120</v>
      </c>
      <c r="X304" s="27" t="str">
        <f>IF(V304="N/A","N/A",IF(W304="N/A", "N/A", IF(V304=W304, "Yes","No")))</f>
        <v>N/A</v>
      </c>
      <c r="AI304" s="27">
        <f>COUNTIF(H303:H308,"Exterior")</f>
        <v>1</v>
      </c>
      <c r="AJ304" s="27">
        <f>COUNTIF(H303:H308, "Interior")</f>
        <v>1</v>
      </c>
      <c r="AK304" s="27">
        <f>COUNTIFS(D303:D308,"ppm")+COUNTIFS(D303:D308,"mg/Kg")</f>
        <v>1</v>
      </c>
      <c r="AL304" s="27">
        <f>COUNTIF(D303:D308,"ug/ft2")</f>
        <v>1</v>
      </c>
    </row>
    <row r="305" spans="1:38" x14ac:dyDescent="0.2">
      <c r="A305" s="27" t="s">
        <v>200</v>
      </c>
      <c r="B305" s="27" t="s">
        <v>202</v>
      </c>
      <c r="C305" s="27">
        <v>1200</v>
      </c>
      <c r="D305" s="27" t="s">
        <v>12</v>
      </c>
      <c r="E305" s="27" t="s">
        <v>5</v>
      </c>
      <c r="F305" s="27" t="str">
        <f>IF(C305&gt;$W$3,"Yes","No")</f>
        <v>Yes</v>
      </c>
      <c r="G305" s="27" t="s">
        <v>5</v>
      </c>
      <c r="J305" s="27" t="s">
        <v>11</v>
      </c>
      <c r="K305" s="27">
        <v>2174</v>
      </c>
      <c r="L305" s="27" t="s">
        <v>12</v>
      </c>
      <c r="M305" s="27" t="s">
        <v>67</v>
      </c>
      <c r="N305" s="27" t="s">
        <v>5</v>
      </c>
      <c r="O305" s="27" t="str">
        <f t="shared" si="116"/>
        <v>Yes</v>
      </c>
      <c r="Q305" s="27" t="s">
        <v>98</v>
      </c>
      <c r="R305" s="27" t="str">
        <f>_xlfn.XLOOKUP("mg/cm2",D304:D307,G304:G307,"N/A")</f>
        <v>Yes</v>
      </c>
      <c r="S305" s="27" t="str">
        <f>IF(COUNTIF(O307:O308,"Yes"),"Yes","No")</f>
        <v>Yes</v>
      </c>
      <c r="U305" s="27" t="s">
        <v>95</v>
      </c>
      <c r="V305" s="27" t="str">
        <f>R304</f>
        <v>Yes</v>
      </c>
      <c r="W305" s="27" t="str">
        <f>S304</f>
        <v>Yes</v>
      </c>
      <c r="X305" s="27" t="str">
        <f t="shared" ref="X305:X308" si="117">IF(V305="N/A","N/A",IF(W305="N/A", "N/A", IF(V305=W305, "Yes","No")))</f>
        <v>Yes</v>
      </c>
    </row>
    <row r="306" spans="1:38" x14ac:dyDescent="0.2">
      <c r="A306" s="27" t="s">
        <v>237</v>
      </c>
      <c r="B306" s="27" t="s">
        <v>238</v>
      </c>
      <c r="C306" s="27">
        <v>15.5</v>
      </c>
      <c r="D306" s="27" t="s">
        <v>4</v>
      </c>
      <c r="E306" s="27" t="s">
        <v>5</v>
      </c>
      <c r="F306" s="27" t="str">
        <f t="shared" ref="F306" si="118">IF(C306&gt;=$W$2,"Yes","No")</f>
        <v>Yes</v>
      </c>
      <c r="G306" s="27" t="s">
        <v>5</v>
      </c>
      <c r="H306" s="27" t="s">
        <v>43</v>
      </c>
      <c r="J306" s="27" t="s">
        <v>15</v>
      </c>
      <c r="K306" s="27">
        <v>1323</v>
      </c>
      <c r="L306" s="27" t="s">
        <v>12</v>
      </c>
      <c r="M306" s="27" t="s">
        <v>112</v>
      </c>
      <c r="N306" s="27" t="s">
        <v>5</v>
      </c>
      <c r="O306" s="27" t="str">
        <f t="shared" si="116"/>
        <v>Yes</v>
      </c>
      <c r="Q306" s="27" t="s">
        <v>117</v>
      </c>
      <c r="R306" s="27" t="str">
        <f>_xlfn.XLOOKUP("ug/ft2",D304:D307,F304:F307,"N/A")</f>
        <v>Yes</v>
      </c>
      <c r="S306" s="27" t="str">
        <f>IF(COUNTIF(O309:O312,"Yes"),"Yes","No")</f>
        <v>Yes</v>
      </c>
      <c r="U306" s="27" t="s">
        <v>163</v>
      </c>
      <c r="V306" s="27" t="s">
        <v>5</v>
      </c>
      <c r="W306" s="27" t="s">
        <v>9</v>
      </c>
      <c r="X306" s="27" t="str">
        <f t="shared" si="117"/>
        <v>No</v>
      </c>
    </row>
    <row r="307" spans="1:38" x14ac:dyDescent="0.2">
      <c r="A307" s="27" t="s">
        <v>239</v>
      </c>
      <c r="B307" s="27" t="s">
        <v>192</v>
      </c>
      <c r="C307" s="27">
        <v>1620</v>
      </c>
      <c r="D307" s="27" t="s">
        <v>33</v>
      </c>
      <c r="E307" s="27" t="s">
        <v>5</v>
      </c>
      <c r="F307" s="27" t="str">
        <f>IF(C307&gt;=$W$5,"Yes","No")</f>
        <v>Yes</v>
      </c>
      <c r="G307" s="27" t="s">
        <v>5</v>
      </c>
      <c r="J307" s="27" t="s">
        <v>19</v>
      </c>
      <c r="K307" s="27">
        <v>20569</v>
      </c>
      <c r="L307" s="27" t="s">
        <v>12</v>
      </c>
      <c r="M307" s="27" t="s">
        <v>46</v>
      </c>
      <c r="N307" s="27" t="s">
        <v>5</v>
      </c>
      <c r="O307" s="27" t="str">
        <f t="shared" ref="O307:O308" si="119">IF(K307="Not","No",IF(K307="n/a","N/A",IF(K307&gt;$Y$2,"Yes","No")))</f>
        <v>Yes</v>
      </c>
      <c r="Q307" s="27" t="s">
        <v>118</v>
      </c>
      <c r="R307" s="27" t="str">
        <f>IF(COUNTIF(R304:R306,"Yes"),"Yes","No")</f>
        <v>Yes</v>
      </c>
      <c r="S307" s="27" t="str">
        <f>IF(COUNTIF(S304:S306,"Yes"),"Yes","No")</f>
        <v>Yes</v>
      </c>
      <c r="U307" s="27" t="s">
        <v>164</v>
      </c>
      <c r="V307" s="27" t="s">
        <v>5</v>
      </c>
      <c r="W307" s="27" t="s">
        <v>5</v>
      </c>
      <c r="X307" s="27" t="str">
        <f t="shared" si="117"/>
        <v>Yes</v>
      </c>
    </row>
    <row r="308" spans="1:38" x14ac:dyDescent="0.2">
      <c r="J308" s="27" t="s">
        <v>22</v>
      </c>
      <c r="K308" s="27">
        <v>309</v>
      </c>
      <c r="L308" s="27" t="s">
        <v>12</v>
      </c>
      <c r="M308" s="27" t="s">
        <v>43</v>
      </c>
      <c r="N308" s="27" t="s">
        <v>9</v>
      </c>
      <c r="O308" s="27" t="str">
        <f t="shared" si="119"/>
        <v>No</v>
      </c>
      <c r="U308" s="27" t="s">
        <v>162</v>
      </c>
      <c r="V308" s="27" t="str">
        <f>R305</f>
        <v>Yes</v>
      </c>
      <c r="W308" s="27" t="str">
        <f>S305</f>
        <v>Yes</v>
      </c>
      <c r="X308" s="27" t="str">
        <f t="shared" si="117"/>
        <v>Yes</v>
      </c>
    </row>
    <row r="309" spans="1:38" x14ac:dyDescent="0.2">
      <c r="J309" s="27" t="s">
        <v>25</v>
      </c>
      <c r="K309" s="27">
        <v>32</v>
      </c>
      <c r="L309" s="27" t="s">
        <v>12</v>
      </c>
      <c r="M309" s="27" t="s">
        <v>126</v>
      </c>
      <c r="N309" s="27" t="s">
        <v>5</v>
      </c>
      <c r="O309" s="27" t="str">
        <f t="shared" ref="O309:O310" si="120">IF(K309="Not","No",IF(K309="n/a","N/A",IF(K309&gt;$Y$6,"Yes","No")))</f>
        <v>Yes</v>
      </c>
      <c r="U309" s="27" t="s">
        <v>101</v>
      </c>
      <c r="V309" s="27" t="s">
        <v>120</v>
      </c>
      <c r="W309" s="27" t="s">
        <v>5</v>
      </c>
      <c r="X309" s="27" t="str">
        <f>IF(V309="N/A","N/A",IF(W309="N/A", "N/A", IF(V309=W309, "Yes","No")))</f>
        <v>N/A</v>
      </c>
    </row>
    <row r="310" spans="1:38" x14ac:dyDescent="0.2">
      <c r="J310" s="27" t="s">
        <v>29</v>
      </c>
      <c r="K310" s="27">
        <v>22</v>
      </c>
      <c r="L310" s="27" t="s">
        <v>12</v>
      </c>
      <c r="M310" s="27" t="s">
        <v>222</v>
      </c>
      <c r="N310" s="27" t="s">
        <v>5</v>
      </c>
      <c r="O310" s="27" t="str">
        <f t="shared" si="120"/>
        <v>Yes</v>
      </c>
      <c r="U310" s="27" t="s">
        <v>104</v>
      </c>
      <c r="V310" s="27" t="s">
        <v>5</v>
      </c>
      <c r="W310" s="27" t="s">
        <v>9</v>
      </c>
      <c r="X310" s="27" t="str">
        <f>IF(V310="N/A","N/A",IF(W310="N/A", "N/A", IF(V310=W310, "Yes","No")))</f>
        <v>No</v>
      </c>
    </row>
    <row r="311" spans="1:38" x14ac:dyDescent="0.2">
      <c r="J311" s="27" t="s">
        <v>34</v>
      </c>
      <c r="K311" s="27">
        <v>2.5</v>
      </c>
      <c r="L311" s="27" t="s">
        <v>12</v>
      </c>
      <c r="M311" s="27" t="s">
        <v>210</v>
      </c>
      <c r="N311" s="27" t="s">
        <v>9</v>
      </c>
      <c r="O311" s="27" t="str">
        <f>IF(K311="Not","No",IF(K311="n/a","N/A",IF(K311&gt;$Y$5,"Yes","No")))</f>
        <v>No</v>
      </c>
      <c r="U311" s="27" t="s">
        <v>106</v>
      </c>
      <c r="V311" s="27" t="str">
        <f>R306</f>
        <v>Yes</v>
      </c>
      <c r="W311" s="27" t="str">
        <f>S306</f>
        <v>Yes</v>
      </c>
      <c r="X311" s="27" t="str">
        <f>IF(V311="N/A","N/A",IF(W311="N/A", "N/A", IF(V311=W311, "Yes","No")))</f>
        <v>Yes</v>
      </c>
    </row>
    <row r="312" spans="1:38" x14ac:dyDescent="0.2">
      <c r="A312" s="12"/>
      <c r="J312" s="27" t="s">
        <v>208</v>
      </c>
      <c r="K312" s="27">
        <v>945</v>
      </c>
      <c r="L312" s="27" t="s">
        <v>12</v>
      </c>
      <c r="M312" s="27" t="s">
        <v>223</v>
      </c>
      <c r="N312" s="27" t="s">
        <v>5</v>
      </c>
      <c r="O312" s="27" t="str">
        <f>IF(K312="Not","No",IF(K312="n/a","N/A",IF(K312&gt;$Y$7,"Yes","No")))</f>
        <v>Yes</v>
      </c>
      <c r="U312" s="27" t="s">
        <v>121</v>
      </c>
      <c r="V312" s="27" t="str">
        <f>R307</f>
        <v>Yes</v>
      </c>
      <c r="W312" s="27" t="str">
        <f>S307</f>
        <v>Yes</v>
      </c>
      <c r="X312" s="27" t="str">
        <f>IF(V312="N/A","N/A",IF(W312="N/A", "N/A", IF(V312=W312, "Yes","No")))</f>
        <v>Yes</v>
      </c>
    </row>
    <row r="314" spans="1:38" x14ac:dyDescent="0.2">
      <c r="A314" s="24">
        <v>742</v>
      </c>
      <c r="B314" s="27" t="s">
        <v>111</v>
      </c>
      <c r="C314" s="27">
        <v>20</v>
      </c>
    </row>
    <row r="315" spans="1:38" x14ac:dyDescent="0.2">
      <c r="A315" s="59" t="s">
        <v>0</v>
      </c>
      <c r="E315" s="27" t="s">
        <v>274</v>
      </c>
      <c r="F315" s="27" t="s">
        <v>275</v>
      </c>
      <c r="G315" s="27" t="s">
        <v>119</v>
      </c>
      <c r="J315" s="59" t="s">
        <v>1</v>
      </c>
      <c r="N315" s="27" t="s">
        <v>277</v>
      </c>
      <c r="O315" s="27" t="s">
        <v>278</v>
      </c>
      <c r="Q315" s="59" t="s">
        <v>115</v>
      </c>
      <c r="R315" s="59" t="s">
        <v>0</v>
      </c>
      <c r="S315" s="59" t="s">
        <v>1</v>
      </c>
      <c r="U315" s="59" t="s">
        <v>115</v>
      </c>
      <c r="V315" s="59" t="s">
        <v>0</v>
      </c>
      <c r="W315" s="59" t="s">
        <v>1</v>
      </c>
      <c r="X315" s="59" t="s">
        <v>122</v>
      </c>
      <c r="AA315" s="27" t="str">
        <f>IF(R316="Yes","LRA-Soil","")</f>
        <v/>
      </c>
      <c r="AB315" s="27" t="str">
        <f>IF(R317="Yes","LRA-Paint","")</f>
        <v/>
      </c>
      <c r="AC315" s="27" t="str">
        <f>IF(R318="Yes","LRA-Dust","")</f>
        <v>LRA-Dust</v>
      </c>
      <c r="AD315" s="27" t="str">
        <f>IF(S316="Yes","LSK-Soil","")</f>
        <v/>
      </c>
      <c r="AE315" s="27" t="str">
        <f>IF(S317="Yes","LSK-Paint","")</f>
        <v/>
      </c>
      <c r="AF315" s="27" t="str">
        <f>IF(S318="Yes","LSK-Dust","")</f>
        <v/>
      </c>
      <c r="AI315" s="27" t="s">
        <v>46</v>
      </c>
      <c r="AJ315" s="27" t="s">
        <v>43</v>
      </c>
      <c r="AK315" s="27" t="s">
        <v>116</v>
      </c>
      <c r="AL315" s="27" t="s">
        <v>117</v>
      </c>
    </row>
    <row r="316" spans="1:38" x14ac:dyDescent="0.2">
      <c r="A316" s="27" t="s">
        <v>185</v>
      </c>
      <c r="B316" s="27" t="s">
        <v>217</v>
      </c>
      <c r="C316" s="27">
        <v>0</v>
      </c>
      <c r="D316" s="27" t="s">
        <v>4</v>
      </c>
      <c r="E316" s="27" t="s">
        <v>9</v>
      </c>
      <c r="F316" s="27" t="str">
        <f t="shared" ref="F316" si="121">IF(C316&gt;=$W$2,"Yes","No")</f>
        <v>No</v>
      </c>
      <c r="G316" s="27" t="s">
        <v>9</v>
      </c>
      <c r="H316" s="27" t="s">
        <v>46</v>
      </c>
      <c r="J316" s="27" t="s">
        <v>6</v>
      </c>
      <c r="K316" s="27">
        <v>55</v>
      </c>
      <c r="L316" s="27" t="s">
        <v>12</v>
      </c>
      <c r="M316" s="27" t="s">
        <v>114</v>
      </c>
      <c r="N316" s="27" t="str">
        <f>IF(K316&gt;1200,"Yes","No")</f>
        <v>No</v>
      </c>
      <c r="O316" s="27" t="str">
        <f t="shared" ref="O316:O318" si="122">IF(K316="Not","No",IF(K316="n/a","N/A",IF(K316&gt;$Y$3,"Yes","No")))</f>
        <v>No</v>
      </c>
      <c r="Q316" s="27" t="s">
        <v>116</v>
      </c>
      <c r="R316" s="27" t="str">
        <f>_xlfn.XLOOKUP("ppm",D316:D319,F316:F319,"N/A")</f>
        <v>No</v>
      </c>
      <c r="S316" s="27" t="str">
        <f>IF(COUNTIF(O316:O318,"Yes"),"Yes","No")</f>
        <v>No</v>
      </c>
      <c r="U316" s="27" t="s">
        <v>92</v>
      </c>
      <c r="V316" s="27" t="s">
        <v>9</v>
      </c>
      <c r="W316" s="27" t="s">
        <v>120</v>
      </c>
      <c r="X316" s="27" t="str">
        <f>IF(V316="N/A","N/A",IF(W316="N/A", "N/A", IF(V316=W316, "Yes","No")))</f>
        <v>N/A</v>
      </c>
      <c r="AI316" s="27">
        <f>COUNTIF(H315:H320,"Exterior")</f>
        <v>1</v>
      </c>
      <c r="AJ316" s="27">
        <f>COUNTIF(H315:H320, "Interior")</f>
        <v>1</v>
      </c>
      <c r="AK316" s="27">
        <f>COUNTIFS(D315:D320,"ppm")+COUNTIFS(D315:D320,"mg/Kg")</f>
        <v>1</v>
      </c>
      <c r="AL316" s="27">
        <f>COUNTIF(D315:D320,"ug/ft2")</f>
        <v>1</v>
      </c>
    </row>
    <row r="317" spans="1:38" x14ac:dyDescent="0.2">
      <c r="A317" s="27" t="s">
        <v>200</v>
      </c>
      <c r="B317" s="27" t="s">
        <v>240</v>
      </c>
      <c r="C317" s="27">
        <v>78.3</v>
      </c>
      <c r="D317" s="27" t="s">
        <v>12</v>
      </c>
      <c r="E317" s="27" t="s">
        <v>9</v>
      </c>
      <c r="F317" s="27" t="str">
        <f>IF(C317&gt;$W$3,"Yes","No")</f>
        <v>No</v>
      </c>
      <c r="G317" s="27" t="s">
        <v>9</v>
      </c>
      <c r="J317" s="27" t="s">
        <v>11</v>
      </c>
      <c r="K317" s="27">
        <v>39.9</v>
      </c>
      <c r="L317" s="27" t="s">
        <v>12</v>
      </c>
      <c r="M317" s="27" t="s">
        <v>67</v>
      </c>
      <c r="N317" s="27" t="str">
        <f t="shared" ref="N317:N318" si="123">IF(K317&gt;1200,"Yes","No")</f>
        <v>No</v>
      </c>
      <c r="O317" s="27" t="str">
        <f t="shared" si="122"/>
        <v>No</v>
      </c>
      <c r="Q317" s="27" t="s">
        <v>98</v>
      </c>
      <c r="R317" s="27" t="str">
        <f>_xlfn.XLOOKUP("mg/cm2",D316:D319,G316:G319,"N/A")</f>
        <v>No</v>
      </c>
      <c r="S317" s="27" t="str">
        <f>IF(COUNTIF(O319:O320,"Yes"),"Yes","No")</f>
        <v>No</v>
      </c>
      <c r="U317" s="27" t="s">
        <v>95</v>
      </c>
      <c r="V317" s="27" t="str">
        <f>R316</f>
        <v>No</v>
      </c>
      <c r="W317" s="27" t="str">
        <f>S316</f>
        <v>No</v>
      </c>
      <c r="X317" s="27" t="str">
        <f t="shared" ref="X317:X320" si="124">IF(V317="N/A","N/A",IF(W317="N/A", "N/A", IF(V317=W317, "Yes","No")))</f>
        <v>Yes</v>
      </c>
    </row>
    <row r="318" spans="1:38" x14ac:dyDescent="0.2">
      <c r="A318" s="27" t="s">
        <v>191</v>
      </c>
      <c r="B318" s="27" t="s">
        <v>211</v>
      </c>
      <c r="C318" s="27">
        <v>0</v>
      </c>
      <c r="D318" s="27" t="s">
        <v>4</v>
      </c>
      <c r="E318" s="27" t="s">
        <v>9</v>
      </c>
      <c r="F318" s="27" t="str">
        <f t="shared" ref="F318" si="125">IF(C318&gt;=$W$2,"Yes","No")</f>
        <v>No</v>
      </c>
      <c r="G318" s="27" t="s">
        <v>9</v>
      </c>
      <c r="H318" s="27" t="s">
        <v>43</v>
      </c>
      <c r="J318" s="27" t="s">
        <v>15</v>
      </c>
      <c r="K318" s="27">
        <v>90.9</v>
      </c>
      <c r="L318" s="27" t="s">
        <v>12</v>
      </c>
      <c r="M318" s="27" t="s">
        <v>112</v>
      </c>
      <c r="N318" s="27" t="str">
        <f t="shared" si="123"/>
        <v>No</v>
      </c>
      <c r="O318" s="27" t="str">
        <f t="shared" si="122"/>
        <v>No</v>
      </c>
      <c r="Q318" s="27" t="s">
        <v>117</v>
      </c>
      <c r="R318" s="27" t="str">
        <f>_xlfn.XLOOKUP("ug/ft2",D316:D319,F316:F319,"N/A")</f>
        <v>Yes</v>
      </c>
      <c r="S318" s="27" t="str">
        <f>IF(COUNTIF(O321:O324,"Yes"),"Yes","No")</f>
        <v>No</v>
      </c>
      <c r="U318" s="27" t="s">
        <v>163</v>
      </c>
      <c r="V318" s="27" t="s">
        <v>9</v>
      </c>
      <c r="W318" s="27" t="str">
        <f>O320</f>
        <v>No</v>
      </c>
      <c r="X318" s="27" t="str">
        <f t="shared" si="124"/>
        <v>Yes</v>
      </c>
    </row>
    <row r="319" spans="1:38" x14ac:dyDescent="0.2">
      <c r="A319" s="27" t="s">
        <v>201</v>
      </c>
      <c r="B319" s="27" t="s">
        <v>214</v>
      </c>
      <c r="C319" s="27">
        <v>110</v>
      </c>
      <c r="D319" s="27" t="s">
        <v>33</v>
      </c>
      <c r="E319" s="27" t="s">
        <v>5</v>
      </c>
      <c r="F319" s="27" t="str">
        <f>IF(C319&gt;$W$6,"Yes","No")</f>
        <v>Yes</v>
      </c>
      <c r="G319" s="27" t="s">
        <v>5</v>
      </c>
      <c r="J319" s="27" t="s">
        <v>19</v>
      </c>
      <c r="K319" s="27" t="s">
        <v>120</v>
      </c>
      <c r="L319" s="27" t="s">
        <v>12</v>
      </c>
      <c r="M319" s="27" t="s">
        <v>46</v>
      </c>
      <c r="N319" s="27" t="s">
        <v>9</v>
      </c>
      <c r="O319" s="27" t="str">
        <f t="shared" ref="O319:O320" si="126">IF(K319="Not","No",IF(K319="n/a","N/A",IF(K319&gt;$Y$2,"Yes","No")))</f>
        <v>N/A</v>
      </c>
      <c r="Q319" s="27" t="s">
        <v>118</v>
      </c>
      <c r="R319" s="27" t="str">
        <f>IF(COUNTIF(R316:R318,"Yes"),"Yes","No")</f>
        <v>Yes</v>
      </c>
      <c r="S319" s="27" t="str">
        <f>IF(COUNTIF(S316:S318,"Yes"),"Yes","No")</f>
        <v>No</v>
      </c>
      <c r="U319" s="27" t="s">
        <v>164</v>
      </c>
      <c r="V319" s="27" t="s">
        <v>9</v>
      </c>
      <c r="W319" s="27" t="str">
        <f>O319</f>
        <v>N/A</v>
      </c>
      <c r="X319" s="27" t="str">
        <f t="shared" si="124"/>
        <v>N/A</v>
      </c>
    </row>
    <row r="320" spans="1:38" x14ac:dyDescent="0.2">
      <c r="J320" s="27" t="s">
        <v>22</v>
      </c>
      <c r="K320" s="27">
        <v>2.5</v>
      </c>
      <c r="L320" s="27" t="s">
        <v>12</v>
      </c>
      <c r="M320" s="27" t="s">
        <v>43</v>
      </c>
      <c r="N320" s="27" t="str">
        <f>IF(K320&gt;5000,"Yes","No")</f>
        <v>No</v>
      </c>
      <c r="O320" s="27" t="str">
        <f t="shared" si="126"/>
        <v>No</v>
      </c>
      <c r="U320" s="27" t="s">
        <v>162</v>
      </c>
      <c r="V320" s="27" t="str">
        <f>R317</f>
        <v>No</v>
      </c>
      <c r="W320" s="27" t="str">
        <f>S317</f>
        <v>No</v>
      </c>
      <c r="X320" s="27" t="str">
        <f t="shared" si="124"/>
        <v>Yes</v>
      </c>
    </row>
    <row r="321" spans="1:38" x14ac:dyDescent="0.2">
      <c r="J321" s="27" t="s">
        <v>25</v>
      </c>
      <c r="K321" s="27">
        <v>2.5</v>
      </c>
      <c r="L321" s="27" t="s">
        <v>12</v>
      </c>
      <c r="M321" s="27" t="s">
        <v>126</v>
      </c>
      <c r="N321" s="27" t="str">
        <f>IF(K321&gt;20,"Yes","No")</f>
        <v>No</v>
      </c>
      <c r="O321" s="27" t="str">
        <f t="shared" ref="O321:O322" si="127">IF(K321="Not","No",IF(K321="n/a","N/A",IF(K321&gt;$Y$6,"Yes","No")))</f>
        <v>No</v>
      </c>
      <c r="U321" s="27" t="s">
        <v>101</v>
      </c>
      <c r="V321" s="27" t="s">
        <v>5</v>
      </c>
      <c r="W321" s="27" t="s">
        <v>9</v>
      </c>
      <c r="X321" s="27" t="str">
        <f>IF(V321="N/A","N/A",IF(W321="N/A", "N/A", IF(V321=W321, "Yes","No")))</f>
        <v>No</v>
      </c>
    </row>
    <row r="322" spans="1:38" x14ac:dyDescent="0.2">
      <c r="J322" s="27" t="s">
        <v>29</v>
      </c>
      <c r="K322" s="27">
        <v>2.5</v>
      </c>
      <c r="L322" s="27" t="s">
        <v>12</v>
      </c>
      <c r="M322" s="27" t="s">
        <v>222</v>
      </c>
      <c r="N322" s="27" t="str">
        <f>IF(K322&gt;20,"Yes","No")</f>
        <v>No</v>
      </c>
      <c r="O322" s="27" t="str">
        <f t="shared" si="127"/>
        <v>No</v>
      </c>
      <c r="U322" s="27" t="s">
        <v>104</v>
      </c>
      <c r="V322" s="27" t="s">
        <v>120</v>
      </c>
      <c r="W322" s="27" t="str">
        <f>O323</f>
        <v>No</v>
      </c>
      <c r="X322" s="27" t="str">
        <f>IF(V322="N/A","N/A",IF(W322="N/A", "N/A", IF(V322=W322, "Yes","No")))</f>
        <v>N/A</v>
      </c>
    </row>
    <row r="323" spans="1:38" x14ac:dyDescent="0.2">
      <c r="J323" s="27" t="s">
        <v>34</v>
      </c>
      <c r="K323" s="27">
        <v>2.5</v>
      </c>
      <c r="L323" s="27" t="s">
        <v>12</v>
      </c>
      <c r="M323" s="27" t="s">
        <v>210</v>
      </c>
      <c r="N323" s="27" t="str">
        <f>IF(K323&gt;230,"Yes","No")</f>
        <v>No</v>
      </c>
      <c r="O323" s="27" t="str">
        <f>IF(K323="Not","No",IF(K323="n/a","N/A",IF(K323&gt;$Y$5,"Yes","No")))</f>
        <v>No</v>
      </c>
      <c r="U323" s="27" t="s">
        <v>106</v>
      </c>
      <c r="V323" s="27" t="str">
        <f>R318</f>
        <v>Yes</v>
      </c>
      <c r="W323" s="27" t="str">
        <f>S318</f>
        <v>No</v>
      </c>
      <c r="X323" s="27" t="str">
        <f>IF(V323="N/A","N/A",IF(W323="N/A", "N/A", IF(V323=W323, "Yes","No")))</f>
        <v>No</v>
      </c>
    </row>
    <row r="324" spans="1:38" x14ac:dyDescent="0.2">
      <c r="J324" s="69" t="s">
        <v>208</v>
      </c>
      <c r="K324" s="27">
        <v>10.1</v>
      </c>
      <c r="L324" s="27" t="s">
        <v>12</v>
      </c>
      <c r="M324" s="27" t="s">
        <v>223</v>
      </c>
      <c r="N324" s="27" t="str">
        <f>IF(K324&gt;20,"Yes","No")</f>
        <v>No</v>
      </c>
      <c r="O324" s="27" t="str">
        <f>IF(K324="Not","No",IF(K324="n/a","N/A",IF(K324&gt;$Y$7,"Yes","No")))</f>
        <v>No</v>
      </c>
      <c r="U324" s="27" t="s">
        <v>121</v>
      </c>
      <c r="V324" s="27" t="str">
        <f>R319</f>
        <v>Yes</v>
      </c>
      <c r="W324" s="27" t="str">
        <f>S319</f>
        <v>No</v>
      </c>
      <c r="X324" s="27" t="str">
        <f>IF(V324="N/A","N/A",IF(W324="N/A", "N/A", IF(V324=W324, "Yes","No")))</f>
        <v>No</v>
      </c>
    </row>
    <row r="325" spans="1:38" x14ac:dyDescent="0.2">
      <c r="A325" s="12"/>
    </row>
    <row r="326" spans="1:38" x14ac:dyDescent="0.2">
      <c r="A326" s="62">
        <v>745</v>
      </c>
      <c r="B326" s="27" t="s">
        <v>111</v>
      </c>
      <c r="C326" s="27">
        <v>21</v>
      </c>
    </row>
    <row r="327" spans="1:38" x14ac:dyDescent="0.2">
      <c r="A327" s="59" t="s">
        <v>0</v>
      </c>
      <c r="E327" s="27" t="s">
        <v>274</v>
      </c>
      <c r="F327" s="27" t="s">
        <v>275</v>
      </c>
      <c r="G327" s="27" t="s">
        <v>119</v>
      </c>
      <c r="J327" s="59" t="s">
        <v>1</v>
      </c>
      <c r="N327" s="27" t="s">
        <v>277</v>
      </c>
      <c r="O327" s="27" t="s">
        <v>278</v>
      </c>
      <c r="Q327" s="59" t="s">
        <v>115</v>
      </c>
      <c r="R327" s="59" t="s">
        <v>0</v>
      </c>
      <c r="S327" s="59" t="s">
        <v>1</v>
      </c>
      <c r="U327" s="59" t="s">
        <v>115</v>
      </c>
      <c r="V327" s="59" t="s">
        <v>0</v>
      </c>
      <c r="W327" s="59" t="s">
        <v>1</v>
      </c>
      <c r="X327" s="59" t="s">
        <v>122</v>
      </c>
      <c r="AA327" s="27" t="str">
        <f>IF(R328="Yes","LRA-Soil","")</f>
        <v/>
      </c>
      <c r="AB327" s="27" t="str">
        <f>IF(R329="Yes","LRA-Paint","")</f>
        <v>LRA-Paint</v>
      </c>
      <c r="AC327" s="27" t="str">
        <f>IF(R330="Yes","LRA-Dust","")</f>
        <v>LRA-Dust</v>
      </c>
      <c r="AD327" s="27" t="str">
        <f>IF(S328="Yes","LSK-Soil","")</f>
        <v/>
      </c>
      <c r="AE327" s="27" t="str">
        <f>IF(S329="Yes","LSK-Paint","")</f>
        <v/>
      </c>
      <c r="AF327" s="27" t="str">
        <f>IF(S330="Yes","LSK-Dust","")</f>
        <v/>
      </c>
      <c r="AI327" s="27" t="s">
        <v>46</v>
      </c>
      <c r="AJ327" s="27" t="s">
        <v>43</v>
      </c>
      <c r="AK327" s="27" t="s">
        <v>116</v>
      </c>
      <c r="AL327" s="27" t="s">
        <v>117</v>
      </c>
    </row>
    <row r="328" spans="1:38" x14ac:dyDescent="0.2">
      <c r="A328" s="27" t="s">
        <v>153</v>
      </c>
      <c r="B328" s="27" t="s">
        <v>3</v>
      </c>
      <c r="C328" s="27">
        <v>11.6</v>
      </c>
      <c r="D328" s="27" t="s">
        <v>4</v>
      </c>
      <c r="E328" s="27" t="s">
        <v>5</v>
      </c>
      <c r="F328" s="27" t="str">
        <f t="shared" ref="F328" si="128">IF(C328&gt;=$W$2,"Yes","No")</f>
        <v>Yes</v>
      </c>
      <c r="G328" s="27" t="s">
        <v>5</v>
      </c>
      <c r="H328" s="27" t="s">
        <v>46</v>
      </c>
      <c r="J328" s="27" t="s">
        <v>6</v>
      </c>
      <c r="K328" s="27">
        <v>41</v>
      </c>
      <c r="L328" s="27" t="s">
        <v>12</v>
      </c>
      <c r="M328" s="27" t="s">
        <v>114</v>
      </c>
      <c r="N328" s="27" t="str">
        <f>IF(K328="N/A","No", IF(K328&gt;1200,"Yes","No"))</f>
        <v>No</v>
      </c>
      <c r="O328" s="27" t="str">
        <f t="shared" ref="O328:O330" si="129">IF(K328="Not","No",IF(K328="n/a","N/A",IF(K328&gt;$Y$3,"Yes","No")))</f>
        <v>No</v>
      </c>
      <c r="Q328" s="27" t="s">
        <v>116</v>
      </c>
      <c r="R328" s="27" t="str">
        <f>_xlfn.XLOOKUP("ppm",D328:D336,F328:F336,"N/A")</f>
        <v>No</v>
      </c>
      <c r="S328" s="27" t="str">
        <f>IF(COUNTIF(O328:O330,"Yes"),"Yes","No")</f>
        <v>No</v>
      </c>
      <c r="U328" s="27" t="s">
        <v>92</v>
      </c>
      <c r="V328" s="27" t="s">
        <v>120</v>
      </c>
      <c r="W328" s="27" t="s">
        <v>120</v>
      </c>
      <c r="X328" s="27" t="str">
        <f>IF(V328="N/A","N/A",IF(W328="N/A", "N/A", IF(V328=W328, "Yes","No")))</f>
        <v>N/A</v>
      </c>
      <c r="AI328" s="27">
        <f>COUNTIF(H327:H336,"Exterior")</f>
        <v>1</v>
      </c>
      <c r="AJ328" s="27">
        <f>COUNTIF(H327:H336, "Interior")</f>
        <v>0</v>
      </c>
      <c r="AK328" s="27">
        <f>COUNTIFS(D327:D336,"ppm")+COUNTIFS(D327:D336,"mg/Kg")</f>
        <v>1</v>
      </c>
      <c r="AL328" s="27">
        <f>COUNTIF(D327:D336,"ug/ft2")</f>
        <v>7</v>
      </c>
    </row>
    <row r="329" spans="1:38" x14ac:dyDescent="0.2">
      <c r="A329" s="27" t="s">
        <v>68</v>
      </c>
      <c r="B329" s="27" t="s">
        <v>69</v>
      </c>
      <c r="C329" s="27">
        <v>189</v>
      </c>
      <c r="D329" s="27" t="s">
        <v>12</v>
      </c>
      <c r="E329" s="27" t="s">
        <v>9</v>
      </c>
      <c r="F329" s="27" t="str">
        <f>IF(C329&gt;$W$3,"Yes","No")</f>
        <v>No</v>
      </c>
      <c r="G329" s="27" t="s">
        <v>9</v>
      </c>
      <c r="J329" s="27" t="s">
        <v>11</v>
      </c>
      <c r="K329" s="27">
        <v>156</v>
      </c>
      <c r="L329" s="27" t="s">
        <v>12</v>
      </c>
      <c r="M329" s="27" t="s">
        <v>67</v>
      </c>
      <c r="N329" s="27" t="str">
        <f t="shared" ref="N329:N330" si="130">IF(K329="N/A","No", IF(K329&gt;1200,"Yes","No"))</f>
        <v>No</v>
      </c>
      <c r="O329" s="27" t="str">
        <f t="shared" si="129"/>
        <v>No</v>
      </c>
      <c r="Q329" s="27" t="s">
        <v>98</v>
      </c>
      <c r="R329" s="27" t="str">
        <f>_xlfn.XLOOKUP("mg/cm2",D328:D336,G328:G336,"N/A")</f>
        <v>Yes</v>
      </c>
      <c r="S329" s="27" t="str">
        <f>IF(COUNTIF(O331:O332,"Yes"),"Yes","No")</f>
        <v>No</v>
      </c>
      <c r="U329" s="27" t="s">
        <v>95</v>
      </c>
      <c r="V329" s="27" t="str">
        <f>R328</f>
        <v>No</v>
      </c>
      <c r="W329" s="27" t="str">
        <f>S328</f>
        <v>No</v>
      </c>
      <c r="X329" s="27" t="str">
        <f t="shared" ref="X329:X332" si="131">IF(V329="N/A","N/A",IF(W329="N/A", "N/A", IF(V329=W329, "Yes","No")))</f>
        <v>Yes</v>
      </c>
    </row>
    <row r="330" spans="1:38" x14ac:dyDescent="0.2">
      <c r="A330" s="27" t="s">
        <v>159</v>
      </c>
      <c r="B330" s="27" t="s">
        <v>32</v>
      </c>
      <c r="C330" s="27">
        <v>18.899999999999999</v>
      </c>
      <c r="D330" s="27" t="s">
        <v>33</v>
      </c>
      <c r="E330" s="27" t="s">
        <v>5</v>
      </c>
      <c r="F330" s="27" t="str">
        <f>IF(C330&gt;$W$6,"Yes","No")</f>
        <v>Yes</v>
      </c>
      <c r="G330" s="27" t="s">
        <v>5</v>
      </c>
      <c r="J330" s="27" t="s">
        <v>15</v>
      </c>
      <c r="K330" s="27">
        <v>54.1</v>
      </c>
      <c r="L330" s="27" t="s">
        <v>12</v>
      </c>
      <c r="M330" s="27" t="s">
        <v>112</v>
      </c>
      <c r="N330" s="27" t="str">
        <f t="shared" si="130"/>
        <v>No</v>
      </c>
      <c r="O330" s="27" t="str">
        <f t="shared" si="129"/>
        <v>No</v>
      </c>
      <c r="Q330" s="27" t="s">
        <v>117</v>
      </c>
      <c r="R330" s="27" t="str">
        <f>_xlfn.XLOOKUP("ug/ft2",D328:D336,F328:F336,"N/A")</f>
        <v>Yes</v>
      </c>
      <c r="S330" s="27" t="str">
        <f>IF(COUNTIF(O333:O336,"Yes"),"Yes","No")</f>
        <v>No</v>
      </c>
      <c r="U330" s="27" t="s">
        <v>163</v>
      </c>
      <c r="V330" s="27" t="s">
        <v>120</v>
      </c>
      <c r="W330" s="27" t="str">
        <f>O332</f>
        <v>No</v>
      </c>
      <c r="X330" s="27" t="str">
        <f t="shared" si="131"/>
        <v>N/A</v>
      </c>
    </row>
    <row r="331" spans="1:38" x14ac:dyDescent="0.2">
      <c r="A331" s="27" t="s">
        <v>159</v>
      </c>
      <c r="B331" s="27" t="s">
        <v>54</v>
      </c>
      <c r="C331" s="27">
        <v>121.2</v>
      </c>
      <c r="D331" s="27" t="s">
        <v>33</v>
      </c>
      <c r="E331" s="27" t="s">
        <v>5</v>
      </c>
      <c r="F331" s="27" t="str">
        <f>IF(C331&gt;=$W$5,"Yes","No")</f>
        <v>Yes</v>
      </c>
      <c r="G331" s="27" t="s">
        <v>5</v>
      </c>
      <c r="J331" s="27" t="s">
        <v>19</v>
      </c>
      <c r="K331" s="27">
        <v>322</v>
      </c>
      <c r="L331" s="27" t="s">
        <v>12</v>
      </c>
      <c r="M331" s="27" t="s">
        <v>46</v>
      </c>
      <c r="N331" s="27" t="str">
        <f>IF(K331="N/A","No", IF(K331&gt;5000,"Yes","No"))</f>
        <v>No</v>
      </c>
      <c r="O331" s="27" t="str">
        <f t="shared" ref="O331:O332" si="132">IF(K331="Not","No",IF(K331="n/a","N/A",IF(K331&gt;$Y$2,"Yes","No")))</f>
        <v>No</v>
      </c>
      <c r="Q331" s="27" t="s">
        <v>118</v>
      </c>
      <c r="R331" s="27" t="str">
        <f>IF(COUNTIF(R328:R330,"Yes"),"Yes","No")</f>
        <v>Yes</v>
      </c>
      <c r="S331" s="27" t="str">
        <f>IF(COUNTIF(S328:S330,"Yes"),"Yes","No")</f>
        <v>No</v>
      </c>
      <c r="U331" s="27" t="s">
        <v>164</v>
      </c>
      <c r="V331" s="27" t="s">
        <v>5</v>
      </c>
      <c r="W331" s="27" t="str">
        <f>O331</f>
        <v>No</v>
      </c>
      <c r="X331" s="27" t="str">
        <f t="shared" si="131"/>
        <v>No</v>
      </c>
    </row>
    <row r="332" spans="1:38" x14ac:dyDescent="0.2">
      <c r="A332" s="27" t="s">
        <v>157</v>
      </c>
      <c r="B332" s="27" t="s">
        <v>32</v>
      </c>
      <c r="C332" s="27">
        <v>24.9</v>
      </c>
      <c r="D332" s="27" t="s">
        <v>33</v>
      </c>
      <c r="E332" s="27" t="s">
        <v>5</v>
      </c>
      <c r="F332" s="27" t="str">
        <f>IF(C332&gt;$W$6,"Yes","No")</f>
        <v>Yes</v>
      </c>
      <c r="G332" s="27" t="s">
        <v>5</v>
      </c>
      <c r="J332" s="27" t="s">
        <v>22</v>
      </c>
      <c r="K332" s="27">
        <v>2.5</v>
      </c>
      <c r="L332" s="27" t="s">
        <v>12</v>
      </c>
      <c r="M332" s="27" t="s">
        <v>43</v>
      </c>
      <c r="N332" s="27" t="str">
        <f>IF(K332="N/A","No", IF(K332&gt;5000,"Yes","No"))</f>
        <v>No</v>
      </c>
      <c r="O332" s="27" t="str">
        <f t="shared" si="132"/>
        <v>No</v>
      </c>
      <c r="U332" s="27" t="s">
        <v>162</v>
      </c>
      <c r="V332" s="27" t="str">
        <f>R329</f>
        <v>Yes</v>
      </c>
      <c r="W332" s="27" t="str">
        <f>S329</f>
        <v>No</v>
      </c>
      <c r="X332" s="27" t="str">
        <f t="shared" si="131"/>
        <v>No</v>
      </c>
    </row>
    <row r="333" spans="1:38" x14ac:dyDescent="0.2">
      <c r="A333" s="27" t="s">
        <v>157</v>
      </c>
      <c r="B333" s="27" t="s">
        <v>54</v>
      </c>
      <c r="C333" s="27">
        <v>2316</v>
      </c>
      <c r="D333" s="27" t="s">
        <v>33</v>
      </c>
      <c r="E333" s="27" t="s">
        <v>5</v>
      </c>
      <c r="F333" s="27" t="str">
        <f>IF(C333&gt;=$W$5,"Yes","No")</f>
        <v>Yes</v>
      </c>
      <c r="G333" s="27" t="s">
        <v>5</v>
      </c>
      <c r="J333" s="27" t="s">
        <v>25</v>
      </c>
      <c r="K333" s="27">
        <v>5</v>
      </c>
      <c r="L333" s="27" t="s">
        <v>12</v>
      </c>
      <c r="M333" s="27" t="s">
        <v>126</v>
      </c>
      <c r="N333" s="27" t="str">
        <f>IF(K333="N/A","No", IF(K333&gt;20,"Yes","No"))</f>
        <v>No</v>
      </c>
      <c r="O333" s="27" t="str">
        <f t="shared" ref="O333:O334" si="133">IF(K333="Not","No",IF(K333="n/a","N/A",IF(K333&gt;$Y$6,"Yes","No")))</f>
        <v>No</v>
      </c>
      <c r="U333" s="27" t="s">
        <v>101</v>
      </c>
      <c r="V333" s="27" t="s">
        <v>5</v>
      </c>
      <c r="W333" s="61" t="s">
        <v>9</v>
      </c>
      <c r="X333" s="27" t="str">
        <f>IF(V333="N/A","N/A",IF(W333="N/A", "N/A", IF(V333=W333, "Yes","No")))</f>
        <v>No</v>
      </c>
    </row>
    <row r="334" spans="1:38" x14ac:dyDescent="0.2">
      <c r="A334" s="27" t="s">
        <v>71</v>
      </c>
      <c r="B334" s="27" t="s">
        <v>32</v>
      </c>
      <c r="C334" s="27">
        <v>51.5</v>
      </c>
      <c r="D334" s="27" t="s">
        <v>33</v>
      </c>
      <c r="E334" s="27" t="s">
        <v>5</v>
      </c>
      <c r="F334" s="27" t="str">
        <f t="shared" ref="F334:F335" si="134">IF(C334&gt;$W$6,"Yes","No")</f>
        <v>Yes</v>
      </c>
      <c r="G334" s="27" t="s">
        <v>5</v>
      </c>
      <c r="J334" s="27" t="s">
        <v>29</v>
      </c>
      <c r="K334" s="27">
        <v>5</v>
      </c>
      <c r="L334" s="27" t="s">
        <v>12</v>
      </c>
      <c r="M334" s="27" t="s">
        <v>222</v>
      </c>
      <c r="N334" s="27" t="str">
        <f>IF(K334="N/A","No", IF(K334&gt;20,"Yes","No"))</f>
        <v>No</v>
      </c>
      <c r="O334" s="27" t="str">
        <f t="shared" si="133"/>
        <v>No</v>
      </c>
      <c r="U334" s="27" t="s">
        <v>104</v>
      </c>
      <c r="V334" s="27" t="s">
        <v>5</v>
      </c>
      <c r="W334" s="27" t="str">
        <f>O335</f>
        <v>No</v>
      </c>
      <c r="X334" s="27" t="str">
        <f>IF(V334="N/A","N/A",IF(W334="N/A", "N/A", IF(V334=W334, "Yes","No")))</f>
        <v>No</v>
      </c>
    </row>
    <row r="335" spans="1:38" x14ac:dyDescent="0.2">
      <c r="A335" s="27" t="s">
        <v>158</v>
      </c>
      <c r="B335" s="27" t="s">
        <v>32</v>
      </c>
      <c r="C335" s="27">
        <v>32.700000000000003</v>
      </c>
      <c r="D335" s="27" t="s">
        <v>33</v>
      </c>
      <c r="E335" s="27" t="s">
        <v>5</v>
      </c>
      <c r="F335" s="27" t="str">
        <f t="shared" si="134"/>
        <v>Yes</v>
      </c>
      <c r="G335" s="27" t="s">
        <v>5</v>
      </c>
      <c r="J335" s="27" t="s">
        <v>34</v>
      </c>
      <c r="K335" s="27">
        <v>7</v>
      </c>
      <c r="L335" s="27" t="s">
        <v>12</v>
      </c>
      <c r="M335" s="27" t="s">
        <v>210</v>
      </c>
      <c r="N335" s="27" t="str">
        <f>IF(K335="N/A","No", IF(K335&gt;230,"Yes","No"))</f>
        <v>No</v>
      </c>
      <c r="O335" s="27" t="str">
        <f>IF(K335="Not","No",IF(K335="n/a","N/A",IF(K335&gt;$Y$5,"Yes","No")))</f>
        <v>No</v>
      </c>
      <c r="U335" s="27" t="s">
        <v>106</v>
      </c>
      <c r="V335" s="27" t="str">
        <f>R330</f>
        <v>Yes</v>
      </c>
      <c r="W335" s="57" t="str">
        <f>S330</f>
        <v>No</v>
      </c>
      <c r="X335" s="27" t="str">
        <f>IF(V335="N/A","N/A",IF(W335="N/A", "N/A", IF(V335=W335, "Yes","No")))</f>
        <v>No</v>
      </c>
    </row>
    <row r="336" spans="1:38" x14ac:dyDescent="0.2">
      <c r="A336" s="27" t="s">
        <v>158</v>
      </c>
      <c r="B336" s="27" t="s">
        <v>54</v>
      </c>
      <c r="C336" s="27">
        <v>285</v>
      </c>
      <c r="D336" s="27" t="s">
        <v>33</v>
      </c>
      <c r="E336" s="27" t="s">
        <v>5</v>
      </c>
      <c r="F336" s="27" t="str">
        <f>IF(C336&gt;=$W$5,"Yes","No")</f>
        <v>Yes</v>
      </c>
      <c r="G336" s="27" t="s">
        <v>5</v>
      </c>
      <c r="J336" s="27" t="s">
        <v>208</v>
      </c>
      <c r="K336" s="27">
        <v>352</v>
      </c>
      <c r="L336" s="27" t="s">
        <v>12</v>
      </c>
      <c r="M336" s="27" t="s">
        <v>223</v>
      </c>
      <c r="N336" s="27" t="str">
        <f>IF(K336="N/A","No", IF(K336&gt;20,"Yes","No"))</f>
        <v>Yes</v>
      </c>
      <c r="O336" s="27" t="str">
        <f>IF(K336="Not","No",IF(K336="n/a","N/A",IF(K336&gt;$Y$7,"Yes","No")))</f>
        <v>No</v>
      </c>
      <c r="U336" s="27" t="s">
        <v>121</v>
      </c>
      <c r="V336" s="27" t="str">
        <f>R331</f>
        <v>Yes</v>
      </c>
      <c r="W336" s="27" t="str">
        <f>S331</f>
        <v>No</v>
      </c>
      <c r="X336" s="27" t="str">
        <f>IF(V336="N/A","N/A",IF(W336="N/A", "N/A", IF(V336=W336, "Yes","No")))</f>
        <v>No</v>
      </c>
    </row>
    <row r="337" spans="1:38" x14ac:dyDescent="0.2">
      <c r="A337" s="12"/>
    </row>
    <row r="339" spans="1:38" x14ac:dyDescent="0.2">
      <c r="A339" s="27">
        <v>749</v>
      </c>
      <c r="B339" s="27" t="s">
        <v>111</v>
      </c>
      <c r="C339" s="27">
        <v>22</v>
      </c>
    </row>
    <row r="340" spans="1:38" x14ac:dyDescent="0.2">
      <c r="A340" s="59" t="s">
        <v>0</v>
      </c>
      <c r="E340" s="27" t="s">
        <v>274</v>
      </c>
      <c r="F340" s="27" t="s">
        <v>275</v>
      </c>
      <c r="G340" s="27" t="s">
        <v>119</v>
      </c>
      <c r="J340" s="59" t="s">
        <v>1</v>
      </c>
      <c r="N340" s="27" t="s">
        <v>277</v>
      </c>
      <c r="O340" s="27" t="s">
        <v>278</v>
      </c>
      <c r="Q340" s="59" t="s">
        <v>115</v>
      </c>
      <c r="R340" s="59" t="s">
        <v>0</v>
      </c>
      <c r="S340" s="59" t="s">
        <v>1</v>
      </c>
      <c r="U340" s="59" t="s">
        <v>115</v>
      </c>
      <c r="V340" s="59" t="s">
        <v>0</v>
      </c>
      <c r="W340" s="59" t="s">
        <v>1</v>
      </c>
      <c r="X340" s="59" t="s">
        <v>122</v>
      </c>
      <c r="AA340" s="27" t="str">
        <f>IF(R341="Yes","LRA-Soil","")</f>
        <v/>
      </c>
      <c r="AB340" s="27" t="str">
        <f>IF(R342="Yes","LRA-Paint","")</f>
        <v/>
      </c>
      <c r="AC340" s="27" t="str">
        <f>IF(R343="Yes","LRA-Dust","")</f>
        <v/>
      </c>
      <c r="AD340" s="27" t="str">
        <f>IF(S341="Yes","LSK-Soil","")</f>
        <v/>
      </c>
      <c r="AE340" s="27" t="str">
        <f>IF(S342="Yes","LSK-Paint","")</f>
        <v/>
      </c>
      <c r="AF340" s="27" t="str">
        <f>IF(S343="Yes","LSK-Dust","")</f>
        <v/>
      </c>
      <c r="AI340" s="27" t="s">
        <v>46</v>
      </c>
      <c r="AJ340" s="27" t="s">
        <v>43</v>
      </c>
      <c r="AK340" s="27" t="s">
        <v>116</v>
      </c>
      <c r="AL340" s="27" t="s">
        <v>117</v>
      </c>
    </row>
    <row r="341" spans="1:38" x14ac:dyDescent="0.2">
      <c r="A341" s="27" t="s">
        <v>185</v>
      </c>
      <c r="B341" s="27" t="s">
        <v>211</v>
      </c>
      <c r="C341" s="27">
        <v>0</v>
      </c>
      <c r="D341" s="27" t="s">
        <v>4</v>
      </c>
      <c r="E341" s="27" t="s">
        <v>9</v>
      </c>
      <c r="F341" s="27" t="str">
        <f t="shared" ref="F341:F343" si="135">IF(C341&gt;=$W$2,"Yes","No")</f>
        <v>No</v>
      </c>
      <c r="G341" s="27" t="s">
        <v>9</v>
      </c>
      <c r="H341" s="27" t="s">
        <v>46</v>
      </c>
      <c r="J341" s="27" t="s">
        <v>6</v>
      </c>
      <c r="K341" s="27">
        <v>7.2</v>
      </c>
      <c r="L341" s="27" t="s">
        <v>12</v>
      </c>
      <c r="M341" s="27" t="s">
        <v>114</v>
      </c>
      <c r="N341" s="27" t="str">
        <f>IF(K341="N/A","No", IF(K341&gt;1200,"Yes","No"))</f>
        <v>No</v>
      </c>
      <c r="O341" s="27" t="str">
        <f t="shared" ref="O341:O343" si="136">IF(K341="Not","No",IF(K341="n/a","N/A",IF(K341&gt;$Y$3,"Yes","No")))</f>
        <v>No</v>
      </c>
      <c r="Q341" s="27" t="s">
        <v>116</v>
      </c>
      <c r="R341" s="27" t="str">
        <f>_xlfn.XLOOKUP("ppm",D341:D344,F341:F344,"N/A")</f>
        <v>No</v>
      </c>
      <c r="S341" s="27" t="str">
        <f>IF(COUNTIF(O341:O343,"Yes"),"Yes","No")</f>
        <v>No</v>
      </c>
      <c r="U341" s="27" t="s">
        <v>92</v>
      </c>
      <c r="V341" s="27" t="s">
        <v>9</v>
      </c>
      <c r="W341" s="27" t="s">
        <v>120</v>
      </c>
      <c r="X341" s="27" t="str">
        <f>IF(V341="N/A","N/A",IF(W341="N/A", "N/A", IF(V341=W341, "Yes","No")))</f>
        <v>N/A</v>
      </c>
      <c r="AI341" s="27">
        <f>COUNTIF(H340:H344,"Exterior")</f>
        <v>1</v>
      </c>
      <c r="AJ341" s="27">
        <f>COUNTIF(H340:H344, "Interior")</f>
        <v>1</v>
      </c>
      <c r="AK341" s="27">
        <f>COUNTIFS(D340:D344,"ppm")+COUNTIFS(D340:D344,"mg/Kg")</f>
        <v>1</v>
      </c>
      <c r="AL341" s="27">
        <f>COUNTIF(D340:D344,"ug/ft2")</f>
        <v>1</v>
      </c>
    </row>
    <row r="342" spans="1:38" x14ac:dyDescent="0.2">
      <c r="A342" s="27" t="s">
        <v>200</v>
      </c>
      <c r="B342" s="27" t="s">
        <v>240</v>
      </c>
      <c r="C342" s="27">
        <v>48.1</v>
      </c>
      <c r="D342" s="27" t="s">
        <v>12</v>
      </c>
      <c r="E342" s="27" t="s">
        <v>9</v>
      </c>
      <c r="F342" s="27" t="str">
        <f>IF(C342&gt;$W$3,"Yes","No")</f>
        <v>No</v>
      </c>
      <c r="G342" s="27" t="s">
        <v>9</v>
      </c>
      <c r="J342" s="27" t="s">
        <v>11</v>
      </c>
      <c r="K342" s="27">
        <v>49.7</v>
      </c>
      <c r="L342" s="27" t="s">
        <v>12</v>
      </c>
      <c r="M342" s="27" t="s">
        <v>67</v>
      </c>
      <c r="N342" s="27" t="str">
        <f t="shared" ref="N342:N343" si="137">IF(K342="N/A","No", IF(K342&gt;1200,"Yes","No"))</f>
        <v>No</v>
      </c>
      <c r="O342" s="27" t="str">
        <f t="shared" si="136"/>
        <v>No</v>
      </c>
      <c r="Q342" s="27" t="s">
        <v>98</v>
      </c>
      <c r="R342" s="27" t="str">
        <f>_xlfn.XLOOKUP("mg/cm2",D341:D344,G341:G344,"N/A")</f>
        <v>No</v>
      </c>
      <c r="S342" s="27" t="str">
        <f>IF(COUNTIF(O344:O345,"Yes"),"Yes","No")</f>
        <v>No</v>
      </c>
      <c r="U342" s="27" t="s">
        <v>95</v>
      </c>
      <c r="V342" s="27" t="str">
        <f>R341</f>
        <v>No</v>
      </c>
      <c r="W342" s="27" t="str">
        <f>S341</f>
        <v>No</v>
      </c>
      <c r="X342" s="27" t="str">
        <f t="shared" ref="X342:X345" si="138">IF(V342="N/A","N/A",IF(W342="N/A", "N/A", IF(V342=W342, "Yes","No")))</f>
        <v>Yes</v>
      </c>
    </row>
    <row r="343" spans="1:38" x14ac:dyDescent="0.2">
      <c r="A343" s="27" t="s">
        <v>241</v>
      </c>
      <c r="B343" s="27" t="s">
        <v>211</v>
      </c>
      <c r="C343" s="27">
        <v>0</v>
      </c>
      <c r="D343" s="27" t="s">
        <v>4</v>
      </c>
      <c r="E343" s="27" t="s">
        <v>9</v>
      </c>
      <c r="F343" s="27" t="str">
        <f t="shared" si="135"/>
        <v>No</v>
      </c>
      <c r="G343" s="27" t="s">
        <v>9</v>
      </c>
      <c r="H343" s="27" t="s">
        <v>43</v>
      </c>
      <c r="J343" s="27" t="s">
        <v>15</v>
      </c>
      <c r="K343" s="27">
        <v>37.5</v>
      </c>
      <c r="L343" s="27" t="s">
        <v>12</v>
      </c>
      <c r="M343" s="27" t="s">
        <v>112</v>
      </c>
      <c r="N343" s="27" t="str">
        <f t="shared" si="137"/>
        <v>No</v>
      </c>
      <c r="O343" s="27" t="str">
        <f t="shared" si="136"/>
        <v>No</v>
      </c>
      <c r="Q343" s="27" t="s">
        <v>117</v>
      </c>
      <c r="R343" s="27" t="str">
        <f>_xlfn.XLOOKUP("ug/ft2",D341:D344,F341:F344,"N/A")</f>
        <v>No</v>
      </c>
      <c r="S343" s="27" t="str">
        <f>IF(COUNTIF(O346:O349,"Yes"),"Yes","No")</f>
        <v>No</v>
      </c>
      <c r="U343" s="27" t="s">
        <v>163</v>
      </c>
      <c r="V343" s="27" t="s">
        <v>9</v>
      </c>
      <c r="W343" s="27" t="str">
        <f>O345</f>
        <v>No</v>
      </c>
      <c r="X343" s="27" t="str">
        <f t="shared" si="138"/>
        <v>Yes</v>
      </c>
    </row>
    <row r="344" spans="1:38" x14ac:dyDescent="0.2">
      <c r="A344" s="27" t="s">
        <v>201</v>
      </c>
      <c r="B344" s="27" t="s">
        <v>214</v>
      </c>
      <c r="C344" s="27">
        <v>7.2</v>
      </c>
      <c r="D344" s="27" t="s">
        <v>33</v>
      </c>
      <c r="E344" s="27" t="s">
        <v>9</v>
      </c>
      <c r="F344" s="27" t="str">
        <f>IF(C344&gt;$W$6,"Yes","No")</f>
        <v>No</v>
      </c>
      <c r="G344" s="27" t="s">
        <v>9</v>
      </c>
      <c r="J344" s="27" t="s">
        <v>19</v>
      </c>
      <c r="K344" s="27">
        <v>11</v>
      </c>
      <c r="L344" s="27" t="s">
        <v>12</v>
      </c>
      <c r="M344" s="27" t="s">
        <v>46</v>
      </c>
      <c r="N344" s="27" t="str">
        <f>IF(K344="N/A","No", IF(K344&gt;5000,"Yes","No"))</f>
        <v>No</v>
      </c>
      <c r="O344" s="27" t="str">
        <f t="shared" ref="O344:O345" si="139">IF(K344="Not","No",IF(K344="n/a","N/A",IF(K344&gt;$Y$2,"Yes","No")))</f>
        <v>No</v>
      </c>
      <c r="Q344" s="27" t="s">
        <v>118</v>
      </c>
      <c r="R344" s="27" t="str">
        <f>IF(COUNTIF(R341:R343,"Yes"),"Yes","No")</f>
        <v>No</v>
      </c>
      <c r="S344" s="27" t="str">
        <f>IF(COUNTIF(S341:S343,"Yes"),"Yes","No")</f>
        <v>No</v>
      </c>
      <c r="U344" s="27" t="s">
        <v>164</v>
      </c>
      <c r="V344" s="27" t="s">
        <v>9</v>
      </c>
      <c r="W344" s="27" t="str">
        <f>O344</f>
        <v>No</v>
      </c>
      <c r="X344" s="27" t="str">
        <f t="shared" si="138"/>
        <v>Yes</v>
      </c>
    </row>
    <row r="345" spans="1:38" x14ac:dyDescent="0.2">
      <c r="J345" s="27" t="s">
        <v>22</v>
      </c>
      <c r="K345" s="27">
        <v>12</v>
      </c>
      <c r="L345" s="27" t="s">
        <v>12</v>
      </c>
      <c r="M345" s="27" t="s">
        <v>43</v>
      </c>
      <c r="N345" s="27" t="str">
        <f>IF(K345="N/A","No", IF(K345&gt;5000,"Yes","No"))</f>
        <v>No</v>
      </c>
      <c r="O345" s="27" t="str">
        <f t="shared" si="139"/>
        <v>No</v>
      </c>
      <c r="U345" s="27" t="s">
        <v>162</v>
      </c>
      <c r="V345" s="27" t="str">
        <f>R342</f>
        <v>No</v>
      </c>
      <c r="W345" s="27" t="str">
        <f>S342</f>
        <v>No</v>
      </c>
      <c r="X345" s="27" t="str">
        <f t="shared" si="138"/>
        <v>Yes</v>
      </c>
    </row>
    <row r="346" spans="1:38" x14ac:dyDescent="0.2">
      <c r="J346" s="27" t="s">
        <v>25</v>
      </c>
      <c r="K346" s="27">
        <v>2.5</v>
      </c>
      <c r="L346" s="27" t="s">
        <v>12</v>
      </c>
      <c r="M346" s="27" t="s">
        <v>126</v>
      </c>
      <c r="N346" s="27" t="str">
        <f>IF(K346="N/A","No", IF(K346&gt;20,"Yes","No"))</f>
        <v>No</v>
      </c>
      <c r="O346" s="27" t="str">
        <f t="shared" ref="O346:O347" si="140">IF(K346="Not","No",IF(K346="n/a","N/A",IF(K346&gt;$Y$6,"Yes","No")))</f>
        <v>No</v>
      </c>
      <c r="U346" s="27" t="s">
        <v>101</v>
      </c>
      <c r="V346" s="27" t="s">
        <v>9</v>
      </c>
      <c r="W346" s="61" t="s">
        <v>9</v>
      </c>
      <c r="X346" s="27" t="str">
        <f>IF(V346="N/A","N/A",IF(W346="N/A", "N/A", IF(V346=W346, "Yes","No")))</f>
        <v>Yes</v>
      </c>
    </row>
    <row r="347" spans="1:38" x14ac:dyDescent="0.2">
      <c r="J347" s="27" t="s">
        <v>29</v>
      </c>
      <c r="K347" s="27">
        <v>11</v>
      </c>
      <c r="L347" s="27" t="s">
        <v>12</v>
      </c>
      <c r="M347" s="27" t="s">
        <v>222</v>
      </c>
      <c r="N347" s="27" t="str">
        <f>IF(K347="N/A","No", IF(K347&gt;20,"Yes","No"))</f>
        <v>No</v>
      </c>
      <c r="O347" s="27" t="str">
        <f t="shared" si="140"/>
        <v>No</v>
      </c>
      <c r="U347" s="27" t="s">
        <v>104</v>
      </c>
      <c r="V347" s="27" t="s">
        <v>120</v>
      </c>
      <c r="W347" s="27" t="str">
        <f>O348</f>
        <v>No</v>
      </c>
      <c r="X347" s="27" t="str">
        <f>IF(V347="N/A","N/A",IF(W347="N/A", "N/A", IF(V347=W347, "Yes","No")))</f>
        <v>N/A</v>
      </c>
    </row>
    <row r="348" spans="1:38" x14ac:dyDescent="0.2">
      <c r="J348" s="27" t="s">
        <v>34</v>
      </c>
      <c r="K348" s="27">
        <v>7</v>
      </c>
      <c r="L348" s="27" t="s">
        <v>12</v>
      </c>
      <c r="M348" s="27" t="s">
        <v>210</v>
      </c>
      <c r="N348" s="27" t="str">
        <f>IF(K348="N/A","No", IF(K348&gt;230,"Yes","No"))</f>
        <v>No</v>
      </c>
      <c r="O348" s="27" t="str">
        <f>IF(K348="Not","No",IF(K348="n/a","N/A",IF(K348&gt;$Y$5,"Yes","No")))</f>
        <v>No</v>
      </c>
      <c r="U348" s="27" t="s">
        <v>106</v>
      </c>
      <c r="V348" s="27" t="str">
        <f>R343</f>
        <v>No</v>
      </c>
      <c r="W348" s="57" t="str">
        <f>S343</f>
        <v>No</v>
      </c>
      <c r="X348" s="27" t="str">
        <f>IF(V348="N/A","N/A",IF(W348="N/A", "N/A", IF(V348=W348, "Yes","No")))</f>
        <v>Yes</v>
      </c>
    </row>
    <row r="349" spans="1:38" x14ac:dyDescent="0.2">
      <c r="J349" s="27" t="s">
        <v>208</v>
      </c>
      <c r="K349" s="27">
        <v>38.9</v>
      </c>
      <c r="L349" s="27" t="s">
        <v>12</v>
      </c>
      <c r="M349" s="27" t="s">
        <v>223</v>
      </c>
      <c r="N349" s="27" t="str">
        <f>IF(K349="N/A","No", IF(K349&gt;20,"Yes","No"))</f>
        <v>Yes</v>
      </c>
      <c r="O349" s="27" t="str">
        <f>IF(K349="Not","No",IF(K349="n/a","N/A",IF(K349&gt;$Y$7,"Yes","No")))</f>
        <v>No</v>
      </c>
      <c r="U349" s="27" t="s">
        <v>121</v>
      </c>
      <c r="V349" s="27" t="str">
        <f>R344</f>
        <v>No</v>
      </c>
      <c r="W349" s="27" t="str">
        <f>S344</f>
        <v>No</v>
      </c>
      <c r="X349" s="27" t="str">
        <f>IF(V349="N/A","N/A",IF(W349="N/A", "N/A", IF(V349=W349, "Yes","No")))</f>
        <v>Yes</v>
      </c>
    </row>
    <row r="351" spans="1:38" x14ac:dyDescent="0.2">
      <c r="A351" s="27">
        <v>774</v>
      </c>
      <c r="B351" s="27" t="s">
        <v>111</v>
      </c>
      <c r="C351" s="27">
        <v>23</v>
      </c>
    </row>
    <row r="352" spans="1:38" x14ac:dyDescent="0.2">
      <c r="A352" s="59" t="s">
        <v>0</v>
      </c>
      <c r="E352" s="27" t="s">
        <v>274</v>
      </c>
      <c r="F352" s="27" t="s">
        <v>275</v>
      </c>
      <c r="G352" s="27" t="s">
        <v>119</v>
      </c>
      <c r="J352" s="59" t="s">
        <v>1</v>
      </c>
      <c r="N352" s="27" t="s">
        <v>277</v>
      </c>
      <c r="O352" s="27" t="s">
        <v>278</v>
      </c>
      <c r="Q352" s="59" t="s">
        <v>115</v>
      </c>
      <c r="R352" s="59" t="s">
        <v>0</v>
      </c>
      <c r="S352" s="59" t="s">
        <v>1</v>
      </c>
      <c r="U352" s="59" t="s">
        <v>115</v>
      </c>
      <c r="V352" s="59" t="s">
        <v>0</v>
      </c>
      <c r="W352" s="59" t="s">
        <v>1</v>
      </c>
      <c r="X352" s="59" t="s">
        <v>122</v>
      </c>
      <c r="AA352" s="27" t="str">
        <f>IF(R353="Yes","LRA-Soil","")</f>
        <v/>
      </c>
      <c r="AB352" s="27" t="str">
        <f>IF(R354="Yes","LRA-Paint","")</f>
        <v/>
      </c>
      <c r="AC352" s="27" t="str">
        <f>IF(R355="Yes","LRA-Dust","")</f>
        <v/>
      </c>
      <c r="AD352" s="27" t="str">
        <f>IF(S353="Yes","LSK-Soil","")</f>
        <v/>
      </c>
      <c r="AE352" s="27" t="str">
        <f>IF(S354="Yes","LSK-Paint","")</f>
        <v/>
      </c>
      <c r="AF352" s="27" t="str">
        <f>IF(S355="Yes","LSK-Dust","")</f>
        <v/>
      </c>
      <c r="AI352" s="27" t="s">
        <v>46</v>
      </c>
      <c r="AJ352" s="27" t="s">
        <v>43</v>
      </c>
      <c r="AK352" s="27" t="s">
        <v>116</v>
      </c>
      <c r="AL352" s="27" t="s">
        <v>117</v>
      </c>
    </row>
    <row r="353" spans="1:38" x14ac:dyDescent="0.2">
      <c r="A353" s="27" t="s">
        <v>185</v>
      </c>
      <c r="B353" s="27" t="s">
        <v>217</v>
      </c>
      <c r="C353" s="27">
        <v>0</v>
      </c>
      <c r="D353" s="27" t="s">
        <v>4</v>
      </c>
      <c r="E353" s="27" t="s">
        <v>9</v>
      </c>
      <c r="F353" s="27" t="str">
        <f t="shared" ref="F353" si="141">IF(C353&gt;=$W$2,"Yes","No")</f>
        <v>No</v>
      </c>
      <c r="G353" s="27" t="s">
        <v>9</v>
      </c>
      <c r="H353" s="27" t="s">
        <v>46</v>
      </c>
      <c r="J353" s="27" t="s">
        <v>6</v>
      </c>
      <c r="K353" s="27">
        <v>15.8</v>
      </c>
      <c r="L353" s="27" t="s">
        <v>12</v>
      </c>
      <c r="M353" s="27" t="s">
        <v>114</v>
      </c>
      <c r="N353" s="27" t="str">
        <f>IF(K353="N/A","No", IF(K353&gt;1200,"Yes","No"))</f>
        <v>No</v>
      </c>
      <c r="O353" s="27" t="str">
        <f t="shared" ref="O353:O355" si="142">IF(K353="Not","No",IF(K353="n/a","N/A",IF(K353&gt;$Y$3,"Yes","No")))</f>
        <v>No</v>
      </c>
      <c r="Q353" s="27" t="s">
        <v>116</v>
      </c>
      <c r="R353" s="27" t="str">
        <f>_xlfn.XLOOKUP("ppm",D353:D356,F353:F356,"N/A")</f>
        <v>No</v>
      </c>
      <c r="S353" s="27" t="str">
        <f>IF(COUNTIF(O353:O355,"Yes"),"Yes","No")</f>
        <v>No</v>
      </c>
      <c r="U353" s="27" t="s">
        <v>92</v>
      </c>
      <c r="V353" s="27" t="s">
        <v>9</v>
      </c>
      <c r="W353" s="27" t="s">
        <v>120</v>
      </c>
      <c r="X353" s="27" t="str">
        <f>IF(V353="N/A","N/A",IF(W353="N/A", "N/A", IF(V353=W353, "Yes","No")))</f>
        <v>N/A</v>
      </c>
      <c r="AI353" s="27">
        <f>COUNTIF(H352:H356,"Exterior")</f>
        <v>1</v>
      </c>
      <c r="AJ353" s="27">
        <f>COUNTIF(H352:H356, "Interior")</f>
        <v>1</v>
      </c>
      <c r="AK353" s="27">
        <f>COUNTIFS(D352:D356,"ppm")+COUNTIFS(D352:D356,"mg/Kg")</f>
        <v>1</v>
      </c>
      <c r="AL353" s="27">
        <f>COUNTIF(D352:D356,"ug/ft2")</f>
        <v>1</v>
      </c>
    </row>
    <row r="354" spans="1:38" x14ac:dyDescent="0.2">
      <c r="A354" s="27" t="s">
        <v>243</v>
      </c>
      <c r="B354" s="27" t="s">
        <v>240</v>
      </c>
      <c r="C354" s="27">
        <v>31.5</v>
      </c>
      <c r="D354" s="27" t="s">
        <v>12</v>
      </c>
      <c r="E354" s="27" t="s">
        <v>9</v>
      </c>
      <c r="F354" s="27" t="str">
        <f>IF(C354&gt;$W$3,"Yes","No")</f>
        <v>No</v>
      </c>
      <c r="G354" s="27" t="s">
        <v>9</v>
      </c>
      <c r="J354" s="27" t="s">
        <v>11</v>
      </c>
      <c r="K354" s="27">
        <v>11.2</v>
      </c>
      <c r="L354" s="27" t="s">
        <v>12</v>
      </c>
      <c r="M354" s="27" t="s">
        <v>67</v>
      </c>
      <c r="N354" s="27" t="str">
        <f t="shared" ref="N354:N355" si="143">IF(K354="N/A","No", IF(K354&gt;1200,"Yes","No"))</f>
        <v>No</v>
      </c>
      <c r="O354" s="27" t="str">
        <f t="shared" si="142"/>
        <v>No</v>
      </c>
      <c r="Q354" s="27" t="s">
        <v>98</v>
      </c>
      <c r="R354" s="27" t="str">
        <f>_xlfn.XLOOKUP("mg/cm2",D353:D356,G353:G356,"N/A")</f>
        <v>No</v>
      </c>
      <c r="S354" s="27" t="str">
        <f>IF(COUNTIF(O356:O357,"Yes"),"Yes","No")</f>
        <v>No</v>
      </c>
      <c r="U354" s="27" t="s">
        <v>95</v>
      </c>
      <c r="V354" s="27" t="str">
        <f>R353</f>
        <v>No</v>
      </c>
      <c r="W354" s="27" t="str">
        <f>S353</f>
        <v>No</v>
      </c>
      <c r="X354" s="27" t="str">
        <f t="shared" ref="X354:X357" si="144">IF(V354="N/A","N/A",IF(W354="N/A", "N/A", IF(V354=W354, "Yes","No")))</f>
        <v>Yes</v>
      </c>
    </row>
    <row r="355" spans="1:38" x14ac:dyDescent="0.2">
      <c r="A355" s="27" t="s">
        <v>191</v>
      </c>
      <c r="B355" s="27" t="s">
        <v>211</v>
      </c>
      <c r="C355" s="27">
        <v>0</v>
      </c>
      <c r="D355" s="27" t="s">
        <v>4</v>
      </c>
      <c r="E355" s="27" t="s">
        <v>9</v>
      </c>
      <c r="F355" s="27" t="str">
        <f t="shared" ref="F355" si="145">IF(C355&gt;=$W$2,"Yes","No")</f>
        <v>No</v>
      </c>
      <c r="G355" s="27" t="s">
        <v>9</v>
      </c>
      <c r="H355" s="27" t="s">
        <v>43</v>
      </c>
      <c r="J355" s="27" t="s">
        <v>15</v>
      </c>
      <c r="K355" s="27">
        <v>12.1</v>
      </c>
      <c r="L355" s="27" t="s">
        <v>12</v>
      </c>
      <c r="M355" s="27" t="s">
        <v>112</v>
      </c>
      <c r="N355" s="27" t="str">
        <f t="shared" si="143"/>
        <v>No</v>
      </c>
      <c r="O355" s="27" t="str">
        <f t="shared" si="142"/>
        <v>No</v>
      </c>
      <c r="Q355" s="27" t="s">
        <v>117</v>
      </c>
      <c r="R355" s="27" t="str">
        <f>_xlfn.XLOOKUP("ug/ft2",D353:D356,F353:F356,"N/A")</f>
        <v>No</v>
      </c>
      <c r="S355" s="27" t="str">
        <f>IF(COUNTIF(O358:O361,"Yes"),"Yes","No")</f>
        <v>No</v>
      </c>
      <c r="U355" s="27" t="s">
        <v>163</v>
      </c>
      <c r="V355" s="27" t="s">
        <v>9</v>
      </c>
      <c r="W355" s="27" t="str">
        <f>O357</f>
        <v>No</v>
      </c>
      <c r="X355" s="27" t="str">
        <f t="shared" si="144"/>
        <v>Yes</v>
      </c>
    </row>
    <row r="356" spans="1:38" x14ac:dyDescent="0.2">
      <c r="A356" s="27" t="s">
        <v>201</v>
      </c>
      <c r="B356" s="27" t="s">
        <v>214</v>
      </c>
      <c r="C356" s="27">
        <v>6.8</v>
      </c>
      <c r="D356" s="27" t="s">
        <v>33</v>
      </c>
      <c r="E356" s="27" t="s">
        <v>9</v>
      </c>
      <c r="F356" s="27" t="str">
        <f>IF(C356&gt;$W$6,"Yes","No")</f>
        <v>No</v>
      </c>
      <c r="G356" s="27" t="s">
        <v>9</v>
      </c>
      <c r="J356" s="27" t="s">
        <v>19</v>
      </c>
      <c r="K356" s="27">
        <v>23</v>
      </c>
      <c r="L356" s="27" t="s">
        <v>12</v>
      </c>
      <c r="M356" s="27" t="s">
        <v>46</v>
      </c>
      <c r="N356" s="27" t="str">
        <f>IF(K356="N/A","No", IF(K356&gt;5000,"Yes","No"))</f>
        <v>No</v>
      </c>
      <c r="O356" s="27" t="str">
        <f t="shared" ref="O356:O357" si="146">IF(K356="Not","No",IF(K356="n/a","N/A",IF(K356&gt;$Y$2,"Yes","No")))</f>
        <v>No</v>
      </c>
      <c r="Q356" s="27" t="s">
        <v>118</v>
      </c>
      <c r="R356" s="27" t="str">
        <f>IF(COUNTIF(R353:R355,"Yes"),"Yes","No")</f>
        <v>No</v>
      </c>
      <c r="S356" s="27" t="str">
        <f>IF(COUNTIF(S353:S355,"Yes"),"Yes","No")</f>
        <v>No</v>
      </c>
      <c r="U356" s="27" t="s">
        <v>164</v>
      </c>
      <c r="V356" s="27" t="s">
        <v>9</v>
      </c>
      <c r="W356" s="27" t="str">
        <f>O356</f>
        <v>No</v>
      </c>
      <c r="X356" s="27" t="str">
        <f t="shared" si="144"/>
        <v>Yes</v>
      </c>
    </row>
    <row r="357" spans="1:38" x14ac:dyDescent="0.2">
      <c r="J357" s="27" t="s">
        <v>22</v>
      </c>
      <c r="K357" s="27">
        <v>2.5</v>
      </c>
      <c r="L357" s="27" t="s">
        <v>12</v>
      </c>
      <c r="M357" s="27" t="s">
        <v>43</v>
      </c>
      <c r="N357" s="27" t="str">
        <f>IF(K357="N/A","No", IF(K357&gt;5000,"Yes","No"))</f>
        <v>No</v>
      </c>
      <c r="O357" s="27" t="str">
        <f t="shared" si="146"/>
        <v>No</v>
      </c>
      <c r="U357" s="27" t="s">
        <v>162</v>
      </c>
      <c r="V357" s="27" t="str">
        <f>R354</f>
        <v>No</v>
      </c>
      <c r="W357" s="27" t="str">
        <f>S354</f>
        <v>No</v>
      </c>
      <c r="X357" s="27" t="str">
        <f t="shared" si="144"/>
        <v>Yes</v>
      </c>
    </row>
    <row r="358" spans="1:38" x14ac:dyDescent="0.2">
      <c r="J358" s="27" t="s">
        <v>25</v>
      </c>
      <c r="K358" s="27">
        <v>2.5</v>
      </c>
      <c r="L358" s="27" t="s">
        <v>12</v>
      </c>
      <c r="M358" s="27" t="s">
        <v>126</v>
      </c>
      <c r="N358" s="27" t="str">
        <f>IF(K358="N/A","No", IF(K358&gt;20,"Yes","No"))</f>
        <v>No</v>
      </c>
      <c r="O358" s="27" t="str">
        <f t="shared" ref="O358:O359" si="147">IF(K358="Not","No",IF(K358="n/a","N/A",IF(K358&gt;$Y$6,"Yes","No")))</f>
        <v>No</v>
      </c>
      <c r="U358" s="27" t="s">
        <v>101</v>
      </c>
      <c r="V358" s="27" t="s">
        <v>9</v>
      </c>
      <c r="W358" s="27" t="s">
        <v>9</v>
      </c>
      <c r="X358" s="27" t="str">
        <f>IF(V358="N/A","N/A",IF(W358="N/A", "N/A", IF(V358=W358, "Yes","No")))</f>
        <v>Yes</v>
      </c>
    </row>
    <row r="359" spans="1:38" x14ac:dyDescent="0.2">
      <c r="J359" s="27" t="s">
        <v>29</v>
      </c>
      <c r="K359" s="27">
        <v>2.5</v>
      </c>
      <c r="L359" s="27" t="s">
        <v>12</v>
      </c>
      <c r="M359" s="27" t="s">
        <v>222</v>
      </c>
      <c r="N359" s="27" t="str">
        <f>IF(K359="N/A","No", IF(K359&gt;20,"Yes","No"))</f>
        <v>No</v>
      </c>
      <c r="O359" s="27" t="str">
        <f t="shared" si="147"/>
        <v>No</v>
      </c>
      <c r="U359" s="27" t="s">
        <v>104</v>
      </c>
      <c r="V359" s="27" t="s">
        <v>120</v>
      </c>
      <c r="W359" s="27" t="str">
        <f>O360</f>
        <v>No</v>
      </c>
      <c r="X359" s="27" t="str">
        <f>IF(V359="N/A","N/A",IF(W359="N/A", "N/A", IF(V359=W359, "Yes","No")))</f>
        <v>N/A</v>
      </c>
    </row>
    <row r="360" spans="1:38" x14ac:dyDescent="0.2">
      <c r="J360" s="27" t="s">
        <v>34</v>
      </c>
      <c r="K360" s="27">
        <v>2.5</v>
      </c>
      <c r="L360" s="27" t="s">
        <v>12</v>
      </c>
      <c r="M360" s="27" t="s">
        <v>210</v>
      </c>
      <c r="N360" s="27" t="str">
        <f>IF(K360="N/A","No", IF(K360&gt;230,"Yes","No"))</f>
        <v>No</v>
      </c>
      <c r="O360" s="27" t="str">
        <f>IF(K360="Not","No",IF(K360="n/a","N/A",IF(K360&gt;$Y$5,"Yes","No")))</f>
        <v>No</v>
      </c>
      <c r="U360" s="27" t="s">
        <v>106</v>
      </c>
      <c r="V360" s="27" t="str">
        <f>R355</f>
        <v>No</v>
      </c>
      <c r="W360" s="27" t="str">
        <f>S355</f>
        <v>No</v>
      </c>
      <c r="X360" s="27" t="str">
        <f>IF(V360="N/A","N/A",IF(W360="N/A", "N/A", IF(V360=W360, "Yes","No")))</f>
        <v>Yes</v>
      </c>
    </row>
    <row r="361" spans="1:38" x14ac:dyDescent="0.2">
      <c r="J361" s="27" t="s">
        <v>208</v>
      </c>
      <c r="K361" s="27">
        <v>8.8000000000000007</v>
      </c>
      <c r="L361" s="27" t="s">
        <v>12</v>
      </c>
      <c r="M361" s="27" t="s">
        <v>223</v>
      </c>
      <c r="N361" s="27" t="str">
        <f>IF(K361="N/A","No", IF(K361&gt;20,"Yes","No"))</f>
        <v>No</v>
      </c>
      <c r="O361" s="27" t="str">
        <f>IF(K361="Not","No",IF(K361="n/a","N/A",IF(K361&gt;$Y$7,"Yes","No")))</f>
        <v>No</v>
      </c>
      <c r="U361" s="27" t="s">
        <v>121</v>
      </c>
      <c r="V361" s="27" t="str">
        <f>R356</f>
        <v>No</v>
      </c>
      <c r="W361" s="27" t="str">
        <f>S356</f>
        <v>No</v>
      </c>
      <c r="X361" s="27" t="str">
        <f>IF(V361="N/A","N/A",IF(W361="N/A", "N/A", IF(V361=W361, "Yes","No")))</f>
        <v>Yes</v>
      </c>
    </row>
    <row r="363" spans="1:38" x14ac:dyDescent="0.2">
      <c r="A363" s="62">
        <v>859</v>
      </c>
      <c r="B363" s="27" t="s">
        <v>111</v>
      </c>
      <c r="C363" s="27">
        <v>24</v>
      </c>
    </row>
    <row r="364" spans="1:38" x14ac:dyDescent="0.2">
      <c r="A364" s="59" t="s">
        <v>0</v>
      </c>
      <c r="E364" s="27" t="s">
        <v>274</v>
      </c>
      <c r="F364" s="27" t="s">
        <v>275</v>
      </c>
      <c r="G364" s="27" t="s">
        <v>119</v>
      </c>
      <c r="J364" s="59" t="s">
        <v>1</v>
      </c>
      <c r="N364" s="27" t="s">
        <v>277</v>
      </c>
      <c r="O364" s="27" t="s">
        <v>278</v>
      </c>
      <c r="Q364" s="59" t="s">
        <v>115</v>
      </c>
      <c r="R364" s="59" t="s">
        <v>0</v>
      </c>
      <c r="S364" s="59" t="s">
        <v>1</v>
      </c>
      <c r="U364" s="59" t="s">
        <v>115</v>
      </c>
      <c r="V364" s="59" t="s">
        <v>0</v>
      </c>
      <c r="W364" s="59" t="s">
        <v>1</v>
      </c>
      <c r="X364" s="59" t="s">
        <v>122</v>
      </c>
      <c r="AA364" s="27" t="str">
        <f>IF(R365="Yes","LRA-Soil","")</f>
        <v/>
      </c>
      <c r="AB364" s="27" t="str">
        <f>IF(R366="Yes","LRA-Paint","")</f>
        <v>LRA-Paint</v>
      </c>
      <c r="AC364" s="27" t="str">
        <f>IF(R367="Yes","LRA-Dust","")</f>
        <v>LRA-Dust</v>
      </c>
      <c r="AD364" s="27" t="str">
        <f>IF(S365="Yes","LSK-Soil","")</f>
        <v/>
      </c>
      <c r="AE364" s="27" t="str">
        <f>IF(S366="Yes","LSK-Paint","")</f>
        <v/>
      </c>
      <c r="AF364" s="27" t="str">
        <f>IF(S367="Yes","LSK-Dust","")</f>
        <v/>
      </c>
      <c r="AI364" s="27" t="s">
        <v>46</v>
      </c>
      <c r="AJ364" s="27" t="s">
        <v>43</v>
      </c>
      <c r="AK364" s="27" t="s">
        <v>116</v>
      </c>
      <c r="AL364" s="27" t="s">
        <v>117</v>
      </c>
    </row>
    <row r="365" spans="1:38" x14ac:dyDescent="0.2">
      <c r="A365" s="27" t="s">
        <v>63</v>
      </c>
      <c r="B365" s="27" t="s">
        <v>10</v>
      </c>
      <c r="C365" s="27">
        <v>9.1999999999999993</v>
      </c>
      <c r="D365" s="27" t="s">
        <v>4</v>
      </c>
      <c r="E365" s="27" t="s">
        <v>5</v>
      </c>
      <c r="F365" s="27" t="str">
        <f t="shared" ref="F365:F370" si="148">IF(C365&gt;=$W$2,"Yes","No")</f>
        <v>Yes</v>
      </c>
      <c r="G365" s="27" t="s">
        <v>5</v>
      </c>
      <c r="H365" s="27" t="s">
        <v>46</v>
      </c>
      <c r="J365" s="27" t="s">
        <v>6</v>
      </c>
      <c r="K365" s="27">
        <v>127</v>
      </c>
      <c r="L365" s="27" t="s">
        <v>12</v>
      </c>
      <c r="M365" s="27" t="s">
        <v>114</v>
      </c>
      <c r="N365" s="27" t="str">
        <f>IF(K365="N/A","No", IF(K365&gt;1200,"Yes","No"))</f>
        <v>No</v>
      </c>
      <c r="O365" s="27" t="str">
        <f t="shared" ref="O365:O367" si="149">IF(K365="Not","No",IF(K365="n/a","N/A",IF(K365&gt;$Y$3,"Yes","No")))</f>
        <v>No</v>
      </c>
      <c r="Q365" s="27" t="s">
        <v>116</v>
      </c>
      <c r="R365" s="27" t="str">
        <f>_xlfn.XLOOKUP("ppm",D365:D376,F365:F376,"N/A")</f>
        <v>N/A</v>
      </c>
      <c r="S365" s="27" t="str">
        <f>IF(COUNTIF(O365:O367,"Yes"),"Yes","No")</f>
        <v>No</v>
      </c>
      <c r="U365" s="27" t="s">
        <v>92</v>
      </c>
      <c r="V365" s="27" t="s">
        <v>120</v>
      </c>
      <c r="W365" s="27" t="s">
        <v>120</v>
      </c>
      <c r="X365" s="27" t="str">
        <f>IF(V365="N/A","N/A",IF(W365="N/A", "N/A", IF(V365=W365, "Yes","No")))</f>
        <v>N/A</v>
      </c>
      <c r="AI365" s="27">
        <f>COUNTIF(H364:H376,"Exterior")</f>
        <v>4</v>
      </c>
      <c r="AJ365" s="27">
        <f>COUNTIF(H364:H376, "Interior")</f>
        <v>2</v>
      </c>
      <c r="AK365" s="27">
        <f>COUNTIFS(D364:D376,"ppm")+COUNTIFS(D364:D376,"mg/Kg")</f>
        <v>0</v>
      </c>
      <c r="AL365" s="27">
        <f>COUNTIF(D364:D376,"ug/ft2")</f>
        <v>6</v>
      </c>
    </row>
    <row r="366" spans="1:38" x14ac:dyDescent="0.2">
      <c r="A366" s="27" t="s">
        <v>63</v>
      </c>
      <c r="B366" s="27" t="s">
        <v>24</v>
      </c>
      <c r="C366" s="27">
        <v>8.6</v>
      </c>
      <c r="D366" s="27" t="s">
        <v>4</v>
      </c>
      <c r="E366" s="27" t="s">
        <v>5</v>
      </c>
      <c r="F366" s="27" t="str">
        <f t="shared" si="148"/>
        <v>Yes</v>
      </c>
      <c r="G366" s="27" t="s">
        <v>5</v>
      </c>
      <c r="H366" s="27" t="s">
        <v>46</v>
      </c>
      <c r="J366" s="27" t="s">
        <v>11</v>
      </c>
      <c r="K366" s="27">
        <v>216</v>
      </c>
      <c r="L366" s="27" t="s">
        <v>12</v>
      </c>
      <c r="M366" s="27" t="s">
        <v>67</v>
      </c>
      <c r="N366" s="27" t="str">
        <f t="shared" ref="N366:N367" si="150">IF(K366="N/A","No", IF(K366&gt;1200,"Yes","No"))</f>
        <v>No</v>
      </c>
      <c r="O366" s="27" t="str">
        <f t="shared" si="149"/>
        <v>No</v>
      </c>
      <c r="Q366" s="27" t="s">
        <v>98</v>
      </c>
      <c r="R366" s="27" t="str">
        <f>_xlfn.XLOOKUP("mg/cm2",D365:D376,G365:G376,"N/A")</f>
        <v>Yes</v>
      </c>
      <c r="S366" s="27" t="str">
        <f>IF(COUNTIF(O368:O369,"Yes"),"Yes","No")</f>
        <v>No</v>
      </c>
      <c r="U366" s="27" t="s">
        <v>95</v>
      </c>
      <c r="V366" s="27" t="str">
        <f>R365</f>
        <v>N/A</v>
      </c>
      <c r="W366" s="27" t="str">
        <f>S365</f>
        <v>No</v>
      </c>
      <c r="X366" s="27" t="str">
        <f t="shared" ref="X366:X369" si="151">IF(V366="N/A","N/A",IF(W366="N/A", "N/A", IF(V366=W366, "Yes","No")))</f>
        <v>N/A</v>
      </c>
    </row>
    <row r="367" spans="1:38" x14ac:dyDescent="0.2">
      <c r="A367" s="27" t="s">
        <v>63</v>
      </c>
      <c r="B367" s="27" t="s">
        <v>24</v>
      </c>
      <c r="C367" s="27">
        <v>10.1</v>
      </c>
      <c r="D367" s="27" t="s">
        <v>4</v>
      </c>
      <c r="E367" s="27" t="s">
        <v>5</v>
      </c>
      <c r="F367" s="27" t="str">
        <f t="shared" si="148"/>
        <v>Yes</v>
      </c>
      <c r="G367" s="27" t="s">
        <v>5</v>
      </c>
      <c r="H367" s="27" t="s">
        <v>46</v>
      </c>
      <c r="J367" s="27" t="s">
        <v>15</v>
      </c>
      <c r="K367" s="27">
        <v>26</v>
      </c>
      <c r="L367" s="27" t="s">
        <v>12</v>
      </c>
      <c r="M367" s="27" t="s">
        <v>112</v>
      </c>
      <c r="N367" s="27" t="str">
        <f t="shared" si="150"/>
        <v>No</v>
      </c>
      <c r="O367" s="27" t="str">
        <f t="shared" si="149"/>
        <v>No</v>
      </c>
      <c r="Q367" s="27" t="s">
        <v>117</v>
      </c>
      <c r="R367" s="27" t="str">
        <f>_xlfn.XLOOKUP("ug/ft2",D365:D376,F365:F376,"N/A")</f>
        <v>Yes</v>
      </c>
      <c r="S367" s="27" t="str">
        <f>IF(COUNTIF(O370:O373,"Yes"),"Yes","No")</f>
        <v>No</v>
      </c>
      <c r="U367" s="27" t="s">
        <v>163</v>
      </c>
      <c r="V367" s="27" t="s">
        <v>5</v>
      </c>
      <c r="W367" s="27" t="str">
        <f>O369</f>
        <v>No</v>
      </c>
      <c r="X367" s="27" t="str">
        <f t="shared" si="151"/>
        <v>No</v>
      </c>
    </row>
    <row r="368" spans="1:38" x14ac:dyDescent="0.2">
      <c r="A368" s="27" t="s">
        <v>63</v>
      </c>
      <c r="B368" s="27" t="s">
        <v>24</v>
      </c>
      <c r="C368" s="27">
        <v>8.6</v>
      </c>
      <c r="D368" s="27" t="s">
        <v>4</v>
      </c>
      <c r="E368" s="27" t="s">
        <v>5</v>
      </c>
      <c r="F368" s="27" t="str">
        <f t="shared" si="148"/>
        <v>Yes</v>
      </c>
      <c r="G368" s="27" t="s">
        <v>5</v>
      </c>
      <c r="H368" s="27" t="s">
        <v>46</v>
      </c>
      <c r="J368" s="27" t="s">
        <v>19</v>
      </c>
      <c r="K368" s="27">
        <v>103</v>
      </c>
      <c r="L368" s="27" t="s">
        <v>12</v>
      </c>
      <c r="M368" s="27" t="s">
        <v>46</v>
      </c>
      <c r="N368" s="27" t="str">
        <f>IF(K368="N/A","No", IF(K368&gt;5000,"Yes","No"))</f>
        <v>No</v>
      </c>
      <c r="O368" s="27" t="str">
        <f t="shared" ref="O368:O369" si="152">IF(K368="Not","No",IF(K368="n/a","N/A",IF(K368&gt;$Y$2,"Yes","No")))</f>
        <v>No</v>
      </c>
      <c r="Q368" s="27" t="s">
        <v>118</v>
      </c>
      <c r="R368" s="27" t="str">
        <f>IF(COUNTIF(R365:R367,"Yes"),"Yes","No")</f>
        <v>Yes</v>
      </c>
      <c r="S368" s="27" t="str">
        <f>IF(COUNTIF(S365:S367,"Yes"),"Yes","No")</f>
        <v>No</v>
      </c>
      <c r="U368" s="27" t="s">
        <v>164</v>
      </c>
      <c r="V368" s="27" t="s">
        <v>5</v>
      </c>
      <c r="W368" s="27" t="str">
        <f>O368</f>
        <v>No</v>
      </c>
      <c r="X368" s="27" t="str">
        <f t="shared" si="151"/>
        <v>No</v>
      </c>
    </row>
    <row r="369" spans="1:38" x14ac:dyDescent="0.2">
      <c r="A369" s="27" t="s">
        <v>245</v>
      </c>
      <c r="B369" s="27" t="s">
        <v>246</v>
      </c>
      <c r="C369" s="27">
        <v>4.4000000000000004</v>
      </c>
      <c r="D369" s="27" t="s">
        <v>4</v>
      </c>
      <c r="E369" s="27" t="s">
        <v>5</v>
      </c>
      <c r="F369" s="27" t="str">
        <f t="shared" si="148"/>
        <v>Yes</v>
      </c>
      <c r="G369" s="27" t="s">
        <v>5</v>
      </c>
      <c r="H369" s="27" t="s">
        <v>43</v>
      </c>
      <c r="J369" s="27" t="s">
        <v>22</v>
      </c>
      <c r="K369" s="27">
        <v>17</v>
      </c>
      <c r="L369" s="27" t="s">
        <v>12</v>
      </c>
      <c r="M369" s="27" t="s">
        <v>43</v>
      </c>
      <c r="N369" s="27" t="str">
        <f>IF(K369="N/A","No", IF(K369&gt;5000,"Yes","No"))</f>
        <v>No</v>
      </c>
      <c r="O369" s="27" t="str">
        <f t="shared" si="152"/>
        <v>No</v>
      </c>
      <c r="U369" s="27" t="s">
        <v>162</v>
      </c>
      <c r="V369" s="27" t="str">
        <f>R366</f>
        <v>Yes</v>
      </c>
      <c r="W369" s="27" t="str">
        <f>S366</f>
        <v>No</v>
      </c>
      <c r="X369" s="27" t="str">
        <f t="shared" si="151"/>
        <v>No</v>
      </c>
    </row>
    <row r="370" spans="1:38" x14ac:dyDescent="0.2">
      <c r="A370" s="27" t="s">
        <v>247</v>
      </c>
      <c r="B370" s="27" t="s">
        <v>246</v>
      </c>
      <c r="C370" s="27">
        <v>5.2</v>
      </c>
      <c r="D370" s="27" t="s">
        <v>4</v>
      </c>
      <c r="E370" s="27" t="s">
        <v>5</v>
      </c>
      <c r="F370" s="27" t="str">
        <f t="shared" si="148"/>
        <v>Yes</v>
      </c>
      <c r="G370" s="27" t="s">
        <v>5</v>
      </c>
      <c r="H370" s="27" t="s">
        <v>43</v>
      </c>
      <c r="J370" s="27" t="s">
        <v>25</v>
      </c>
      <c r="K370" s="27">
        <v>2.5</v>
      </c>
      <c r="L370" s="27" t="s">
        <v>12</v>
      </c>
      <c r="M370" s="27" t="s">
        <v>126</v>
      </c>
      <c r="N370" s="27" t="str">
        <f>IF(K370="N/A","No", IF(K370&gt;20,"Yes","No"))</f>
        <v>No</v>
      </c>
      <c r="O370" s="27" t="str">
        <f t="shared" ref="O370:O371" si="153">IF(K370="Not","No",IF(K370="n/a","N/A",IF(K370&gt;$Y$6,"Yes","No")))</f>
        <v>No</v>
      </c>
      <c r="U370" s="27" t="s">
        <v>101</v>
      </c>
      <c r="V370" s="27" t="s">
        <v>5</v>
      </c>
      <c r="W370" s="27" t="s">
        <v>5</v>
      </c>
      <c r="X370" s="27" t="str">
        <f>IF(V370="N/A","N/A",IF(W370="N/A", "N/A", IF(V370=W370, "Yes","No")))</f>
        <v>Yes</v>
      </c>
    </row>
    <row r="371" spans="1:38" x14ac:dyDescent="0.2">
      <c r="A371" s="27" t="s">
        <v>156</v>
      </c>
      <c r="B371" s="27" t="s">
        <v>32</v>
      </c>
      <c r="C371" s="27">
        <v>14</v>
      </c>
      <c r="D371" s="27" t="s">
        <v>33</v>
      </c>
      <c r="E371" s="27" t="s">
        <v>5</v>
      </c>
      <c r="F371" s="27" t="str">
        <f t="shared" ref="F371:F374" si="154">IF(C371&gt;$W$6,"Yes","No")</f>
        <v>Yes</v>
      </c>
      <c r="G371" s="27" t="s">
        <v>5</v>
      </c>
      <c r="J371" s="27" t="s">
        <v>29</v>
      </c>
      <c r="K371" s="27">
        <v>13</v>
      </c>
      <c r="L371" s="27" t="s">
        <v>12</v>
      </c>
      <c r="M371" s="27" t="s">
        <v>222</v>
      </c>
      <c r="N371" s="27" t="str">
        <f>IF(K371="N/A","No", IF(K371&gt;20,"Yes","No"))</f>
        <v>No</v>
      </c>
      <c r="O371" s="27" t="str">
        <f t="shared" si="153"/>
        <v>No</v>
      </c>
      <c r="U371" s="27" t="s">
        <v>104</v>
      </c>
      <c r="V371" s="27" t="s">
        <v>5</v>
      </c>
      <c r="W371" s="27" t="str">
        <f>O372</f>
        <v>No</v>
      </c>
      <c r="X371" s="27" t="str">
        <f>IF(V371="N/A","N/A",IF(W371="N/A", "N/A", IF(V371=W371, "Yes","No")))</f>
        <v>No</v>
      </c>
    </row>
    <row r="372" spans="1:38" x14ac:dyDescent="0.2">
      <c r="A372" s="27" t="s">
        <v>159</v>
      </c>
      <c r="B372" s="27" t="s">
        <v>32</v>
      </c>
      <c r="C372" s="27">
        <v>21.2</v>
      </c>
      <c r="D372" s="27" t="s">
        <v>33</v>
      </c>
      <c r="E372" s="27" t="s">
        <v>5</v>
      </c>
      <c r="F372" s="27" t="str">
        <f t="shared" si="154"/>
        <v>Yes</v>
      </c>
      <c r="G372" s="27" t="s">
        <v>5</v>
      </c>
      <c r="J372" s="27" t="s">
        <v>34</v>
      </c>
      <c r="K372" s="27">
        <v>6</v>
      </c>
      <c r="L372" s="27" t="s">
        <v>12</v>
      </c>
      <c r="M372" s="27" t="s">
        <v>210</v>
      </c>
      <c r="N372" s="27" t="str">
        <f>IF(K372="N/A","No", IF(K372&gt;230,"Yes","No"))</f>
        <v>No</v>
      </c>
      <c r="O372" s="27" t="str">
        <f>IF(K372="Not","No",IF(K372="n/a","N/A",IF(K372&gt;$Y$5,"Yes","No")))</f>
        <v>No</v>
      </c>
      <c r="U372" s="27" t="s">
        <v>106</v>
      </c>
      <c r="V372" s="27" t="str">
        <f>R367</f>
        <v>Yes</v>
      </c>
      <c r="W372" s="57" t="str">
        <f>S367</f>
        <v>No</v>
      </c>
      <c r="X372" s="27" t="str">
        <f>IF(V372="N/A","N/A",IF(W372="N/A", "N/A", IF(V372=W372, "Yes","No")))</f>
        <v>No</v>
      </c>
    </row>
    <row r="373" spans="1:38" x14ac:dyDescent="0.2">
      <c r="A373" s="27" t="s">
        <v>248</v>
      </c>
      <c r="B373" s="27" t="s">
        <v>32</v>
      </c>
      <c r="C373" s="27">
        <v>15.9</v>
      </c>
      <c r="D373" s="27" t="s">
        <v>33</v>
      </c>
      <c r="E373" s="27" t="s">
        <v>5</v>
      </c>
      <c r="F373" s="27" t="str">
        <f t="shared" si="154"/>
        <v>Yes</v>
      </c>
      <c r="G373" s="27" t="s">
        <v>5</v>
      </c>
      <c r="J373" s="69" t="s">
        <v>208</v>
      </c>
      <c r="K373" s="27">
        <v>23.7</v>
      </c>
      <c r="L373" s="27" t="s">
        <v>12</v>
      </c>
      <c r="M373" s="27" t="s">
        <v>223</v>
      </c>
      <c r="N373" s="27" t="str">
        <f>IF(K373="N/A","No", IF(K373&gt;20,"Yes","No"))</f>
        <v>Yes</v>
      </c>
      <c r="O373" s="27" t="str">
        <f>IF(K373="Not","No",IF(K373="n/a","N/A",IF(K373&gt;$Y$7,"Yes","No")))</f>
        <v>No</v>
      </c>
      <c r="U373" s="27" t="s">
        <v>121</v>
      </c>
      <c r="V373" s="27" t="str">
        <f>R368</f>
        <v>Yes</v>
      </c>
      <c r="W373" s="27" t="str">
        <f>S368</f>
        <v>No</v>
      </c>
      <c r="X373" s="27" t="str">
        <f>IF(V373="N/A","N/A",IF(W373="N/A", "N/A", IF(V373=W373, "Yes","No")))</f>
        <v>No</v>
      </c>
    </row>
    <row r="374" spans="1:38" x14ac:dyDescent="0.2">
      <c r="A374" s="27" t="s">
        <v>157</v>
      </c>
      <c r="B374" s="27" t="s">
        <v>32</v>
      </c>
      <c r="C374" s="27">
        <v>78.8</v>
      </c>
      <c r="D374" s="27" t="s">
        <v>33</v>
      </c>
      <c r="E374" s="27" t="s">
        <v>5</v>
      </c>
      <c r="F374" s="27" t="str">
        <f t="shared" si="154"/>
        <v>Yes</v>
      </c>
      <c r="G374" s="27" t="s">
        <v>5</v>
      </c>
    </row>
    <row r="375" spans="1:38" x14ac:dyDescent="0.2">
      <c r="A375" s="27" t="s">
        <v>157</v>
      </c>
      <c r="B375" s="27" t="s">
        <v>54</v>
      </c>
      <c r="C375" s="27">
        <v>108</v>
      </c>
      <c r="D375" s="27" t="s">
        <v>33</v>
      </c>
      <c r="E375" s="27" t="s">
        <v>5</v>
      </c>
      <c r="F375" s="27" t="str">
        <f>IF(C375&gt;=$W$5,"Yes","No")</f>
        <v>Yes</v>
      </c>
      <c r="G375" s="27" t="s">
        <v>5</v>
      </c>
    </row>
    <row r="376" spans="1:38" x14ac:dyDescent="0.2">
      <c r="A376" s="27" t="s">
        <v>71</v>
      </c>
      <c r="B376" s="27" t="s">
        <v>32</v>
      </c>
      <c r="C376" s="27">
        <v>11.9</v>
      </c>
      <c r="D376" s="27" t="s">
        <v>33</v>
      </c>
      <c r="E376" s="27" t="s">
        <v>5</v>
      </c>
      <c r="F376" s="27" t="str">
        <f>IF(C376&gt;$W$6,"Yes","No")</f>
        <v>Yes</v>
      </c>
      <c r="G376" s="27" t="s">
        <v>5</v>
      </c>
    </row>
    <row r="379" spans="1:38" x14ac:dyDescent="0.2">
      <c r="A379" s="27">
        <v>862</v>
      </c>
      <c r="B379" s="27" t="s">
        <v>111</v>
      </c>
      <c r="C379" s="27">
        <v>25</v>
      </c>
    </row>
    <row r="380" spans="1:38" x14ac:dyDescent="0.2">
      <c r="A380" s="59" t="s">
        <v>0</v>
      </c>
      <c r="E380" s="27" t="s">
        <v>274</v>
      </c>
      <c r="F380" s="27" t="s">
        <v>275</v>
      </c>
      <c r="G380" s="27" t="s">
        <v>119</v>
      </c>
      <c r="J380" s="59" t="s">
        <v>1</v>
      </c>
      <c r="N380" s="27" t="s">
        <v>277</v>
      </c>
      <c r="O380" s="27" t="s">
        <v>278</v>
      </c>
      <c r="Q380" s="59" t="s">
        <v>115</v>
      </c>
      <c r="R380" s="59" t="s">
        <v>0</v>
      </c>
      <c r="S380" s="59" t="s">
        <v>1</v>
      </c>
      <c r="U380" s="59" t="s">
        <v>115</v>
      </c>
      <c r="V380" s="59" t="s">
        <v>0</v>
      </c>
      <c r="W380" s="59" t="s">
        <v>1</v>
      </c>
      <c r="X380" s="59" t="s">
        <v>122</v>
      </c>
      <c r="AA380" s="27" t="str">
        <f>IF(R381="Yes","LRA-Soil","")</f>
        <v>LRA-Soil</v>
      </c>
      <c r="AB380" s="27" t="str">
        <f>IF(R382="Yes","LRA-Paint","")</f>
        <v>LRA-Paint</v>
      </c>
      <c r="AC380" s="27" t="str">
        <f>IF(R383="Yes","LRA-Dust","")</f>
        <v/>
      </c>
      <c r="AD380" s="27" t="str">
        <f>IF(S381="Yes","LSK-Soil","")</f>
        <v>LSK-Soil</v>
      </c>
      <c r="AE380" s="27" t="str">
        <f>IF(S382="Yes","LSK-Paint","")</f>
        <v/>
      </c>
      <c r="AF380" s="27" t="str">
        <f>IF(S383="Yes","LSK-Dust","")</f>
        <v/>
      </c>
      <c r="AI380" s="27" t="s">
        <v>46</v>
      </c>
      <c r="AJ380" s="27" t="s">
        <v>43</v>
      </c>
      <c r="AK380" s="27" t="s">
        <v>116</v>
      </c>
      <c r="AL380" s="27" t="s">
        <v>117</v>
      </c>
    </row>
    <row r="381" spans="1:38" x14ac:dyDescent="0.2">
      <c r="A381" s="27" t="s">
        <v>185</v>
      </c>
      <c r="B381" s="27" t="s">
        <v>211</v>
      </c>
      <c r="C381" s="27">
        <v>6.2</v>
      </c>
      <c r="D381" s="27" t="s">
        <v>4</v>
      </c>
      <c r="E381" s="27" t="s">
        <v>5</v>
      </c>
      <c r="F381" s="27" t="str">
        <f t="shared" ref="F381" si="155">IF(C381&gt;=$W$2,"Yes","No")</f>
        <v>Yes</v>
      </c>
      <c r="G381" s="27" t="s">
        <v>5</v>
      </c>
      <c r="H381" s="27" t="s">
        <v>46</v>
      </c>
      <c r="J381" s="27" t="s">
        <v>6</v>
      </c>
      <c r="K381" s="27">
        <v>508</v>
      </c>
      <c r="L381" s="27" t="s">
        <v>12</v>
      </c>
      <c r="M381" s="27" t="s">
        <v>114</v>
      </c>
      <c r="N381" s="27" t="str">
        <f>IF(K381="N/A","No", IF(K381&gt;1200,"Yes","No"))</f>
        <v>No</v>
      </c>
      <c r="O381" s="27" t="str">
        <f t="shared" ref="O381:O383" si="156">IF(K381="Not","No",IF(K381="n/a","N/A",IF(K381&gt;$Y$3,"Yes","No")))</f>
        <v>Yes</v>
      </c>
      <c r="Q381" s="27" t="s">
        <v>116</v>
      </c>
      <c r="R381" s="27" t="str">
        <f>_xlfn.XLOOKUP("ppm",D381:D384,F381:F384,"N/A")</f>
        <v>Yes</v>
      </c>
      <c r="S381" s="27" t="str">
        <f>IF(COUNTIF(O381:O383,"Yes"),"Yes","No")</f>
        <v>Yes</v>
      </c>
      <c r="U381" s="27" t="s">
        <v>92</v>
      </c>
      <c r="V381" s="27" t="s">
        <v>120</v>
      </c>
      <c r="W381" s="27" t="s">
        <v>120</v>
      </c>
      <c r="X381" s="27" t="str">
        <f>IF(V381="N/A","N/A",IF(W381="N/A", "N/A", IF(V381=W381, "Yes","No")))</f>
        <v>N/A</v>
      </c>
      <c r="AI381" s="27">
        <f>COUNTIF(H380:H384,"Exterior")</f>
        <v>1</v>
      </c>
      <c r="AJ381" s="27">
        <f>COUNTIF(H380:H384, "Interior")</f>
        <v>1</v>
      </c>
      <c r="AK381" s="27">
        <f>COUNTIFS(D380:D384,"ppm")+COUNTIFS(D380:D384,"mg/Kg")</f>
        <v>1</v>
      </c>
      <c r="AL381" s="27">
        <f>COUNTIF(D380:D384,"ug/ft2")</f>
        <v>1</v>
      </c>
    </row>
    <row r="382" spans="1:38" x14ac:dyDescent="0.2">
      <c r="A382" s="27" t="s">
        <v>200</v>
      </c>
      <c r="B382" s="27" t="s">
        <v>202</v>
      </c>
      <c r="C382" s="27">
        <v>1060</v>
      </c>
      <c r="D382" s="27" t="s">
        <v>12</v>
      </c>
      <c r="E382" s="27" t="s">
        <v>9</v>
      </c>
      <c r="F382" s="27" t="str">
        <f>IF(C382&gt;$W$3,"Yes","No")</f>
        <v>Yes</v>
      </c>
      <c r="G382" s="27" t="s">
        <v>9</v>
      </c>
      <c r="J382" s="27" t="s">
        <v>11</v>
      </c>
      <c r="K382" s="27">
        <v>637</v>
      </c>
      <c r="L382" s="27" t="s">
        <v>12</v>
      </c>
      <c r="M382" s="27" t="s">
        <v>67</v>
      </c>
      <c r="N382" s="27" t="str">
        <f t="shared" ref="N382:N383" si="157">IF(K382="N/A","No", IF(K382&gt;1200,"Yes","No"))</f>
        <v>No</v>
      </c>
      <c r="O382" s="27" t="str">
        <f t="shared" si="156"/>
        <v>Yes</v>
      </c>
      <c r="Q382" s="27" t="s">
        <v>98</v>
      </c>
      <c r="R382" s="27" t="str">
        <f>_xlfn.XLOOKUP("mg/cm2",D381:D384,G381:G384,"N/A")</f>
        <v>Yes</v>
      </c>
      <c r="S382" s="27" t="str">
        <f>IF(COUNTIF(O384:O385,"Yes"),"Yes","No")</f>
        <v>No</v>
      </c>
      <c r="U382" s="27" t="s">
        <v>95</v>
      </c>
      <c r="V382" s="27" t="str">
        <f>R381</f>
        <v>Yes</v>
      </c>
      <c r="W382" s="27" t="str">
        <f>S381</f>
        <v>Yes</v>
      </c>
      <c r="X382" s="27" t="str">
        <f t="shared" ref="X382:X385" si="158">IF(V382="N/A","N/A",IF(W382="N/A", "N/A", IF(V382=W382, "Yes","No")))</f>
        <v>Yes</v>
      </c>
    </row>
    <row r="383" spans="1:38" x14ac:dyDescent="0.2">
      <c r="A383" s="27" t="s">
        <v>237</v>
      </c>
      <c r="B383" s="27" t="s">
        <v>221</v>
      </c>
      <c r="C383" s="27">
        <v>4.0999999999999996</v>
      </c>
      <c r="D383" s="27" t="s">
        <v>4</v>
      </c>
      <c r="E383" s="27" t="s">
        <v>5</v>
      </c>
      <c r="F383" s="27" t="str">
        <f t="shared" ref="F383" si="159">IF(C383&gt;=$W$2,"Yes","No")</f>
        <v>Yes</v>
      </c>
      <c r="G383" s="27" t="s">
        <v>5</v>
      </c>
      <c r="H383" s="27" t="s">
        <v>43</v>
      </c>
      <c r="J383" s="27" t="s">
        <v>15</v>
      </c>
      <c r="K383" s="27">
        <v>4069</v>
      </c>
      <c r="L383" s="27" t="s">
        <v>12</v>
      </c>
      <c r="M383" s="27" t="s">
        <v>112</v>
      </c>
      <c r="N383" s="27" t="str">
        <f t="shared" si="157"/>
        <v>Yes</v>
      </c>
      <c r="O383" s="27" t="str">
        <f t="shared" si="156"/>
        <v>Yes</v>
      </c>
      <c r="Q383" s="27" t="s">
        <v>117</v>
      </c>
      <c r="R383" s="27" t="str">
        <f>_xlfn.XLOOKUP("ug/ft2",D381:D392,F381:F392,"N/A")</f>
        <v>No</v>
      </c>
      <c r="S383" s="27" t="str">
        <f>IF(COUNTIF(O386:O389,"Yes"),"Yes","No")</f>
        <v>No</v>
      </c>
      <c r="U383" s="27" t="s">
        <v>163</v>
      </c>
      <c r="V383" s="27" t="s">
        <v>5</v>
      </c>
      <c r="W383" s="27" t="str">
        <f>O385</f>
        <v>No</v>
      </c>
      <c r="X383" s="27" t="str">
        <f t="shared" si="158"/>
        <v>No</v>
      </c>
    </row>
    <row r="384" spans="1:38" x14ac:dyDescent="0.2">
      <c r="A384" s="27" t="s">
        <v>249</v>
      </c>
      <c r="B384" s="27" t="s">
        <v>192</v>
      </c>
      <c r="C384" s="27">
        <v>67.8</v>
      </c>
      <c r="D384" s="27" t="s">
        <v>33</v>
      </c>
      <c r="E384" s="27" t="s">
        <v>9</v>
      </c>
      <c r="F384" s="27" t="str">
        <f>IF(C384&gt;=$W$5,"Yes","No")</f>
        <v>No</v>
      </c>
      <c r="G384" s="27" t="s">
        <v>9</v>
      </c>
      <c r="J384" s="27" t="s">
        <v>19</v>
      </c>
      <c r="K384" s="27">
        <v>104</v>
      </c>
      <c r="L384" s="27" t="s">
        <v>12</v>
      </c>
      <c r="M384" s="27" t="s">
        <v>46</v>
      </c>
      <c r="N384" s="27" t="str">
        <f>IF(K384="N/A","No", IF(K384&gt;5000,"Yes","No"))</f>
        <v>No</v>
      </c>
      <c r="O384" s="27" t="str">
        <f t="shared" ref="O384:O385" si="160">IF(K384="Not","No",IF(K384="n/a","N/A",IF(K384&gt;$Y$2,"Yes","No")))</f>
        <v>No</v>
      </c>
      <c r="Q384" s="27" t="s">
        <v>118</v>
      </c>
      <c r="R384" s="27" t="str">
        <f>IF(COUNTIF(R381:R383,"Yes"),"Yes","No")</f>
        <v>Yes</v>
      </c>
      <c r="S384" s="27" t="str">
        <f>IF(COUNTIF(S381:S383,"Yes"),"Yes","No")</f>
        <v>Yes</v>
      </c>
      <c r="U384" s="27" t="s">
        <v>164</v>
      </c>
      <c r="V384" s="27" t="s">
        <v>5</v>
      </c>
      <c r="W384" s="27" t="str">
        <f>O384</f>
        <v>No</v>
      </c>
      <c r="X384" s="27" t="str">
        <f t="shared" si="158"/>
        <v>No</v>
      </c>
    </row>
    <row r="385" spans="1:38" x14ac:dyDescent="0.2">
      <c r="J385" s="27" t="s">
        <v>22</v>
      </c>
      <c r="K385" s="27">
        <v>449</v>
      </c>
      <c r="L385" s="27" t="s">
        <v>12</v>
      </c>
      <c r="M385" s="27" t="s">
        <v>43</v>
      </c>
      <c r="N385" s="27" t="str">
        <f>IF(K385="N/A","No", IF(K385&gt;5000,"Yes","No"))</f>
        <v>No</v>
      </c>
      <c r="O385" s="27" t="str">
        <f t="shared" si="160"/>
        <v>No</v>
      </c>
      <c r="U385" s="27" t="s">
        <v>162</v>
      </c>
      <c r="V385" s="27" t="str">
        <f>R382</f>
        <v>Yes</v>
      </c>
      <c r="W385" s="27" t="str">
        <f>S382</f>
        <v>No</v>
      </c>
      <c r="X385" s="27" t="str">
        <f t="shared" si="158"/>
        <v>No</v>
      </c>
    </row>
    <row r="386" spans="1:38" x14ac:dyDescent="0.2">
      <c r="J386" s="27" t="s">
        <v>25</v>
      </c>
      <c r="K386" s="27">
        <v>2.5</v>
      </c>
      <c r="L386" s="27" t="s">
        <v>12</v>
      </c>
      <c r="M386" s="27" t="s">
        <v>126</v>
      </c>
      <c r="N386" s="27" t="str">
        <f>IF(K386="N/A","No", IF(K386&gt;20,"Yes","No"))</f>
        <v>No</v>
      </c>
      <c r="O386" s="27" t="str">
        <f t="shared" ref="O386:O387" si="161">IF(K386="Not","No",IF(K386="n/a","N/A",IF(K386&gt;$Y$6,"Yes","No")))</f>
        <v>No</v>
      </c>
      <c r="U386" s="27" t="s">
        <v>101</v>
      </c>
      <c r="V386" s="27" t="s">
        <v>120</v>
      </c>
      <c r="W386" s="61" t="s">
        <v>9</v>
      </c>
      <c r="X386" s="27" t="str">
        <f>IF(V386="N/A","N/A",IF(W386="N/A", "N/A", IF(V386=W386, "Yes","No")))</f>
        <v>N/A</v>
      </c>
    </row>
    <row r="387" spans="1:38" x14ac:dyDescent="0.2">
      <c r="J387" s="27" t="s">
        <v>29</v>
      </c>
      <c r="K387" s="27">
        <v>14</v>
      </c>
      <c r="L387" s="27" t="s">
        <v>12</v>
      </c>
      <c r="M387" s="27" t="s">
        <v>222</v>
      </c>
      <c r="N387" s="27" t="str">
        <f>IF(K387="N/A","No", IF(K387&gt;20,"Yes","No"))</f>
        <v>No</v>
      </c>
      <c r="O387" s="27" t="str">
        <f t="shared" si="161"/>
        <v>No</v>
      </c>
      <c r="U387" s="27" t="s">
        <v>104</v>
      </c>
      <c r="V387" s="27" t="s">
        <v>9</v>
      </c>
      <c r="W387" s="27" t="str">
        <f>O388</f>
        <v>No</v>
      </c>
      <c r="X387" s="27" t="str">
        <f>IF(V387="N/A","N/A",IF(W387="N/A", "N/A", IF(V387=W387, "Yes","No")))</f>
        <v>Yes</v>
      </c>
    </row>
    <row r="388" spans="1:38" x14ac:dyDescent="0.2">
      <c r="J388" s="27" t="s">
        <v>34</v>
      </c>
      <c r="K388" s="27">
        <v>2.5</v>
      </c>
      <c r="L388" s="27" t="s">
        <v>12</v>
      </c>
      <c r="M388" s="27" t="s">
        <v>210</v>
      </c>
      <c r="N388" s="27" t="str">
        <f>IF(K388="N/A","No", IF(K388&gt;230,"Yes","No"))</f>
        <v>No</v>
      </c>
      <c r="O388" s="27" t="str">
        <f>IF(K388="Not","No",IF(K388="n/a","N/A",IF(K388&gt;$Y$5,"Yes","No")))</f>
        <v>No</v>
      </c>
      <c r="U388" s="27" t="s">
        <v>106</v>
      </c>
      <c r="V388" s="27" t="str">
        <f>R383</f>
        <v>No</v>
      </c>
      <c r="W388" s="57" t="str">
        <f>S383</f>
        <v>No</v>
      </c>
      <c r="X388" s="27" t="str">
        <f>IF(V388="N/A","N/A",IF(W388="N/A", "N/A", IF(V388=W388, "Yes","No")))</f>
        <v>Yes</v>
      </c>
    </row>
    <row r="389" spans="1:38" x14ac:dyDescent="0.2">
      <c r="J389" s="27" t="s">
        <v>208</v>
      </c>
      <c r="K389" s="27">
        <v>112</v>
      </c>
      <c r="L389" s="27" t="s">
        <v>12</v>
      </c>
      <c r="M389" s="27" t="s">
        <v>223</v>
      </c>
      <c r="N389" s="27" t="str">
        <f>IF(K389="N/A","No", IF(K389&gt;20,"Yes","No"))</f>
        <v>Yes</v>
      </c>
      <c r="O389" s="27" t="str">
        <f>IF(K389="Not","No",IF(K389="n/a","N/A",IF(K389&gt;$Y$7,"Yes","No")))</f>
        <v>No</v>
      </c>
      <c r="U389" s="27" t="s">
        <v>121</v>
      </c>
      <c r="V389" s="27" t="str">
        <f>R384</f>
        <v>Yes</v>
      </c>
      <c r="W389" s="27" t="str">
        <f>S384</f>
        <v>Yes</v>
      </c>
      <c r="X389" s="27" t="str">
        <f>IF(V389="N/A","N/A",IF(W389="N/A", "N/A", IF(V389=W389, "Yes","No")))</f>
        <v>Yes</v>
      </c>
    </row>
    <row r="390" spans="1:38" x14ac:dyDescent="0.2">
      <c r="A390" s="12"/>
    </row>
    <row r="391" spans="1:38" x14ac:dyDescent="0.2">
      <c r="A391" s="27">
        <v>863</v>
      </c>
      <c r="B391" s="27" t="s">
        <v>111</v>
      </c>
      <c r="C391" s="27">
        <v>26</v>
      </c>
    </row>
    <row r="392" spans="1:38" x14ac:dyDescent="0.2">
      <c r="A392" s="59" t="s">
        <v>0</v>
      </c>
      <c r="E392" s="27" t="s">
        <v>274</v>
      </c>
      <c r="F392" s="27" t="s">
        <v>275</v>
      </c>
      <c r="G392" s="27" t="s">
        <v>119</v>
      </c>
      <c r="J392" s="59" t="s">
        <v>1</v>
      </c>
      <c r="N392" s="27" t="s">
        <v>277</v>
      </c>
      <c r="O392" s="27" t="s">
        <v>278</v>
      </c>
      <c r="Q392" s="59" t="s">
        <v>115</v>
      </c>
      <c r="R392" s="59" t="s">
        <v>0</v>
      </c>
      <c r="S392" s="59" t="s">
        <v>1</v>
      </c>
      <c r="U392" s="59" t="s">
        <v>115</v>
      </c>
      <c r="V392" s="59" t="s">
        <v>0</v>
      </c>
      <c r="W392" s="59" t="s">
        <v>1</v>
      </c>
      <c r="X392" s="59" t="s">
        <v>122</v>
      </c>
      <c r="AA392" s="27" t="str">
        <f>IF(R393="Yes","LRA-Soil","")</f>
        <v/>
      </c>
      <c r="AB392" s="27" t="str">
        <f>IF(R394="Yes","LRA-Paint","")</f>
        <v/>
      </c>
      <c r="AC392" s="27" t="str">
        <f>IF(R395="Yes","LRA-Dust","")</f>
        <v/>
      </c>
      <c r="AD392" s="27" t="str">
        <f>IF(S393="Yes","LSK-Soil","")</f>
        <v/>
      </c>
      <c r="AE392" s="27" t="str">
        <f>IF(S394="Yes","LSK-Paint","")</f>
        <v/>
      </c>
      <c r="AF392" s="27" t="str">
        <f>IF(S395="Yes","LSK-Dust","")</f>
        <v/>
      </c>
      <c r="AI392" s="27" t="s">
        <v>46</v>
      </c>
      <c r="AJ392" s="27" t="s">
        <v>43</v>
      </c>
      <c r="AK392" s="27" t="s">
        <v>116</v>
      </c>
      <c r="AL392" s="27" t="s">
        <v>117</v>
      </c>
    </row>
    <row r="393" spans="1:38" x14ac:dyDescent="0.2">
      <c r="A393" s="27" t="s">
        <v>185</v>
      </c>
      <c r="B393" s="27" t="s">
        <v>221</v>
      </c>
      <c r="C393" s="27">
        <v>0</v>
      </c>
      <c r="D393" s="27" t="s">
        <v>4</v>
      </c>
      <c r="E393" s="27" t="s">
        <v>9</v>
      </c>
      <c r="F393" s="27" t="str">
        <f t="shared" ref="F393" si="162">IF(C393&gt;=$W$2,"Yes","No")</f>
        <v>No</v>
      </c>
      <c r="G393" s="27" t="s">
        <v>9</v>
      </c>
      <c r="H393" s="27" t="s">
        <v>46</v>
      </c>
      <c r="J393" s="27" t="s">
        <v>6</v>
      </c>
      <c r="K393" s="27">
        <v>54</v>
      </c>
      <c r="L393" s="27" t="s">
        <v>12</v>
      </c>
      <c r="M393" s="27" t="s">
        <v>114</v>
      </c>
      <c r="N393" s="27" t="str">
        <f>IF(K393="N/A","No", IF(K393&gt;1200,"Yes","No"))</f>
        <v>No</v>
      </c>
      <c r="O393" s="27" t="str">
        <f t="shared" ref="O393:O395" si="163">IF(K393="Not","No",IF(K393="n/a","N/A",IF(K393&gt;$Y$3,"Yes","No")))</f>
        <v>No</v>
      </c>
      <c r="Q393" s="27" t="s">
        <v>116</v>
      </c>
      <c r="R393" s="27" t="str">
        <f>_xlfn.XLOOKUP("ppm",D393:D396,F393:F396,"N/A")</f>
        <v>No</v>
      </c>
      <c r="S393" s="27" t="str">
        <f>IF(COUNTIF(O393:O395,"Yes"),"Yes","No")</f>
        <v>No</v>
      </c>
      <c r="U393" s="27" t="s">
        <v>92</v>
      </c>
      <c r="V393" s="27" t="s">
        <v>120</v>
      </c>
      <c r="W393" s="27" t="s">
        <v>120</v>
      </c>
      <c r="X393" s="27" t="str">
        <f>IF(V393="N/A","N/A",IF(W393="N/A", "N/A", IF(V393=W393, "Yes","No")))</f>
        <v>N/A</v>
      </c>
      <c r="AI393" s="27">
        <f>COUNTIF(H392:H396,"Exterior")</f>
        <v>1</v>
      </c>
      <c r="AJ393" s="27">
        <f>COUNTIF(H392:H396, "Interior")</f>
        <v>1</v>
      </c>
      <c r="AK393" s="27">
        <f>COUNTIFS(D392:D396,"ppm")+COUNTIFS(D392:D396,"mg/Kg")</f>
        <v>1</v>
      </c>
      <c r="AL393" s="27">
        <f>COUNTIF(D392:D396,"ug/ft2")</f>
        <v>1</v>
      </c>
    </row>
    <row r="394" spans="1:38" x14ac:dyDescent="0.2">
      <c r="A394" s="27" t="s">
        <v>200</v>
      </c>
      <c r="B394" s="27" t="s">
        <v>202</v>
      </c>
      <c r="C394" s="27">
        <v>34.200000000000003</v>
      </c>
      <c r="D394" s="27" t="s">
        <v>12</v>
      </c>
      <c r="E394" s="27" t="s">
        <v>9</v>
      </c>
      <c r="F394" s="27" t="str">
        <f>IF(C394&gt;$W$3,"Yes","No")</f>
        <v>No</v>
      </c>
      <c r="G394" s="27" t="s">
        <v>9</v>
      </c>
      <c r="J394" s="27" t="s">
        <v>11</v>
      </c>
      <c r="K394" s="27">
        <v>29.3</v>
      </c>
      <c r="L394" s="27" t="s">
        <v>12</v>
      </c>
      <c r="M394" s="27" t="s">
        <v>67</v>
      </c>
      <c r="N394" s="27" t="str">
        <f t="shared" ref="N394:N395" si="164">IF(K394="N/A","No", IF(K394&gt;1200,"Yes","No"))</f>
        <v>No</v>
      </c>
      <c r="O394" s="27" t="str">
        <f t="shared" si="163"/>
        <v>No</v>
      </c>
      <c r="Q394" s="27" t="s">
        <v>98</v>
      </c>
      <c r="R394" s="27" t="str">
        <f>_xlfn.XLOOKUP("mg/cm2",D393:D396,G393:G396,"N/A")</f>
        <v>No</v>
      </c>
      <c r="S394" s="27" t="str">
        <f>IF(COUNTIF(O396:O397,"Yes"),"Yes","No")</f>
        <v>No</v>
      </c>
      <c r="U394" s="27" t="s">
        <v>95</v>
      </c>
      <c r="V394" s="27" t="str">
        <f>R393</f>
        <v>No</v>
      </c>
      <c r="W394" s="27" t="str">
        <f>S393</f>
        <v>No</v>
      </c>
      <c r="X394" s="27" t="str">
        <f t="shared" ref="X394:X397" si="165">IF(V394="N/A","N/A",IF(W394="N/A", "N/A", IF(V394=W394, "Yes","No")))</f>
        <v>Yes</v>
      </c>
    </row>
    <row r="395" spans="1:38" x14ac:dyDescent="0.2">
      <c r="A395" s="27" t="s">
        <v>191</v>
      </c>
      <c r="B395" s="27" t="s">
        <v>189</v>
      </c>
      <c r="C395" s="27">
        <v>0</v>
      </c>
      <c r="D395" s="27" t="s">
        <v>4</v>
      </c>
      <c r="E395" s="27" t="s">
        <v>9</v>
      </c>
      <c r="F395" s="27" t="str">
        <f t="shared" ref="F395" si="166">IF(C395&gt;=$W$2,"Yes","No")</f>
        <v>No</v>
      </c>
      <c r="G395" s="27" t="s">
        <v>9</v>
      </c>
      <c r="H395" s="27" t="s">
        <v>43</v>
      </c>
      <c r="J395" s="27" t="s">
        <v>15</v>
      </c>
      <c r="K395" s="27">
        <v>21.7</v>
      </c>
      <c r="L395" s="27" t="s">
        <v>12</v>
      </c>
      <c r="M395" s="27" t="s">
        <v>112</v>
      </c>
      <c r="N395" s="27" t="str">
        <f t="shared" si="164"/>
        <v>No</v>
      </c>
      <c r="O395" s="27" t="str">
        <f t="shared" si="163"/>
        <v>No</v>
      </c>
      <c r="Q395" s="27" t="s">
        <v>117</v>
      </c>
      <c r="R395" s="27" t="str">
        <f>_xlfn.XLOOKUP("ug/ft2",D393:D404,F393:F404,"N/A")</f>
        <v>No</v>
      </c>
      <c r="S395" s="27" t="str">
        <f>IF(COUNTIF(O398:O401,"Yes"),"Yes","No")</f>
        <v>No</v>
      </c>
      <c r="U395" s="27" t="s">
        <v>163</v>
      </c>
      <c r="V395" s="27" t="s">
        <v>9</v>
      </c>
      <c r="W395" s="27" t="s">
        <v>120</v>
      </c>
      <c r="X395" s="27" t="str">
        <f t="shared" si="165"/>
        <v>N/A</v>
      </c>
    </row>
    <row r="396" spans="1:38" x14ac:dyDescent="0.2">
      <c r="A396" s="27" t="s">
        <v>191</v>
      </c>
      <c r="B396" s="27" t="s">
        <v>192</v>
      </c>
      <c r="C396" s="27">
        <v>31.8</v>
      </c>
      <c r="D396" s="27" t="s">
        <v>33</v>
      </c>
      <c r="E396" s="27" t="s">
        <v>9</v>
      </c>
      <c r="F396" s="27" t="str">
        <f>IF(C396&gt;=$W$5,"Yes","No")</f>
        <v>No</v>
      </c>
      <c r="G396" s="27" t="s">
        <v>9</v>
      </c>
      <c r="J396" s="27" t="s">
        <v>19</v>
      </c>
      <c r="K396" s="27" t="s">
        <v>120</v>
      </c>
      <c r="L396" s="27" t="s">
        <v>12</v>
      </c>
      <c r="M396" s="27" t="s">
        <v>46</v>
      </c>
      <c r="N396" s="27" t="str">
        <f>IF(K396="N/A","No", IF(K396&gt;5000,"Yes","No"))</f>
        <v>No</v>
      </c>
      <c r="O396" s="27" t="str">
        <f t="shared" ref="O396:O397" si="167">IF(K396="Not","No",IF(K396="n/a","N/A",IF(K396&gt;$Y$2,"Yes","No")))</f>
        <v>N/A</v>
      </c>
      <c r="Q396" s="27" t="s">
        <v>118</v>
      </c>
      <c r="R396" s="27" t="str">
        <f>IF(COUNTIF(R393:R395,"Yes"),"Yes","No")</f>
        <v>No</v>
      </c>
      <c r="S396" s="27" t="str">
        <f>IF(COUNTIF(S393:S395,"Yes"),"Yes","No")</f>
        <v>No</v>
      </c>
      <c r="U396" s="27" t="s">
        <v>164</v>
      </c>
      <c r="V396" s="27" t="s">
        <v>9</v>
      </c>
      <c r="W396" s="27" t="s">
        <v>120</v>
      </c>
      <c r="X396" s="27" t="str">
        <f t="shared" si="165"/>
        <v>N/A</v>
      </c>
    </row>
    <row r="397" spans="1:38" x14ac:dyDescent="0.2">
      <c r="J397" s="27" t="s">
        <v>22</v>
      </c>
      <c r="K397" s="27" t="s">
        <v>120</v>
      </c>
      <c r="L397" s="27" t="s">
        <v>12</v>
      </c>
      <c r="M397" s="27" t="s">
        <v>43</v>
      </c>
      <c r="N397" s="27" t="str">
        <f>IF(K397="N/A","No", IF(K397&gt;5000,"Yes","No"))</f>
        <v>No</v>
      </c>
      <c r="O397" s="27" t="str">
        <f t="shared" si="167"/>
        <v>N/A</v>
      </c>
      <c r="U397" s="27" t="s">
        <v>162</v>
      </c>
      <c r="V397" s="27" t="str">
        <f>R394</f>
        <v>No</v>
      </c>
      <c r="W397" s="27" t="s">
        <v>120</v>
      </c>
      <c r="X397" s="27" t="str">
        <f t="shared" si="165"/>
        <v>N/A</v>
      </c>
    </row>
    <row r="398" spans="1:38" x14ac:dyDescent="0.2">
      <c r="J398" s="27" t="s">
        <v>25</v>
      </c>
      <c r="K398" s="27">
        <v>2.5</v>
      </c>
      <c r="L398" s="27" t="s">
        <v>12</v>
      </c>
      <c r="M398" s="27" t="s">
        <v>126</v>
      </c>
      <c r="N398" s="27" t="str">
        <f>IF(K398="N/A","No", IF(K398&gt;20,"Yes","No"))</f>
        <v>No</v>
      </c>
      <c r="O398" s="27" t="str">
        <f t="shared" ref="O398:O399" si="168">IF(K398="Not","No",IF(K398="n/a","N/A",IF(K398&gt;$Y$6,"Yes","No")))</f>
        <v>No</v>
      </c>
      <c r="U398" s="27" t="s">
        <v>101</v>
      </c>
      <c r="V398" s="27" t="s">
        <v>120</v>
      </c>
      <c r="W398" s="61" t="s">
        <v>9</v>
      </c>
      <c r="X398" s="27" t="str">
        <f>IF(V398="N/A","N/A",IF(W398="N/A", "N/A", IF(V398=W398, "Yes","No")))</f>
        <v>N/A</v>
      </c>
    </row>
    <row r="399" spans="1:38" x14ac:dyDescent="0.2">
      <c r="J399" s="27" t="s">
        <v>29</v>
      </c>
      <c r="K399" s="27">
        <v>2.5</v>
      </c>
      <c r="L399" s="27" t="s">
        <v>12</v>
      </c>
      <c r="M399" s="27" t="s">
        <v>222</v>
      </c>
      <c r="N399" s="27" t="str">
        <f>IF(K399="N/A","No", IF(K399&gt;20,"Yes","No"))</f>
        <v>No</v>
      </c>
      <c r="O399" s="27" t="str">
        <f t="shared" si="168"/>
        <v>No</v>
      </c>
      <c r="U399" s="27" t="s">
        <v>104</v>
      </c>
      <c r="V399" s="27" t="s">
        <v>9</v>
      </c>
      <c r="W399" s="27" t="str">
        <f>O400</f>
        <v>No</v>
      </c>
      <c r="X399" s="27" t="str">
        <f>IF(V399="N/A","N/A",IF(W399="N/A", "N/A", IF(V399=W399, "Yes","No")))</f>
        <v>Yes</v>
      </c>
    </row>
    <row r="400" spans="1:38" x14ac:dyDescent="0.2">
      <c r="J400" s="27" t="s">
        <v>34</v>
      </c>
      <c r="K400" s="27">
        <v>2.5</v>
      </c>
      <c r="L400" s="27" t="s">
        <v>12</v>
      </c>
      <c r="M400" s="27" t="s">
        <v>210</v>
      </c>
      <c r="N400" s="27" t="str">
        <f>IF(K400="N/A","No", IF(K400&gt;230,"Yes","No"))</f>
        <v>No</v>
      </c>
      <c r="O400" s="27" t="str">
        <f>IF(K400="Not","No",IF(K400="n/a","N/A",IF(K400&gt;$Y$5,"Yes","No")))</f>
        <v>No</v>
      </c>
      <c r="U400" s="27" t="s">
        <v>106</v>
      </c>
      <c r="V400" s="27" t="str">
        <f>R395</f>
        <v>No</v>
      </c>
      <c r="W400" s="57" t="str">
        <f>S395</f>
        <v>No</v>
      </c>
      <c r="X400" s="27" t="str">
        <f>IF(V400="N/A","N/A",IF(W400="N/A", "N/A", IF(V400=W400, "Yes","No")))</f>
        <v>Yes</v>
      </c>
    </row>
    <row r="401" spans="1:38" x14ac:dyDescent="0.2">
      <c r="J401" s="27" t="s">
        <v>208</v>
      </c>
      <c r="K401" s="27">
        <v>22.5</v>
      </c>
      <c r="L401" s="27" t="s">
        <v>12</v>
      </c>
      <c r="M401" s="27" t="s">
        <v>223</v>
      </c>
      <c r="N401" s="27" t="str">
        <f>IF(K401="N/A","No", IF(K401&gt;20,"Yes","No"))</f>
        <v>Yes</v>
      </c>
      <c r="O401" s="27" t="str">
        <f>IF(K401="Not","No",IF(K401="n/a","N/A",IF(K401&gt;$Y$7,"Yes","No")))</f>
        <v>No</v>
      </c>
      <c r="U401" s="27" t="s">
        <v>121</v>
      </c>
      <c r="V401" s="27" t="str">
        <f>R396</f>
        <v>No</v>
      </c>
      <c r="W401" s="27" t="str">
        <f>S396</f>
        <v>No</v>
      </c>
      <c r="X401" s="27" t="str">
        <f>IF(V401="N/A","N/A",IF(W401="N/A", "N/A", IF(V401=W401, "Yes","No")))</f>
        <v>Yes</v>
      </c>
    </row>
    <row r="403" spans="1:38" x14ac:dyDescent="0.2">
      <c r="A403" s="27">
        <v>872</v>
      </c>
      <c r="B403" s="27" t="s">
        <v>111</v>
      </c>
      <c r="C403" s="27">
        <v>27</v>
      </c>
    </row>
    <row r="404" spans="1:38" x14ac:dyDescent="0.2">
      <c r="A404" s="59" t="s">
        <v>0</v>
      </c>
      <c r="E404" s="27" t="s">
        <v>274</v>
      </c>
      <c r="F404" s="27" t="s">
        <v>275</v>
      </c>
      <c r="G404" s="27" t="s">
        <v>119</v>
      </c>
      <c r="J404" s="59" t="s">
        <v>1</v>
      </c>
      <c r="N404" s="27" t="s">
        <v>277</v>
      </c>
      <c r="O404" s="27" t="s">
        <v>278</v>
      </c>
      <c r="Q404" s="59" t="s">
        <v>115</v>
      </c>
      <c r="R404" s="59" t="s">
        <v>0</v>
      </c>
      <c r="S404" s="59" t="s">
        <v>1</v>
      </c>
      <c r="U404" s="59" t="s">
        <v>115</v>
      </c>
      <c r="V404" s="59" t="s">
        <v>0</v>
      </c>
      <c r="W404" s="59" t="s">
        <v>1</v>
      </c>
      <c r="X404" s="59" t="s">
        <v>122</v>
      </c>
      <c r="AA404" s="27" t="str">
        <f>IF(R405="Yes","LRA-Soil","")</f>
        <v/>
      </c>
      <c r="AB404" s="27" t="str">
        <f>IF(R406="Yes","LRA-Paint","")</f>
        <v/>
      </c>
      <c r="AC404" s="27" t="str">
        <f>IF(R407="Yes","LRA-Dust","")</f>
        <v>LRA-Dust</v>
      </c>
      <c r="AD404" s="27" t="str">
        <f>IF(S405="Yes","LSK-Soil","")</f>
        <v>LSK-Soil</v>
      </c>
      <c r="AE404" s="27" t="str">
        <f>IF(S406="Yes","LSK-Paint","")</f>
        <v/>
      </c>
      <c r="AF404" s="27" t="str">
        <f>IF(S407="Yes","LSK-Dust","")</f>
        <v/>
      </c>
      <c r="AI404" s="27" t="s">
        <v>46</v>
      </c>
      <c r="AJ404" s="27" t="s">
        <v>43</v>
      </c>
      <c r="AK404" s="27" t="s">
        <v>116</v>
      </c>
      <c r="AL404" s="27" t="s">
        <v>117</v>
      </c>
    </row>
    <row r="405" spans="1:38" x14ac:dyDescent="0.2">
      <c r="A405" s="27" t="s">
        <v>185</v>
      </c>
      <c r="B405" s="27" t="s">
        <v>217</v>
      </c>
      <c r="C405" s="27">
        <v>0</v>
      </c>
      <c r="D405" s="27" t="s">
        <v>4</v>
      </c>
      <c r="E405" s="27" t="s">
        <v>9</v>
      </c>
      <c r="F405" s="27" t="str">
        <f t="shared" ref="F405" si="169">IF(C405&gt;=$W$2,"Yes","No")</f>
        <v>No</v>
      </c>
      <c r="G405" s="27" t="s">
        <v>9</v>
      </c>
      <c r="H405" s="27" t="s">
        <v>46</v>
      </c>
      <c r="J405" s="27" t="s">
        <v>6</v>
      </c>
      <c r="K405" s="27">
        <v>54.9</v>
      </c>
      <c r="L405" s="27" t="s">
        <v>12</v>
      </c>
      <c r="M405" s="27" t="s">
        <v>114</v>
      </c>
      <c r="N405" s="27" t="str">
        <f>IF(K405="N/A","No", IF(K405&gt;1200,"Yes","No"))</f>
        <v>No</v>
      </c>
      <c r="O405" s="27" t="str">
        <f t="shared" ref="O405:O407" si="170">IF(K405="Not","No",IF(K405="n/a","N/A",IF(K405&gt;$Y$3,"Yes","No")))</f>
        <v>No</v>
      </c>
      <c r="Q405" s="27" t="s">
        <v>116</v>
      </c>
      <c r="R405" s="27" t="str">
        <f>_xlfn.XLOOKUP("mg/Kg",D405:D408,F405:F408,"N/A")</f>
        <v>No</v>
      </c>
      <c r="S405" s="27" t="str">
        <f>IF(COUNTIF(O405:O407,"Yes"),"Yes","No")</f>
        <v>Yes</v>
      </c>
      <c r="U405" s="27" t="s">
        <v>92</v>
      </c>
      <c r="V405" s="27" t="s">
        <v>120</v>
      </c>
      <c r="W405" s="27" t="s">
        <v>120</v>
      </c>
      <c r="X405" s="27" t="str">
        <f>IF(V405="N/A","N/A",IF(W405="N/A", "N/A", IF(V405=W405, "Yes","No")))</f>
        <v>N/A</v>
      </c>
      <c r="AI405" s="27">
        <f>COUNTIF(H404:H408,"Exterior")</f>
        <v>1</v>
      </c>
      <c r="AJ405" s="27">
        <f>COUNTIF(H404:H408, "Interior")</f>
        <v>1</v>
      </c>
      <c r="AK405" s="27">
        <f>COUNTIFS(D404:D408,"ppm")+COUNTIFS(D404:D408,"mg/Kg")</f>
        <v>1</v>
      </c>
      <c r="AL405" s="27">
        <f>COUNTIF(D404:D408,"ug/ft2")</f>
        <v>1</v>
      </c>
    </row>
    <row r="406" spans="1:38" x14ac:dyDescent="0.2">
      <c r="A406" s="27" t="s">
        <v>200</v>
      </c>
      <c r="B406" s="27" t="s">
        <v>240</v>
      </c>
      <c r="C406" s="27">
        <v>143</v>
      </c>
      <c r="D406" s="27" t="s">
        <v>37</v>
      </c>
      <c r="E406" s="27" t="s">
        <v>9</v>
      </c>
      <c r="F406" s="27" t="str">
        <f>IF(C406&gt;$W$3,"Yes","No")</f>
        <v>No</v>
      </c>
      <c r="G406" s="27" t="s">
        <v>9</v>
      </c>
      <c r="J406" s="27" t="s">
        <v>11</v>
      </c>
      <c r="K406" s="27">
        <v>195</v>
      </c>
      <c r="L406" s="27" t="s">
        <v>12</v>
      </c>
      <c r="M406" s="27" t="s">
        <v>67</v>
      </c>
      <c r="N406" s="27" t="str">
        <f t="shared" ref="N406:N407" si="171">IF(K406="N/A","No", IF(K406&gt;1200,"Yes","No"))</f>
        <v>No</v>
      </c>
      <c r="O406" s="27" t="str">
        <f t="shared" si="170"/>
        <v>No</v>
      </c>
      <c r="Q406" s="27" t="s">
        <v>98</v>
      </c>
      <c r="R406" s="27" t="str">
        <f>_xlfn.XLOOKUP("mg/cm2",D405:D408,G405:G408,"N/A")</f>
        <v>No</v>
      </c>
      <c r="S406" s="27" t="str">
        <f>IF(COUNTIF(O408:O409,"Yes"),"Yes","No")</f>
        <v>No</v>
      </c>
      <c r="U406" s="27" t="s">
        <v>95</v>
      </c>
      <c r="V406" s="27" t="str">
        <f>R405</f>
        <v>No</v>
      </c>
      <c r="W406" s="27" t="str">
        <f>S405</f>
        <v>Yes</v>
      </c>
      <c r="X406" s="27" t="str">
        <f t="shared" ref="X406:X409" si="172">IF(V406="N/A","N/A",IF(W406="N/A", "N/A", IF(V406=W406, "Yes","No")))</f>
        <v>No</v>
      </c>
    </row>
    <row r="407" spans="1:38" x14ac:dyDescent="0.2">
      <c r="A407" s="27" t="s">
        <v>249</v>
      </c>
      <c r="B407" s="27" t="s">
        <v>189</v>
      </c>
      <c r="C407" s="27">
        <v>0</v>
      </c>
      <c r="D407" s="27" t="s">
        <v>4</v>
      </c>
      <c r="E407" s="27" t="s">
        <v>9</v>
      </c>
      <c r="F407" s="27" t="str">
        <f t="shared" ref="F407" si="173">IF(C407&gt;=$W$2,"Yes","No")</f>
        <v>No</v>
      </c>
      <c r="G407" s="27" t="s">
        <v>9</v>
      </c>
      <c r="H407" s="27" t="s">
        <v>43</v>
      </c>
      <c r="J407" s="27" t="s">
        <v>15</v>
      </c>
      <c r="K407" s="27">
        <v>499</v>
      </c>
      <c r="L407" s="27" t="s">
        <v>12</v>
      </c>
      <c r="M407" s="27" t="s">
        <v>112</v>
      </c>
      <c r="N407" s="27" t="str">
        <f t="shared" si="171"/>
        <v>No</v>
      </c>
      <c r="O407" s="27" t="str">
        <f t="shared" si="170"/>
        <v>Yes</v>
      </c>
      <c r="Q407" s="27" t="s">
        <v>117</v>
      </c>
      <c r="R407" s="27" t="str">
        <f>_xlfn.XLOOKUP("ug/ft2",D405:D416,F405:F416,"N/A")</f>
        <v>Yes</v>
      </c>
      <c r="S407" s="27" t="str">
        <f>IF(COUNTIF(O410:O413,"Yes"),"Yes","No")</f>
        <v>No</v>
      </c>
      <c r="U407" s="27" t="s">
        <v>163</v>
      </c>
      <c r="V407" s="27" t="s">
        <v>9</v>
      </c>
      <c r="W407" s="27" t="str">
        <f>O409</f>
        <v>No</v>
      </c>
      <c r="X407" s="27" t="str">
        <f t="shared" si="172"/>
        <v>Yes</v>
      </c>
    </row>
    <row r="408" spans="1:38" x14ac:dyDescent="0.2">
      <c r="A408" s="27" t="s">
        <v>201</v>
      </c>
      <c r="B408" s="27" t="s">
        <v>214</v>
      </c>
      <c r="C408" s="27">
        <v>33</v>
      </c>
      <c r="D408" s="27" t="s">
        <v>33</v>
      </c>
      <c r="E408" s="27" t="s">
        <v>5</v>
      </c>
      <c r="F408" s="27" t="str">
        <f>IF(C408&gt;$W$6,"Yes","No")</f>
        <v>Yes</v>
      </c>
      <c r="G408" s="27" t="s">
        <v>5</v>
      </c>
      <c r="J408" s="27" t="s">
        <v>19</v>
      </c>
      <c r="K408" s="27">
        <v>1819</v>
      </c>
      <c r="L408" s="27" t="s">
        <v>12</v>
      </c>
      <c r="M408" s="27" t="s">
        <v>46</v>
      </c>
      <c r="N408" s="27" t="str">
        <f>IF(K408="N/A","No", IF(K408&gt;5000,"Yes","No"))</f>
        <v>No</v>
      </c>
      <c r="O408" s="27" t="str">
        <f t="shared" ref="O408:O409" si="174">IF(K408="Not","No",IF(K408="n/a","N/A",IF(K408&gt;$Y$2,"Yes","No")))</f>
        <v>No</v>
      </c>
      <c r="Q408" s="27" t="s">
        <v>118</v>
      </c>
      <c r="R408" s="27" t="str">
        <f>IF(COUNTIF(R405:R407,"Yes"),"Yes","No")</f>
        <v>Yes</v>
      </c>
      <c r="S408" s="27" t="str">
        <f>IF(COUNTIF(S405:S407,"Yes"),"Yes","No")</f>
        <v>Yes</v>
      </c>
      <c r="U408" s="27" t="s">
        <v>164</v>
      </c>
      <c r="V408" s="27" t="s">
        <v>9</v>
      </c>
      <c r="W408" s="27" t="str">
        <f>O408</f>
        <v>No</v>
      </c>
      <c r="X408" s="27" t="str">
        <f t="shared" si="172"/>
        <v>Yes</v>
      </c>
    </row>
    <row r="409" spans="1:38" x14ac:dyDescent="0.2">
      <c r="J409" s="27" t="s">
        <v>22</v>
      </c>
      <c r="K409" s="27">
        <v>2.5</v>
      </c>
      <c r="L409" s="27" t="s">
        <v>12</v>
      </c>
      <c r="M409" s="27" t="s">
        <v>43</v>
      </c>
      <c r="N409" s="27" t="str">
        <f>IF(K409="N/A","No", IF(K409&gt;5000,"Yes","No"))</f>
        <v>No</v>
      </c>
      <c r="O409" s="27" t="str">
        <f t="shared" si="174"/>
        <v>No</v>
      </c>
      <c r="U409" s="27" t="s">
        <v>162</v>
      </c>
      <c r="V409" s="27" t="str">
        <f>R406</f>
        <v>No</v>
      </c>
      <c r="W409" s="27" t="str">
        <f>S406</f>
        <v>No</v>
      </c>
      <c r="X409" s="27" t="str">
        <f t="shared" si="172"/>
        <v>Yes</v>
      </c>
    </row>
    <row r="410" spans="1:38" x14ac:dyDescent="0.2">
      <c r="J410" s="27" t="s">
        <v>25</v>
      </c>
      <c r="K410" s="27">
        <v>2.5</v>
      </c>
      <c r="L410" s="27" t="s">
        <v>12</v>
      </c>
      <c r="M410" s="27" t="s">
        <v>126</v>
      </c>
      <c r="N410" s="27" t="str">
        <f>IF(K410="N/A","No", IF(K410&gt;20,"Yes","No"))</f>
        <v>No</v>
      </c>
      <c r="O410" s="27" t="str">
        <f t="shared" ref="O410:O411" si="175">IF(K410="Not","No",IF(K410="n/a","N/A",IF(K410&gt;$Y$6,"Yes","No")))</f>
        <v>No</v>
      </c>
      <c r="U410" s="27" t="s">
        <v>101</v>
      </c>
      <c r="V410" s="27" t="s">
        <v>5</v>
      </c>
      <c r="W410" s="61" t="s">
        <v>9</v>
      </c>
      <c r="X410" s="27" t="str">
        <f>IF(V410="N/A","N/A",IF(W410="N/A", "N/A", IF(V410=W410, "Yes","No")))</f>
        <v>No</v>
      </c>
    </row>
    <row r="411" spans="1:38" x14ac:dyDescent="0.2">
      <c r="J411" s="27" t="s">
        <v>29</v>
      </c>
      <c r="K411" s="27">
        <v>2.5</v>
      </c>
      <c r="L411" s="27" t="s">
        <v>12</v>
      </c>
      <c r="M411" s="27" t="s">
        <v>222</v>
      </c>
      <c r="N411" s="27" t="str">
        <f>IF(K411="N/A","No", IF(K411&gt;20,"Yes","No"))</f>
        <v>No</v>
      </c>
      <c r="O411" s="27" t="str">
        <f t="shared" si="175"/>
        <v>No</v>
      </c>
      <c r="U411" s="27" t="s">
        <v>104</v>
      </c>
      <c r="V411" s="27" t="s">
        <v>120</v>
      </c>
      <c r="W411" s="27" t="str">
        <f>O412</f>
        <v>No</v>
      </c>
      <c r="X411" s="27" t="str">
        <f>IF(V411="N/A","N/A",IF(W411="N/A", "N/A", IF(V411=W411, "Yes","No")))</f>
        <v>N/A</v>
      </c>
    </row>
    <row r="412" spans="1:38" x14ac:dyDescent="0.2">
      <c r="J412" s="27" t="s">
        <v>34</v>
      </c>
      <c r="K412" s="27">
        <v>2.5</v>
      </c>
      <c r="L412" s="27" t="s">
        <v>12</v>
      </c>
      <c r="M412" s="27" t="s">
        <v>210</v>
      </c>
      <c r="N412" s="27" t="str">
        <f>IF(K412="N/A","No", IF(K412&gt;230,"Yes","No"))</f>
        <v>No</v>
      </c>
      <c r="O412" s="27" t="str">
        <f>IF(K412="Not","No",IF(K412="n/a","N/A",IF(K412&gt;$Y$5,"Yes","No")))</f>
        <v>No</v>
      </c>
      <c r="U412" s="27" t="s">
        <v>106</v>
      </c>
      <c r="V412" s="27" t="str">
        <f>R407</f>
        <v>Yes</v>
      </c>
      <c r="W412" s="57" t="str">
        <f>S407</f>
        <v>No</v>
      </c>
      <c r="X412" s="27" t="str">
        <f>IF(V412="N/A","N/A",IF(W412="N/A", "N/A", IF(V412=W412, "Yes","No")))</f>
        <v>No</v>
      </c>
    </row>
    <row r="413" spans="1:38" x14ac:dyDescent="0.2">
      <c r="J413" s="27" t="s">
        <v>208</v>
      </c>
      <c r="K413" s="27">
        <v>32</v>
      </c>
      <c r="L413" s="27" t="s">
        <v>12</v>
      </c>
      <c r="M413" s="27" t="s">
        <v>223</v>
      </c>
      <c r="N413" s="27" t="str">
        <f>IF(K413="N/A","No", IF(K413&gt;20,"Yes","No"))</f>
        <v>Yes</v>
      </c>
      <c r="O413" s="27" t="str">
        <f>IF(K413="Not","No",IF(K413="n/a","N/A",IF(K413&gt;$Y$7,"Yes","No")))</f>
        <v>No</v>
      </c>
      <c r="U413" s="27" t="s">
        <v>121</v>
      </c>
      <c r="V413" s="27" t="str">
        <f>R408</f>
        <v>Yes</v>
      </c>
      <c r="W413" s="27" t="str">
        <f>S408</f>
        <v>Yes</v>
      </c>
      <c r="X413" s="27" t="str">
        <f>IF(V413="N/A","N/A",IF(W413="N/A", "N/A", IF(V413=W413, "Yes","No")))</f>
        <v>Yes</v>
      </c>
    </row>
    <row r="415" spans="1:38" x14ac:dyDescent="0.2">
      <c r="A415" s="27">
        <v>1040</v>
      </c>
      <c r="B415" s="27" t="s">
        <v>111</v>
      </c>
      <c r="C415" s="27">
        <v>28</v>
      </c>
    </row>
    <row r="416" spans="1:38" x14ac:dyDescent="0.2">
      <c r="A416" s="59" t="s">
        <v>0</v>
      </c>
      <c r="E416" s="27" t="s">
        <v>274</v>
      </c>
      <c r="F416" s="27" t="s">
        <v>275</v>
      </c>
      <c r="G416" s="27" t="s">
        <v>119</v>
      </c>
      <c r="J416" s="59" t="s">
        <v>1</v>
      </c>
      <c r="N416" s="27" t="s">
        <v>277</v>
      </c>
      <c r="O416" s="27" t="s">
        <v>278</v>
      </c>
      <c r="Q416" s="59" t="s">
        <v>115</v>
      </c>
      <c r="R416" s="59" t="s">
        <v>0</v>
      </c>
      <c r="S416" s="59" t="s">
        <v>1</v>
      </c>
      <c r="U416" s="59" t="s">
        <v>115</v>
      </c>
      <c r="V416" s="59" t="s">
        <v>0</v>
      </c>
      <c r="W416" s="59" t="s">
        <v>1</v>
      </c>
      <c r="X416" s="59" t="s">
        <v>122</v>
      </c>
      <c r="AA416" s="27" t="str">
        <f>IF(R417="Yes","LRA-Soil","")</f>
        <v>LRA-Soil</v>
      </c>
      <c r="AB416" s="27" t="str">
        <f>IF(R418="Yes","LRA-Paint","")</f>
        <v>LRA-Paint</v>
      </c>
      <c r="AC416" s="27" t="str">
        <f>IF(R419="Yes","LRA-Dust","")</f>
        <v>LRA-Dust</v>
      </c>
      <c r="AD416" s="27" t="str">
        <f>IF(S417="Yes","LSK-Soil","")</f>
        <v/>
      </c>
      <c r="AE416" s="27" t="str">
        <f>IF(S418="Yes","LSK-Paint","")</f>
        <v>LSK-Paint</v>
      </c>
      <c r="AF416" s="27" t="str">
        <f>IF(S419="Yes","LSK-Dust","")</f>
        <v>LSK-Dust</v>
      </c>
      <c r="AI416" s="27" t="s">
        <v>46</v>
      </c>
      <c r="AJ416" s="27" t="s">
        <v>43</v>
      </c>
      <c r="AK416" s="27" t="s">
        <v>116</v>
      </c>
      <c r="AL416" s="27" t="s">
        <v>117</v>
      </c>
    </row>
    <row r="417" spans="1:38" x14ac:dyDescent="0.2">
      <c r="A417" s="27" t="s">
        <v>185</v>
      </c>
      <c r="B417" s="27" t="s">
        <v>220</v>
      </c>
      <c r="C417" s="27">
        <v>13.9</v>
      </c>
      <c r="D417" s="27" t="s">
        <v>4</v>
      </c>
      <c r="E417" s="27" t="s">
        <v>5</v>
      </c>
      <c r="F417" s="27" t="str">
        <f t="shared" ref="F417" si="176">IF(C417&gt;=$W$2,"Yes","No")</f>
        <v>Yes</v>
      </c>
      <c r="G417" s="27" t="s">
        <v>5</v>
      </c>
      <c r="H417" s="27" t="s">
        <v>46</v>
      </c>
      <c r="J417" s="27" t="s">
        <v>6</v>
      </c>
      <c r="K417" s="27">
        <v>67.7</v>
      </c>
      <c r="L417" s="27" t="s">
        <v>12</v>
      </c>
      <c r="M417" s="27" t="s">
        <v>114</v>
      </c>
      <c r="N417" s="27" t="str">
        <f>IF(K417="N/A","No", IF(K417&gt;1200,"Yes","No"))</f>
        <v>No</v>
      </c>
      <c r="O417" s="27" t="str">
        <f t="shared" ref="O417:O419" si="177">IF(K417="Not","No",IF(K417="n/a","N/A",IF(K417&gt;$Y$3,"Yes","No")))</f>
        <v>No</v>
      </c>
      <c r="Q417" s="27" t="s">
        <v>116</v>
      </c>
      <c r="R417" s="27" t="str">
        <f>_xlfn.XLOOKUP("ppm",D417:D420,F417:F420,"N/A")</f>
        <v>Yes</v>
      </c>
      <c r="S417" s="27" t="str">
        <f>IF(COUNTIF(O417:O419,"Yes"),"Yes","No")</f>
        <v>No</v>
      </c>
      <c r="U417" s="27" t="s">
        <v>92</v>
      </c>
      <c r="V417" s="27" t="s">
        <v>120</v>
      </c>
      <c r="W417" s="27" t="s">
        <v>120</v>
      </c>
      <c r="X417" s="27" t="str">
        <f>IF(V417="N/A","N/A",IF(W417="N/A", "N/A", IF(V417=W417, "Yes","No")))</f>
        <v>N/A</v>
      </c>
      <c r="AI417" s="27">
        <f>COUNTIF(H416:H420,"Exterior")</f>
        <v>1</v>
      </c>
      <c r="AJ417" s="27">
        <f>COUNTIF(H416:H420, "Interior")</f>
        <v>1</v>
      </c>
      <c r="AK417" s="27">
        <f>COUNTIFS(D416:D420,"ppm")+COUNTIFS(D416:D420,"mg/Kg")</f>
        <v>1</v>
      </c>
      <c r="AL417" s="27">
        <f>COUNTIF(D416:D420,"ug/ft2")</f>
        <v>1</v>
      </c>
    </row>
    <row r="418" spans="1:38" x14ac:dyDescent="0.2">
      <c r="A418" s="27" t="s">
        <v>200</v>
      </c>
      <c r="B418" s="27" t="s">
        <v>202</v>
      </c>
      <c r="C418" s="27">
        <v>800</v>
      </c>
      <c r="D418" s="27" t="s">
        <v>12</v>
      </c>
      <c r="E418" s="27" t="s">
        <v>9</v>
      </c>
      <c r="F418" s="27" t="str">
        <f>IF(C418&gt;$W$3,"Yes","No")</f>
        <v>Yes</v>
      </c>
      <c r="G418" s="27" t="s">
        <v>5</v>
      </c>
      <c r="J418" s="27" t="s">
        <v>11</v>
      </c>
      <c r="K418" s="27">
        <v>269</v>
      </c>
      <c r="L418" s="27" t="s">
        <v>12</v>
      </c>
      <c r="M418" s="27" t="s">
        <v>67</v>
      </c>
      <c r="N418" s="27" t="str">
        <f t="shared" ref="N418:N419" si="178">IF(K418="N/A","No", IF(K418&gt;1200,"Yes","No"))</f>
        <v>No</v>
      </c>
      <c r="O418" s="27" t="str">
        <f t="shared" si="177"/>
        <v>No</v>
      </c>
      <c r="Q418" s="27" t="s">
        <v>98</v>
      </c>
      <c r="R418" s="27" t="str">
        <f>_xlfn.XLOOKUP("mg/cm2",D417:D420,G417:G420,"N/A")</f>
        <v>Yes</v>
      </c>
      <c r="S418" s="27" t="str">
        <f>IF(COUNTIF(O420:O421,"Yes"),"Yes","No")</f>
        <v>Yes</v>
      </c>
      <c r="U418" s="27" t="s">
        <v>95</v>
      </c>
      <c r="V418" s="27" t="str">
        <f>R417</f>
        <v>Yes</v>
      </c>
      <c r="W418" s="27" t="str">
        <f>S417</f>
        <v>No</v>
      </c>
      <c r="X418" s="27" t="str">
        <f t="shared" ref="X418:X421" si="179">IF(V418="N/A","N/A",IF(W418="N/A", "N/A", IF(V418=W418, "Yes","No")))</f>
        <v>No</v>
      </c>
    </row>
    <row r="419" spans="1:38" x14ac:dyDescent="0.2">
      <c r="A419" s="27" t="s">
        <v>249</v>
      </c>
      <c r="B419" s="27" t="s">
        <v>221</v>
      </c>
      <c r="C419" s="27">
        <v>5</v>
      </c>
      <c r="D419" s="27" t="s">
        <v>4</v>
      </c>
      <c r="E419" s="27" t="s">
        <v>5</v>
      </c>
      <c r="F419" s="27" t="str">
        <f t="shared" ref="F419" si="180">IF(C419&gt;=$W$2,"Yes","No")</f>
        <v>Yes</v>
      </c>
      <c r="G419" s="27" t="s">
        <v>5</v>
      </c>
      <c r="H419" s="27" t="s">
        <v>43</v>
      </c>
      <c r="J419" s="27" t="s">
        <v>15</v>
      </c>
      <c r="K419" s="27">
        <v>269</v>
      </c>
      <c r="L419" s="27" t="s">
        <v>12</v>
      </c>
      <c r="M419" s="27" t="s">
        <v>112</v>
      </c>
      <c r="N419" s="27" t="str">
        <f t="shared" si="178"/>
        <v>No</v>
      </c>
      <c r="O419" s="27" t="str">
        <f t="shared" si="177"/>
        <v>No</v>
      </c>
      <c r="Q419" s="27" t="s">
        <v>117</v>
      </c>
      <c r="R419" s="27" t="str">
        <f>_xlfn.XLOOKUP("ug/ft2",D417:D428,F417:F428,"N/A")</f>
        <v>Yes</v>
      </c>
      <c r="S419" s="27" t="str">
        <f>IF(COUNTIF(O422:O425,"Yes"),"Yes","No")</f>
        <v>Yes</v>
      </c>
      <c r="U419" s="27" t="s">
        <v>163</v>
      </c>
      <c r="V419" s="27" t="s">
        <v>5</v>
      </c>
      <c r="W419" s="27" t="str">
        <f>O421</f>
        <v>No</v>
      </c>
      <c r="X419" s="27" t="str">
        <f t="shared" si="179"/>
        <v>No</v>
      </c>
    </row>
    <row r="420" spans="1:38" x14ac:dyDescent="0.2">
      <c r="A420" s="27" t="s">
        <v>212</v>
      </c>
      <c r="B420" s="27" t="s">
        <v>214</v>
      </c>
      <c r="C420" s="27">
        <v>52000</v>
      </c>
      <c r="D420" s="27" t="s">
        <v>33</v>
      </c>
      <c r="E420" s="27" t="s">
        <v>5</v>
      </c>
      <c r="F420" s="27" t="str">
        <f>IF(C420&gt;$W$6,"Yes","No")</f>
        <v>Yes</v>
      </c>
      <c r="G420" s="27" t="s">
        <v>5</v>
      </c>
      <c r="J420" s="27" t="s">
        <v>19</v>
      </c>
      <c r="K420" s="27">
        <v>11855</v>
      </c>
      <c r="L420" s="27" t="s">
        <v>12</v>
      </c>
      <c r="M420" s="27" t="s">
        <v>46</v>
      </c>
      <c r="N420" s="27" t="str">
        <f>IF(K420="N/A","No", IF(K420&gt;5000,"Yes","No"))</f>
        <v>Yes</v>
      </c>
      <c r="O420" s="27" t="str">
        <f t="shared" ref="O420:O421" si="181">IF(K420="Not","No",IF(K420="n/a","N/A",IF(K420&gt;$Y$2,"Yes","No")))</f>
        <v>Yes</v>
      </c>
      <c r="Q420" s="27" t="s">
        <v>118</v>
      </c>
      <c r="R420" s="27" t="str">
        <f>IF(COUNTIF(R417:R419,"Yes"),"Yes","No")</f>
        <v>Yes</v>
      </c>
      <c r="S420" s="27" t="str">
        <f>IF(COUNTIF(S417:S419,"Yes"),"Yes","No")</f>
        <v>Yes</v>
      </c>
      <c r="U420" s="27" t="s">
        <v>164</v>
      </c>
      <c r="V420" s="27" t="s">
        <v>5</v>
      </c>
      <c r="W420" s="27" t="str">
        <f>O420</f>
        <v>Yes</v>
      </c>
      <c r="X420" s="27" t="str">
        <f t="shared" si="179"/>
        <v>Yes</v>
      </c>
    </row>
    <row r="421" spans="1:38" x14ac:dyDescent="0.2">
      <c r="J421" s="27" t="s">
        <v>22</v>
      </c>
      <c r="K421" s="27">
        <v>3021</v>
      </c>
      <c r="L421" s="27" t="s">
        <v>12</v>
      </c>
      <c r="M421" s="27" t="s">
        <v>43</v>
      </c>
      <c r="N421" s="27" t="str">
        <f>IF(K421="N/A","No", IF(K421&gt;5000,"Yes","No"))</f>
        <v>No</v>
      </c>
      <c r="O421" s="27" t="str">
        <f t="shared" si="181"/>
        <v>No</v>
      </c>
      <c r="U421" s="27" t="s">
        <v>162</v>
      </c>
      <c r="V421" s="27" t="str">
        <f>R418</f>
        <v>Yes</v>
      </c>
      <c r="W421" s="27" t="str">
        <f>S418</f>
        <v>Yes</v>
      </c>
      <c r="X421" s="27" t="str">
        <f t="shared" si="179"/>
        <v>Yes</v>
      </c>
    </row>
    <row r="422" spans="1:38" x14ac:dyDescent="0.2">
      <c r="J422" s="27" t="s">
        <v>25</v>
      </c>
      <c r="K422" s="27">
        <v>30</v>
      </c>
      <c r="L422" s="27" t="s">
        <v>12</v>
      </c>
      <c r="M422" s="27" t="s">
        <v>126</v>
      </c>
      <c r="N422" s="27" t="str">
        <f>IF(K422="N/A","No", IF(K422&gt;20,"Yes","No"))</f>
        <v>Yes</v>
      </c>
      <c r="O422" s="27" t="str">
        <f t="shared" ref="O422:O423" si="182">IF(K422="Not","No",IF(K422="n/a","N/A",IF(K422&gt;$Y$6,"Yes","No")))</f>
        <v>Yes</v>
      </c>
      <c r="U422" s="27" t="s">
        <v>101</v>
      </c>
      <c r="V422" s="27" t="s">
        <v>5</v>
      </c>
      <c r="W422" s="27" t="s">
        <v>5</v>
      </c>
      <c r="X422" s="27" t="str">
        <f>IF(V422="N/A","N/A",IF(W422="N/A", "N/A", IF(V422=W422, "Yes","No")))</f>
        <v>Yes</v>
      </c>
    </row>
    <row r="423" spans="1:38" x14ac:dyDescent="0.2">
      <c r="J423" s="27" t="s">
        <v>29</v>
      </c>
      <c r="K423" s="27">
        <v>13</v>
      </c>
      <c r="L423" s="27" t="s">
        <v>12</v>
      </c>
      <c r="M423" s="27" t="s">
        <v>222</v>
      </c>
      <c r="N423" s="27" t="str">
        <f>IF(K423="N/A","No", IF(K423&gt;20,"Yes","No"))</f>
        <v>No</v>
      </c>
      <c r="O423" s="27" t="str">
        <f t="shared" si="182"/>
        <v>No</v>
      </c>
      <c r="U423" s="27" t="s">
        <v>104</v>
      </c>
      <c r="V423" s="27" t="s">
        <v>120</v>
      </c>
      <c r="W423" s="27" t="str">
        <f>O424</f>
        <v>No</v>
      </c>
      <c r="X423" s="27" t="str">
        <f>IF(V423="N/A","N/A",IF(W423="N/A", "N/A", IF(V423=W423, "Yes","No")))</f>
        <v>N/A</v>
      </c>
    </row>
    <row r="424" spans="1:38" x14ac:dyDescent="0.2">
      <c r="J424" s="27" t="s">
        <v>34</v>
      </c>
      <c r="K424" s="27">
        <v>11</v>
      </c>
      <c r="L424" s="27" t="s">
        <v>12</v>
      </c>
      <c r="M424" s="27" t="s">
        <v>210</v>
      </c>
      <c r="N424" s="27" t="str">
        <f>IF(K424="N/A","No", IF(K424&gt;230,"Yes","No"))</f>
        <v>No</v>
      </c>
      <c r="O424" s="27" t="str">
        <f>IF(K424="Not","No",IF(K424="n/a","N/A",IF(K424&gt;$Y$5,"Yes","No")))</f>
        <v>No</v>
      </c>
      <c r="U424" s="27" t="s">
        <v>106</v>
      </c>
      <c r="V424" s="27" t="str">
        <f>R419</f>
        <v>Yes</v>
      </c>
      <c r="W424" s="27" t="str">
        <f>S419</f>
        <v>Yes</v>
      </c>
      <c r="X424" s="27" t="str">
        <f>IF(V424="N/A","N/A",IF(W424="N/A", "N/A", IF(V424=W424, "Yes","No")))</f>
        <v>Yes</v>
      </c>
    </row>
    <row r="425" spans="1:38" x14ac:dyDescent="0.2">
      <c r="J425" s="27" t="s">
        <v>208</v>
      </c>
      <c r="K425" s="27">
        <v>336</v>
      </c>
      <c r="L425" s="27" t="s">
        <v>12</v>
      </c>
      <c r="M425" s="27" t="s">
        <v>223</v>
      </c>
      <c r="N425" s="27" t="str">
        <f>IF(K425="N/A","No", IF(K425&gt;20,"Yes","No"))</f>
        <v>Yes</v>
      </c>
      <c r="O425" s="27" t="str">
        <f>IF(K425="Not","No",IF(K425="n/a","N/A",IF(K425&gt;$Y$7,"Yes","No")))</f>
        <v>No</v>
      </c>
      <c r="U425" s="27" t="s">
        <v>121</v>
      </c>
      <c r="V425" s="27" t="str">
        <f>R420</f>
        <v>Yes</v>
      </c>
      <c r="W425" s="27" t="str">
        <f>S420</f>
        <v>Yes</v>
      </c>
      <c r="X425" s="27" t="str">
        <f>IF(V425="N/A","N/A",IF(W425="N/A", "N/A", IF(V425=W425, "Yes","No")))</f>
        <v>Yes</v>
      </c>
    </row>
    <row r="427" spans="1:38" x14ac:dyDescent="0.2">
      <c r="A427" s="62">
        <v>1144</v>
      </c>
      <c r="B427" s="27" t="s">
        <v>111</v>
      </c>
      <c r="C427" s="27">
        <v>29</v>
      </c>
    </row>
    <row r="428" spans="1:38" x14ac:dyDescent="0.2">
      <c r="A428" s="59" t="s">
        <v>0</v>
      </c>
      <c r="E428" s="27" t="s">
        <v>274</v>
      </c>
      <c r="F428" s="27" t="s">
        <v>275</v>
      </c>
      <c r="G428" s="27" t="s">
        <v>119</v>
      </c>
      <c r="J428" s="59" t="s">
        <v>1</v>
      </c>
      <c r="N428" s="27" t="s">
        <v>277</v>
      </c>
      <c r="O428" s="27" t="s">
        <v>278</v>
      </c>
      <c r="Q428" s="59" t="s">
        <v>115</v>
      </c>
      <c r="R428" s="59" t="s">
        <v>0</v>
      </c>
      <c r="S428" s="59" t="s">
        <v>1</v>
      </c>
      <c r="U428" s="59" t="s">
        <v>115</v>
      </c>
      <c r="V428" s="59" t="s">
        <v>0</v>
      </c>
      <c r="W428" s="59" t="s">
        <v>1</v>
      </c>
      <c r="X428" s="59" t="s">
        <v>122</v>
      </c>
      <c r="AA428" s="27" t="str">
        <f>IF(R429="Yes","LRA-Soil","")</f>
        <v/>
      </c>
      <c r="AB428" s="27" t="str">
        <f>IF(R430="Yes","LRA-Paint","")</f>
        <v/>
      </c>
      <c r="AC428" s="27" t="str">
        <f>IF(R431="Yes","LRA-Dust","")</f>
        <v>LRA-Dust</v>
      </c>
      <c r="AD428" s="27" t="str">
        <f>IF(S429="Yes","LSK-Soil","")</f>
        <v/>
      </c>
      <c r="AE428" s="27" t="str">
        <f>IF(S430="Yes","LSK-Paint","")</f>
        <v/>
      </c>
      <c r="AF428" s="27" t="str">
        <f>IF(S431="Yes","LSK-Dust","")</f>
        <v/>
      </c>
      <c r="AI428" s="27" t="s">
        <v>46</v>
      </c>
      <c r="AJ428" s="27" t="s">
        <v>43</v>
      </c>
      <c r="AK428" s="27" t="s">
        <v>116</v>
      </c>
      <c r="AL428" s="27" t="s">
        <v>117</v>
      </c>
    </row>
    <row r="429" spans="1:38" x14ac:dyDescent="0.2">
      <c r="A429" s="27" t="s">
        <v>63</v>
      </c>
      <c r="B429" s="27" t="s">
        <v>18</v>
      </c>
      <c r="C429" s="27">
        <v>0.7</v>
      </c>
      <c r="D429" s="27" t="s">
        <v>4</v>
      </c>
      <c r="E429" s="27" t="s">
        <v>9</v>
      </c>
      <c r="F429" s="27" t="str">
        <f t="shared" ref="F429" si="183">IF(C429&gt;=$W$2,"Yes","No")</f>
        <v>No</v>
      </c>
      <c r="G429" s="27" t="s">
        <v>9</v>
      </c>
      <c r="H429" s="27" t="s">
        <v>46</v>
      </c>
      <c r="J429" s="27" t="s">
        <v>6</v>
      </c>
      <c r="K429" s="27">
        <v>70</v>
      </c>
      <c r="L429" s="27" t="s">
        <v>12</v>
      </c>
      <c r="M429" s="27" t="s">
        <v>114</v>
      </c>
      <c r="N429" s="27" t="str">
        <f>IF(K429="N/A","No", IF(K429&gt;1200,"Yes","No"))</f>
        <v>No</v>
      </c>
      <c r="O429" s="27" t="str">
        <f t="shared" ref="O429:O431" si="184">IF(K429="Not","No",IF(K429="n/a","N/A",IF(K429&gt;$Y$3,"Yes","No")))</f>
        <v>No</v>
      </c>
      <c r="Q429" s="27" t="s">
        <v>116</v>
      </c>
      <c r="R429" s="27" t="str">
        <f>_xlfn.XLOOKUP("ppm",D429:D432,F429:F432,"N/A")</f>
        <v>No</v>
      </c>
      <c r="S429" s="27" t="str">
        <f>IF(COUNTIF(O429:O431,"Yes"),"Yes","No")</f>
        <v>No</v>
      </c>
      <c r="U429" s="27" t="s">
        <v>92</v>
      </c>
      <c r="V429" s="27" t="s">
        <v>120</v>
      </c>
      <c r="W429" s="27" t="s">
        <v>120</v>
      </c>
      <c r="X429" s="27" t="str">
        <f>IF(V429="N/A","N/A",IF(W429="N/A", "N/A", IF(V429=W429, "Yes","No")))</f>
        <v>N/A</v>
      </c>
      <c r="AI429" s="27">
        <f>COUNTIF(H428:H432,"Exterior")</f>
        <v>1</v>
      </c>
      <c r="AJ429" s="27">
        <f>COUNTIF(H428:H432, "Interior")</f>
        <v>1</v>
      </c>
      <c r="AK429" s="27">
        <f>COUNTIFS(D428:D432,"ppm")+COUNTIFS(D428:D432,"mg/Kg")</f>
        <v>1</v>
      </c>
      <c r="AL429" s="27">
        <f>COUNTIF(D428:D432,"ug/ft2")</f>
        <v>1</v>
      </c>
    </row>
    <row r="430" spans="1:38" x14ac:dyDescent="0.2">
      <c r="A430" s="27" t="s">
        <v>68</v>
      </c>
      <c r="B430" s="27" t="s">
        <v>69</v>
      </c>
      <c r="C430" s="57">
        <v>0.18</v>
      </c>
      <c r="D430" s="27" t="s">
        <v>12</v>
      </c>
      <c r="E430" s="27" t="s">
        <v>9</v>
      </c>
      <c r="F430" s="27" t="str">
        <f>IF(C430&gt;$W$3,"Yes","No")</f>
        <v>No</v>
      </c>
      <c r="G430" s="27" t="s">
        <v>9</v>
      </c>
      <c r="J430" s="27" t="s">
        <v>11</v>
      </c>
      <c r="K430" s="27">
        <v>80.8</v>
      </c>
      <c r="L430" s="27" t="s">
        <v>12</v>
      </c>
      <c r="M430" s="27" t="s">
        <v>67</v>
      </c>
      <c r="N430" s="27" t="str">
        <f t="shared" ref="N430:N431" si="185">IF(K430="N/A","No", IF(K430&gt;1200,"Yes","No"))</f>
        <v>No</v>
      </c>
      <c r="O430" s="27" t="str">
        <f t="shared" si="184"/>
        <v>No</v>
      </c>
      <c r="Q430" s="27" t="s">
        <v>98</v>
      </c>
      <c r="R430" s="27" t="str">
        <f>_xlfn.XLOOKUP("mg/cm2",D429:D436,G429:G436,"N/A")</f>
        <v>No</v>
      </c>
      <c r="S430" s="27" t="str">
        <f>IF(COUNTIF(O432:O433,"Yes"),"Yes","No")</f>
        <v>No</v>
      </c>
      <c r="U430" s="27" t="s">
        <v>95</v>
      </c>
      <c r="V430" s="27" t="str">
        <f>R429</f>
        <v>No</v>
      </c>
      <c r="W430" s="27" t="str">
        <f>S429</f>
        <v>No</v>
      </c>
      <c r="X430" s="27" t="str">
        <f t="shared" ref="X430:X433" si="186">IF(V430="N/A","N/A",IF(W430="N/A", "N/A", IF(V430=W430, "Yes","No")))</f>
        <v>Yes</v>
      </c>
    </row>
    <row r="431" spans="1:38" x14ac:dyDescent="0.2">
      <c r="A431" s="27" t="s">
        <v>70</v>
      </c>
      <c r="B431" s="27" t="s">
        <v>40</v>
      </c>
      <c r="C431" s="27">
        <v>0.7</v>
      </c>
      <c r="D431" s="27" t="s">
        <v>4</v>
      </c>
      <c r="E431" s="27" t="s">
        <v>9</v>
      </c>
      <c r="F431" s="27" t="str">
        <f t="shared" ref="F431" si="187">IF(C431&gt;=$W$2,"Yes","No")</f>
        <v>No</v>
      </c>
      <c r="G431" s="27" t="s">
        <v>9</v>
      </c>
      <c r="H431" s="27" t="s">
        <v>43</v>
      </c>
      <c r="J431" s="27" t="s">
        <v>15</v>
      </c>
      <c r="K431" s="27">
        <v>186</v>
      </c>
      <c r="L431" s="27" t="s">
        <v>12</v>
      </c>
      <c r="M431" s="27" t="s">
        <v>112</v>
      </c>
      <c r="N431" s="27" t="str">
        <f t="shared" si="185"/>
        <v>No</v>
      </c>
      <c r="O431" s="27" t="str">
        <f t="shared" si="184"/>
        <v>No</v>
      </c>
      <c r="Q431" s="27" t="s">
        <v>117</v>
      </c>
      <c r="R431" s="63" t="s">
        <v>5</v>
      </c>
      <c r="S431" s="27" t="str">
        <f>IF(COUNTIF(O434:O437,"Yes"),"Yes","No")</f>
        <v>No</v>
      </c>
      <c r="U431" s="27" t="s">
        <v>163</v>
      </c>
      <c r="V431" s="27" t="s">
        <v>9</v>
      </c>
      <c r="W431" s="27" t="str">
        <f>O433</f>
        <v>No</v>
      </c>
      <c r="X431" s="27" t="str">
        <f t="shared" si="186"/>
        <v>Yes</v>
      </c>
    </row>
    <row r="432" spans="1:38" x14ac:dyDescent="0.2">
      <c r="A432" s="27" t="s">
        <v>156</v>
      </c>
      <c r="B432" s="27" t="s">
        <v>32</v>
      </c>
      <c r="C432" s="27">
        <v>2.5</v>
      </c>
      <c r="D432" s="27" t="s">
        <v>33</v>
      </c>
      <c r="E432" s="27" t="s">
        <v>9</v>
      </c>
      <c r="F432" s="27" t="str">
        <f t="shared" ref="F432:F433" si="188">IF(C432&gt;$W$6,"Yes","No")</f>
        <v>No</v>
      </c>
      <c r="G432" s="27" t="s">
        <v>9</v>
      </c>
      <c r="J432" s="27" t="s">
        <v>19</v>
      </c>
      <c r="K432" s="27">
        <v>27</v>
      </c>
      <c r="L432" s="27" t="s">
        <v>12</v>
      </c>
      <c r="M432" s="27" t="s">
        <v>46</v>
      </c>
      <c r="N432" s="27" t="str">
        <f>IF(K432="N/A","No", IF(K432&gt;5000,"Yes","No"))</f>
        <v>No</v>
      </c>
      <c r="O432" s="27" t="str">
        <f t="shared" ref="O432:O433" si="189">IF(K432="Not","No",IF(K432="n/a","N/A",IF(K432&gt;$Y$2,"Yes","No")))</f>
        <v>No</v>
      </c>
      <c r="Q432" s="27" t="s">
        <v>118</v>
      </c>
      <c r="R432" s="27" t="str">
        <f>IF(COUNTIF(R429:R431,"Yes"),"Yes","No")</f>
        <v>Yes</v>
      </c>
      <c r="S432" s="27" t="str">
        <f>IF(COUNTIF(S429:S431,"Yes"),"Yes","No")</f>
        <v>No</v>
      </c>
      <c r="U432" s="27" t="s">
        <v>164</v>
      </c>
      <c r="V432" s="27" t="s">
        <v>9</v>
      </c>
      <c r="W432" s="27" t="str">
        <f>O432</f>
        <v>No</v>
      </c>
      <c r="X432" s="27" t="str">
        <f t="shared" si="186"/>
        <v>Yes</v>
      </c>
    </row>
    <row r="433" spans="1:38" x14ac:dyDescent="0.2">
      <c r="A433" s="27" t="s">
        <v>159</v>
      </c>
      <c r="B433" s="27" t="s">
        <v>32</v>
      </c>
      <c r="C433" s="27">
        <v>2.2999999999999998</v>
      </c>
      <c r="D433" s="27" t="s">
        <v>33</v>
      </c>
      <c r="E433" s="27" t="s">
        <v>9</v>
      </c>
      <c r="F433" s="27" t="str">
        <f t="shared" si="188"/>
        <v>No</v>
      </c>
      <c r="G433" s="27" t="s">
        <v>9</v>
      </c>
      <c r="J433" s="27" t="s">
        <v>22</v>
      </c>
      <c r="K433" s="27">
        <v>2.5</v>
      </c>
      <c r="L433" s="27" t="s">
        <v>12</v>
      </c>
      <c r="M433" s="27" t="s">
        <v>43</v>
      </c>
      <c r="N433" s="27" t="str">
        <f>IF(K433="N/A","No", IF(K433&gt;5000,"Yes","No"))</f>
        <v>No</v>
      </c>
      <c r="O433" s="27" t="str">
        <f t="shared" si="189"/>
        <v>No</v>
      </c>
      <c r="U433" s="27" t="s">
        <v>162</v>
      </c>
      <c r="V433" s="27" t="str">
        <f>R430</f>
        <v>No</v>
      </c>
      <c r="W433" s="27" t="str">
        <f>S430</f>
        <v>No</v>
      </c>
      <c r="X433" s="27" t="str">
        <f t="shared" si="186"/>
        <v>Yes</v>
      </c>
    </row>
    <row r="434" spans="1:38" x14ac:dyDescent="0.2">
      <c r="A434" s="27" t="s">
        <v>159</v>
      </c>
      <c r="B434" s="27" t="s">
        <v>54</v>
      </c>
      <c r="C434" s="27">
        <v>1.8</v>
      </c>
      <c r="D434" s="27" t="s">
        <v>33</v>
      </c>
      <c r="E434" s="27" t="s">
        <v>9</v>
      </c>
      <c r="F434" s="27" t="str">
        <f>IF(C434&gt;=$W$5,"Yes","No")</f>
        <v>No</v>
      </c>
      <c r="G434" s="27" t="s">
        <v>9</v>
      </c>
      <c r="J434" s="27" t="s">
        <v>25</v>
      </c>
      <c r="K434" s="27">
        <v>2.5</v>
      </c>
      <c r="L434" s="27" t="s">
        <v>12</v>
      </c>
      <c r="M434" s="27" t="s">
        <v>126</v>
      </c>
      <c r="N434" s="27" t="str">
        <f>IF(K434="N/A","No", IF(K434&gt;20,"Yes","No"))</f>
        <v>No</v>
      </c>
      <c r="O434" s="27" t="str">
        <f t="shared" ref="O434:O435" si="190">IF(K434="Not","No",IF(K434="n/a","N/A",IF(K434&gt;$Y$6,"Yes","No")))</f>
        <v>No</v>
      </c>
      <c r="U434" s="27" t="s">
        <v>101</v>
      </c>
      <c r="V434" s="27" t="s">
        <v>5</v>
      </c>
      <c r="W434" s="27" t="s">
        <v>9</v>
      </c>
      <c r="X434" s="27" t="str">
        <f>IF(V434="N/A","N/A",IF(W434="N/A", "N/A", IF(V434=W434, "Yes","No")))</f>
        <v>No</v>
      </c>
    </row>
    <row r="435" spans="1:38" x14ac:dyDescent="0.2">
      <c r="A435" s="27" t="s">
        <v>71</v>
      </c>
      <c r="B435" s="27" t="s">
        <v>32</v>
      </c>
      <c r="C435" s="27">
        <v>5.5</v>
      </c>
      <c r="D435" s="27" t="s">
        <v>33</v>
      </c>
      <c r="E435" s="27" t="s">
        <v>9</v>
      </c>
      <c r="F435" s="27" t="str">
        <f t="shared" ref="F435:F436" si="191">IF(C435&gt;$W$6,"Yes","No")</f>
        <v>No</v>
      </c>
      <c r="G435" s="27" t="s">
        <v>9</v>
      </c>
      <c r="J435" s="27" t="s">
        <v>29</v>
      </c>
      <c r="K435" s="27">
        <v>2.5</v>
      </c>
      <c r="L435" s="27" t="s">
        <v>12</v>
      </c>
      <c r="M435" s="27" t="s">
        <v>222</v>
      </c>
      <c r="N435" s="27" t="str">
        <f>IF(K435="N/A","No", IF(K435&gt;20,"Yes","No"))</f>
        <v>No</v>
      </c>
      <c r="O435" s="27" t="str">
        <f t="shared" si="190"/>
        <v>No</v>
      </c>
      <c r="U435" s="27" t="s">
        <v>104</v>
      </c>
      <c r="V435" s="27" t="s">
        <v>9</v>
      </c>
      <c r="W435" s="27" t="str">
        <f>O436</f>
        <v>No</v>
      </c>
      <c r="X435" s="27" t="str">
        <f>IF(V435="N/A","N/A",IF(W435="N/A", "N/A", IF(V435=W435, "Yes","No")))</f>
        <v>Yes</v>
      </c>
    </row>
    <row r="436" spans="1:38" x14ac:dyDescent="0.2">
      <c r="A436" s="27" t="s">
        <v>71</v>
      </c>
      <c r="B436" s="27" t="s">
        <v>32</v>
      </c>
      <c r="C436" s="27">
        <v>30.7</v>
      </c>
      <c r="D436" s="27" t="s">
        <v>33</v>
      </c>
      <c r="E436" s="27" t="s">
        <v>5</v>
      </c>
      <c r="F436" s="27" t="str">
        <f t="shared" si="191"/>
        <v>Yes</v>
      </c>
      <c r="G436" s="27" t="s">
        <v>5</v>
      </c>
      <c r="J436" s="27" t="s">
        <v>34</v>
      </c>
      <c r="K436" s="27">
        <v>5</v>
      </c>
      <c r="L436" s="27" t="s">
        <v>12</v>
      </c>
      <c r="M436" s="27" t="s">
        <v>210</v>
      </c>
      <c r="N436" s="27" t="str">
        <f>IF(K436="N/A","No", IF(K436&gt;230,"Yes","No"))</f>
        <v>No</v>
      </c>
      <c r="O436" s="27" t="str">
        <f>IF(K436="Not","No",IF(K436="n/a","N/A",IF(K436&gt;$Y$5,"Yes","No")))</f>
        <v>No</v>
      </c>
      <c r="U436" s="27" t="s">
        <v>106</v>
      </c>
      <c r="V436" s="27" t="str">
        <f>R431</f>
        <v>Yes</v>
      </c>
      <c r="W436" s="27" t="str">
        <f>S431</f>
        <v>No</v>
      </c>
      <c r="X436" s="27" t="str">
        <f>IF(V436="N/A","N/A",IF(W436="N/A", "N/A", IF(V436=W436, "Yes","No")))</f>
        <v>No</v>
      </c>
    </row>
    <row r="437" spans="1:38" x14ac:dyDescent="0.2">
      <c r="J437" s="27" t="s">
        <v>208</v>
      </c>
      <c r="K437" s="27" t="s">
        <v>120</v>
      </c>
      <c r="L437" s="27" t="s">
        <v>12</v>
      </c>
      <c r="M437" s="27" t="s">
        <v>223</v>
      </c>
      <c r="N437" s="27" t="str">
        <f>IF(K437="N/A","No", IF(K437&gt;20,"Yes","No"))</f>
        <v>No</v>
      </c>
      <c r="O437" s="27" t="str">
        <f>IF(K437="Not","No",IF(K437="n/a","N/A",IF(K437&gt;$Y$7,"Yes","No")))</f>
        <v>N/A</v>
      </c>
      <c r="U437" s="27" t="s">
        <v>121</v>
      </c>
      <c r="V437" s="27" t="str">
        <f>R432</f>
        <v>Yes</v>
      </c>
      <c r="W437" s="27" t="str">
        <f>S432</f>
        <v>No</v>
      </c>
      <c r="X437" s="27" t="str">
        <f>IF(V437="N/A","N/A",IF(W437="N/A", "N/A", IF(V437=W437, "Yes","No")))</f>
        <v>No</v>
      </c>
    </row>
    <row r="439" spans="1:38" x14ac:dyDescent="0.2">
      <c r="A439" s="57">
        <v>1151</v>
      </c>
      <c r="B439" s="27" t="s">
        <v>111</v>
      </c>
      <c r="C439" s="27">
        <v>30</v>
      </c>
    </row>
    <row r="440" spans="1:38" x14ac:dyDescent="0.2">
      <c r="A440" s="59" t="s">
        <v>0</v>
      </c>
      <c r="E440" s="27" t="s">
        <v>274</v>
      </c>
      <c r="F440" s="27" t="s">
        <v>275</v>
      </c>
      <c r="G440" s="27" t="s">
        <v>119</v>
      </c>
      <c r="J440" s="59" t="s">
        <v>1</v>
      </c>
      <c r="N440" s="27" t="s">
        <v>277</v>
      </c>
      <c r="O440" s="27" t="s">
        <v>278</v>
      </c>
      <c r="Q440" s="59" t="s">
        <v>115</v>
      </c>
      <c r="R440" s="59" t="s">
        <v>0</v>
      </c>
      <c r="S440" s="59" t="s">
        <v>1</v>
      </c>
      <c r="U440" s="59" t="s">
        <v>115</v>
      </c>
      <c r="V440" s="59" t="s">
        <v>0</v>
      </c>
      <c r="W440" s="59" t="s">
        <v>1</v>
      </c>
      <c r="X440" s="59" t="s">
        <v>122</v>
      </c>
      <c r="AA440" s="27" t="str">
        <f>IF(R441="Yes","LRA-Soil","")</f>
        <v/>
      </c>
      <c r="AB440" s="27" t="str">
        <f>IF(R442="Yes","LRA-Paint","")</f>
        <v/>
      </c>
      <c r="AC440" s="27" t="str">
        <f>IF(R443="Yes","LRA-Dust","")</f>
        <v>LRA-Dust</v>
      </c>
      <c r="AD440" s="27" t="str">
        <f>IF(S441="Yes","LSK-Soil","")</f>
        <v/>
      </c>
      <c r="AE440" s="27" t="str">
        <f>IF(S442="Yes","LSK-Paint","")</f>
        <v/>
      </c>
      <c r="AF440" s="27" t="str">
        <f>IF(S443="Yes","LSK-Dust","")</f>
        <v/>
      </c>
      <c r="AI440" s="27" t="s">
        <v>46</v>
      </c>
      <c r="AJ440" s="27" t="s">
        <v>43</v>
      </c>
      <c r="AK440" s="27" t="s">
        <v>116</v>
      </c>
      <c r="AL440" s="27" t="s">
        <v>117</v>
      </c>
    </row>
    <row r="441" spans="1:38" x14ac:dyDescent="0.2">
      <c r="A441" s="27" t="s">
        <v>250</v>
      </c>
      <c r="B441" s="27" t="s">
        <v>251</v>
      </c>
      <c r="C441" s="27">
        <v>0</v>
      </c>
      <c r="D441" s="27" t="s">
        <v>4</v>
      </c>
      <c r="E441" s="27" t="s">
        <v>9</v>
      </c>
      <c r="F441" s="27" t="str">
        <f t="shared" ref="F441:F442" si="192">IF(C441&gt;=$W$2,"Yes","No")</f>
        <v>No</v>
      </c>
      <c r="G441" s="27" t="s">
        <v>9</v>
      </c>
      <c r="H441" s="27" t="s">
        <v>46</v>
      </c>
      <c r="J441" s="27" t="s">
        <v>6</v>
      </c>
      <c r="K441" s="27">
        <v>18.7</v>
      </c>
      <c r="L441" s="27" t="s">
        <v>12</v>
      </c>
      <c r="M441" s="27" t="s">
        <v>114</v>
      </c>
      <c r="N441" s="27" t="str">
        <f>IF(K441="N/A","No", IF(K441&gt;1200,"Yes","No"))</f>
        <v>No</v>
      </c>
      <c r="O441" s="27" t="str">
        <f t="shared" ref="O441:O443" si="193">IF(K441="Not","No",IF(K441="n/a","N/A",IF(K441&gt;$Y$3,"Yes","No")))</f>
        <v>No</v>
      </c>
      <c r="Q441" s="27" t="s">
        <v>116</v>
      </c>
      <c r="R441" s="27" t="str">
        <f>_xlfn.XLOOKUP("ppm",D441:D444,F441:F444,"N/A")</f>
        <v>N/A</v>
      </c>
      <c r="S441" s="27" t="str">
        <f>IF(COUNTIF(O441:O443,"Yes"),"Yes","No")</f>
        <v>No</v>
      </c>
      <c r="U441" s="27" t="s">
        <v>92</v>
      </c>
      <c r="V441" s="27" t="s">
        <v>120</v>
      </c>
      <c r="W441" s="27" t="s">
        <v>120</v>
      </c>
      <c r="X441" s="27" t="str">
        <f>IF(V441="N/A","N/A",IF(W441="N/A", "N/A", IF(V441=W441, "Yes","No")))</f>
        <v>N/A</v>
      </c>
      <c r="AI441" s="27">
        <f>COUNTIF(H440:H444,"Exterior")</f>
        <v>1</v>
      </c>
      <c r="AJ441" s="27">
        <f>COUNTIF(H440:H444, "Interior")</f>
        <v>1</v>
      </c>
      <c r="AK441" s="27">
        <f>COUNTIFS(D440:D444,"ppm")+COUNTIFS(D440:D444,"mg/Kg")</f>
        <v>0</v>
      </c>
      <c r="AL441" s="27">
        <f>COUNTIF(D440:D444,"ug/ft2")</f>
        <v>1</v>
      </c>
    </row>
    <row r="442" spans="1:38" x14ac:dyDescent="0.2">
      <c r="A442" s="27" t="s">
        <v>201</v>
      </c>
      <c r="B442" s="27" t="s">
        <v>236</v>
      </c>
      <c r="C442" s="27">
        <v>0</v>
      </c>
      <c r="D442" s="27" t="s">
        <v>4</v>
      </c>
      <c r="E442" s="27" t="s">
        <v>9</v>
      </c>
      <c r="F442" s="27" t="str">
        <f t="shared" si="192"/>
        <v>No</v>
      </c>
      <c r="G442" s="27" t="s">
        <v>9</v>
      </c>
      <c r="H442" s="27" t="s">
        <v>43</v>
      </c>
      <c r="J442" s="27" t="s">
        <v>11</v>
      </c>
      <c r="K442" s="27">
        <v>9.3000000000000007</v>
      </c>
      <c r="L442" s="27" t="s">
        <v>12</v>
      </c>
      <c r="M442" s="27" t="s">
        <v>67</v>
      </c>
      <c r="N442" s="27" t="str">
        <f t="shared" ref="N442:N443" si="194">IF(K442="N/A","No", IF(K442&gt;1200,"Yes","No"))</f>
        <v>No</v>
      </c>
      <c r="O442" s="27" t="str">
        <f t="shared" si="193"/>
        <v>No</v>
      </c>
      <c r="Q442" s="27" t="s">
        <v>98</v>
      </c>
      <c r="R442" s="27" t="str">
        <f>_xlfn.XLOOKUP("mg/cm2",D441:D444,G441:G444,"N/A")</f>
        <v>No</v>
      </c>
      <c r="S442" s="27" t="str">
        <f>IF(COUNTIF(O444:O445,"Yes"),"Yes","No")</f>
        <v>No</v>
      </c>
      <c r="U442" s="27" t="s">
        <v>95</v>
      </c>
      <c r="V442" s="27" t="str">
        <f>R441</f>
        <v>N/A</v>
      </c>
      <c r="W442" s="27" t="str">
        <f>S441</f>
        <v>No</v>
      </c>
      <c r="X442" s="27" t="str">
        <f t="shared" ref="X442:X445" si="195">IF(V442="N/A","N/A",IF(W442="N/A", "N/A", IF(V442=W442, "Yes","No")))</f>
        <v>N/A</v>
      </c>
    </row>
    <row r="443" spans="1:38" x14ac:dyDescent="0.2">
      <c r="A443" s="27" t="s">
        <v>201</v>
      </c>
      <c r="B443" s="27" t="s">
        <v>214</v>
      </c>
      <c r="C443" s="27">
        <v>14</v>
      </c>
      <c r="D443" s="27" t="s">
        <v>33</v>
      </c>
      <c r="E443" s="27" t="s">
        <v>5</v>
      </c>
      <c r="F443" s="27" t="str">
        <f>IF(C443&gt;$W$6,"Yes","No")</f>
        <v>Yes</v>
      </c>
      <c r="G443" s="27" t="s">
        <v>9</v>
      </c>
      <c r="J443" s="27" t="s">
        <v>15</v>
      </c>
      <c r="K443" s="27">
        <v>13.5</v>
      </c>
      <c r="L443" s="27" t="s">
        <v>12</v>
      </c>
      <c r="M443" s="27" t="s">
        <v>112</v>
      </c>
      <c r="N443" s="27" t="str">
        <f t="shared" si="194"/>
        <v>No</v>
      </c>
      <c r="O443" s="27" t="str">
        <f t="shared" si="193"/>
        <v>No</v>
      </c>
      <c r="Q443" s="27" t="s">
        <v>117</v>
      </c>
      <c r="R443" s="27" t="str">
        <f>_xlfn.XLOOKUP("ug/ft2",D441:D452,F441:F452,"N/A")</f>
        <v>Yes</v>
      </c>
      <c r="S443" s="27" t="str">
        <f>IF(COUNTIF(O446:O449,"Yes"),"Yes","No")</f>
        <v>No</v>
      </c>
      <c r="U443" s="27" t="s">
        <v>163</v>
      </c>
      <c r="V443" s="27" t="s">
        <v>9</v>
      </c>
      <c r="W443" s="27" t="str">
        <f>O445</f>
        <v>No</v>
      </c>
      <c r="X443" s="27" t="str">
        <f t="shared" si="195"/>
        <v>Yes</v>
      </c>
    </row>
    <row r="444" spans="1:38" x14ac:dyDescent="0.2">
      <c r="J444" s="27" t="s">
        <v>19</v>
      </c>
      <c r="K444" s="27">
        <v>2.5</v>
      </c>
      <c r="L444" s="27" t="s">
        <v>12</v>
      </c>
      <c r="M444" s="27" t="s">
        <v>46</v>
      </c>
      <c r="N444" s="27" t="str">
        <f>IF(K444="N/A","No", IF(K444&gt;5000,"Yes","No"))</f>
        <v>No</v>
      </c>
      <c r="O444" s="27" t="str">
        <f>IF(K444="Not","No",IF(K444="n/a","N/A",IF(K444&gt;$Y$2,"Yes","No")))</f>
        <v>No</v>
      </c>
      <c r="Q444" s="27" t="s">
        <v>118</v>
      </c>
      <c r="R444" s="27" t="str">
        <f>IF(COUNTIF(R441:R443,"Yes"),"Yes","No")</f>
        <v>Yes</v>
      </c>
      <c r="S444" s="27" t="str">
        <f>IF(COUNTIF(S441:S443,"Yes"),"Yes","No")</f>
        <v>No</v>
      </c>
      <c r="U444" s="27" t="s">
        <v>164</v>
      </c>
      <c r="V444" s="27" t="s">
        <v>9</v>
      </c>
      <c r="W444" s="27" t="str">
        <f>O444</f>
        <v>No</v>
      </c>
      <c r="X444" s="27" t="str">
        <f t="shared" si="195"/>
        <v>Yes</v>
      </c>
    </row>
    <row r="445" spans="1:38" x14ac:dyDescent="0.2">
      <c r="J445" s="27" t="s">
        <v>22</v>
      </c>
      <c r="K445" s="27">
        <v>2.5</v>
      </c>
      <c r="L445" s="27" t="s">
        <v>12</v>
      </c>
      <c r="M445" s="27" t="s">
        <v>43</v>
      </c>
      <c r="N445" s="27" t="str">
        <f>IF(K445="N/A","No", IF(K445&gt;5000,"Yes","No"))</f>
        <v>No</v>
      </c>
      <c r="O445" s="27" t="str">
        <f>IF(K445="Not","No",IF(K445="n/a","N/A",IF(K445&gt;$Y$2,"Yes","No")))</f>
        <v>No</v>
      </c>
      <c r="U445" s="27" t="s">
        <v>162</v>
      </c>
      <c r="V445" s="27" t="str">
        <f>R442</f>
        <v>No</v>
      </c>
      <c r="W445" s="27" t="str">
        <f>S442</f>
        <v>No</v>
      </c>
      <c r="X445" s="27" t="str">
        <f t="shared" si="195"/>
        <v>Yes</v>
      </c>
    </row>
    <row r="446" spans="1:38" x14ac:dyDescent="0.2">
      <c r="J446" s="27" t="s">
        <v>25</v>
      </c>
      <c r="K446" s="27">
        <v>2.5</v>
      </c>
      <c r="L446" s="27" t="s">
        <v>12</v>
      </c>
      <c r="M446" s="27" t="s">
        <v>126</v>
      </c>
      <c r="N446" s="27" t="str">
        <f>IF(K446="N/A","No", IF(K446&gt;20,"Yes","No"))</f>
        <v>No</v>
      </c>
      <c r="O446" s="27" t="str">
        <f t="shared" ref="O446:O447" si="196">IF(K446="Not","No",IF(K446="n/a","N/A",IF(K446&gt;$Y$6,"Yes","No")))</f>
        <v>No</v>
      </c>
      <c r="U446" s="27" t="s">
        <v>101</v>
      </c>
      <c r="V446" s="27" t="s">
        <v>9</v>
      </c>
      <c r="W446" s="27" t="s">
        <v>9</v>
      </c>
      <c r="X446" s="27" t="str">
        <f>IF(V446="N/A","N/A",IF(W446="N/A", "N/A", IF(V446=W446, "Yes","No")))</f>
        <v>Yes</v>
      </c>
    </row>
    <row r="447" spans="1:38" x14ac:dyDescent="0.2">
      <c r="J447" s="27" t="s">
        <v>29</v>
      </c>
      <c r="K447" s="27">
        <v>2.5</v>
      </c>
      <c r="L447" s="27" t="s">
        <v>12</v>
      </c>
      <c r="M447" s="27" t="s">
        <v>222</v>
      </c>
      <c r="N447" s="27" t="str">
        <f>IF(K447="N/A","No", IF(K447&gt;20,"Yes","No"))</f>
        <v>No</v>
      </c>
      <c r="O447" s="27" t="str">
        <f t="shared" si="196"/>
        <v>No</v>
      </c>
      <c r="U447" s="27" t="s">
        <v>104</v>
      </c>
      <c r="V447" s="61" t="s">
        <v>120</v>
      </c>
      <c r="W447" s="27" t="str">
        <f>O448</f>
        <v>No</v>
      </c>
      <c r="X447" s="27" t="str">
        <f>IF(V447="N/A","N/A",IF(W447="N/A", "N/A", IF(V447=W447, "Yes","No")))</f>
        <v>N/A</v>
      </c>
    </row>
    <row r="448" spans="1:38" x14ac:dyDescent="0.2">
      <c r="J448" s="27" t="s">
        <v>34</v>
      </c>
      <c r="K448" s="27">
        <v>2.5</v>
      </c>
      <c r="L448" s="27" t="s">
        <v>12</v>
      </c>
      <c r="M448" s="27" t="s">
        <v>210</v>
      </c>
      <c r="N448" s="27" t="str">
        <f>IF(K448="N/A","No", IF(K448&gt;230,"Yes","No"))</f>
        <v>No</v>
      </c>
      <c r="O448" s="27" t="str">
        <f>IF(K448="Not","No",IF(K448="n/a","N/A",IF(K448&gt;$Y$5,"Yes","No")))</f>
        <v>No</v>
      </c>
      <c r="U448" s="27" t="s">
        <v>106</v>
      </c>
      <c r="V448" s="27" t="str">
        <f>R443</f>
        <v>Yes</v>
      </c>
      <c r="W448" s="57" t="str">
        <f>S443</f>
        <v>No</v>
      </c>
      <c r="X448" s="27" t="str">
        <f>IF(V448="N/A","N/A",IF(W448="N/A", "N/A", IF(V448=W448, "Yes","No")))</f>
        <v>No</v>
      </c>
    </row>
    <row r="449" spans="1:38" x14ac:dyDescent="0.2">
      <c r="J449" s="69" t="s">
        <v>208</v>
      </c>
      <c r="K449" s="27">
        <v>26.5</v>
      </c>
      <c r="L449" s="27" t="s">
        <v>12</v>
      </c>
      <c r="M449" s="27" t="s">
        <v>223</v>
      </c>
      <c r="N449" s="27" t="str">
        <f>IF(K449="N/A","No", IF(K449&gt;20,"Yes","No"))</f>
        <v>Yes</v>
      </c>
      <c r="O449" s="27" t="str">
        <f>IF(K449="Not","No",IF(K449="n/a","N/A",IF(K449&gt;$Y$7,"Yes","No")))</f>
        <v>No</v>
      </c>
      <c r="U449" s="27" t="s">
        <v>121</v>
      </c>
      <c r="V449" s="27" t="str">
        <f>R444</f>
        <v>Yes</v>
      </c>
      <c r="W449" s="27" t="str">
        <f>S444</f>
        <v>No</v>
      </c>
      <c r="X449" s="27" t="str">
        <f>IF(V449="N/A","N/A",IF(W449="N/A", "N/A", IF(V449=W449, "Yes","No")))</f>
        <v>No</v>
      </c>
    </row>
    <row r="451" spans="1:38" x14ac:dyDescent="0.2">
      <c r="A451" s="27">
        <v>1152</v>
      </c>
      <c r="B451" s="27" t="s">
        <v>111</v>
      </c>
      <c r="C451" s="27">
        <v>31</v>
      </c>
    </row>
    <row r="452" spans="1:38" x14ac:dyDescent="0.2">
      <c r="A452" s="59" t="s">
        <v>0</v>
      </c>
      <c r="E452" s="27" t="s">
        <v>274</v>
      </c>
      <c r="F452" s="27" t="s">
        <v>275</v>
      </c>
      <c r="G452" s="27" t="s">
        <v>119</v>
      </c>
      <c r="J452" s="59" t="s">
        <v>1</v>
      </c>
      <c r="N452" s="27" t="s">
        <v>277</v>
      </c>
      <c r="O452" s="27" t="s">
        <v>278</v>
      </c>
      <c r="Q452" s="59" t="s">
        <v>115</v>
      </c>
      <c r="R452" s="59" t="s">
        <v>0</v>
      </c>
      <c r="S452" s="59" t="s">
        <v>1</v>
      </c>
      <c r="U452" s="59" t="s">
        <v>115</v>
      </c>
      <c r="V452" s="59" t="s">
        <v>0</v>
      </c>
      <c r="W452" s="59" t="s">
        <v>1</v>
      </c>
      <c r="X452" s="59" t="s">
        <v>122</v>
      </c>
      <c r="AA452" s="27" t="str">
        <f>IF(R453="Yes","LRA-Soil","")</f>
        <v>LRA-Soil</v>
      </c>
      <c r="AB452" s="27" t="str">
        <f>IF(R454="Yes","LRA-Paint","")</f>
        <v>LRA-Paint</v>
      </c>
      <c r="AC452" s="27" t="str">
        <f>IF(R455="Yes","LRA-Dust","")</f>
        <v/>
      </c>
      <c r="AD452" s="27" t="str">
        <f>IF(S453="Yes","LSK-Soil","")</f>
        <v>LSK-Soil</v>
      </c>
      <c r="AE452" s="27" t="str">
        <f>IF(S454="Yes","LSK-Paint","")</f>
        <v>LSK-Paint</v>
      </c>
      <c r="AF452" s="27" t="str">
        <f>IF(S455="Yes","LSK-Dust","")</f>
        <v/>
      </c>
      <c r="AI452" s="27" t="s">
        <v>46</v>
      </c>
      <c r="AJ452" s="27" t="s">
        <v>43</v>
      </c>
      <c r="AK452" s="27" t="s">
        <v>116</v>
      </c>
      <c r="AL452" s="27" t="s">
        <v>117</v>
      </c>
    </row>
    <row r="453" spans="1:38" x14ac:dyDescent="0.2">
      <c r="A453" s="27" t="s">
        <v>185</v>
      </c>
      <c r="B453" s="27" t="s">
        <v>217</v>
      </c>
      <c r="C453" s="27">
        <v>31.1</v>
      </c>
      <c r="D453" s="27" t="s">
        <v>4</v>
      </c>
      <c r="E453" s="27" t="s">
        <v>5</v>
      </c>
      <c r="F453" s="27" t="str">
        <f t="shared" ref="F453" si="197">IF(C453&gt;=$W$2,"Yes","No")</f>
        <v>Yes</v>
      </c>
      <c r="G453" s="27" t="s">
        <v>5</v>
      </c>
      <c r="H453" s="27" t="s">
        <v>46</v>
      </c>
      <c r="J453" s="27" t="s">
        <v>6</v>
      </c>
      <c r="K453" s="27">
        <v>58.9</v>
      </c>
      <c r="L453" s="27" t="s">
        <v>12</v>
      </c>
      <c r="M453" s="27" t="s">
        <v>114</v>
      </c>
      <c r="N453" s="27" t="str">
        <f>IF(K453="N/A","No", IF(K453&gt;1200,"Yes","No"))</f>
        <v>No</v>
      </c>
      <c r="O453" s="27" t="str">
        <f t="shared" ref="O453:O455" si="198">IF(K453="Not","No",IF(K453="n/a","N/A",IF(K453&gt;$Y$3,"Yes","No")))</f>
        <v>No</v>
      </c>
      <c r="Q453" s="27" t="s">
        <v>116</v>
      </c>
      <c r="R453" s="27" t="str">
        <f>_xlfn.XLOOKUP("mg/Kg",D453:D456,F453:F456,"N/A")</f>
        <v>Yes</v>
      </c>
      <c r="S453" s="27" t="str">
        <f>IF(COUNTIF(O453:O455,"Yes"),"Yes","No")</f>
        <v>Yes</v>
      </c>
      <c r="U453" s="27" t="s">
        <v>92</v>
      </c>
      <c r="V453" s="27" t="s">
        <v>120</v>
      </c>
      <c r="W453" s="27" t="s">
        <v>120</v>
      </c>
      <c r="X453" s="27" t="str">
        <f>IF(V453="N/A","N/A",IF(W453="N/A", "N/A", IF(V453=W453, "Yes","No")))</f>
        <v>N/A</v>
      </c>
      <c r="AI453" s="27">
        <f>COUNTIF(H452:H466,"Exterior")</f>
        <v>1</v>
      </c>
      <c r="AJ453" s="27">
        <f>COUNTIF(H452:H466, "Interior")</f>
        <v>11</v>
      </c>
      <c r="AK453" s="27">
        <f>COUNTIFS(D452:D466,"ppm")+COUNTIFS(D452:D466,"mg/Kg")</f>
        <v>1</v>
      </c>
      <c r="AL453" s="27">
        <f>COUNTIF(D452:D466,"ug/ft2")</f>
        <v>1</v>
      </c>
    </row>
    <row r="454" spans="1:38" x14ac:dyDescent="0.2">
      <c r="A454" s="27" t="s">
        <v>200</v>
      </c>
      <c r="B454" s="27" t="s">
        <v>286</v>
      </c>
      <c r="C454" s="27">
        <v>1640</v>
      </c>
      <c r="D454" s="27" t="s">
        <v>37</v>
      </c>
      <c r="E454" s="27" t="s">
        <v>5</v>
      </c>
      <c r="F454" s="27" t="str">
        <f>IF(C454&gt;$W$3,"Yes","No")</f>
        <v>Yes</v>
      </c>
      <c r="G454" s="27" t="s">
        <v>5</v>
      </c>
      <c r="J454" s="27" t="s">
        <v>11</v>
      </c>
      <c r="K454" s="27">
        <v>30.7</v>
      </c>
      <c r="L454" s="27" t="s">
        <v>12</v>
      </c>
      <c r="M454" s="27" t="s">
        <v>67</v>
      </c>
      <c r="N454" s="27" t="str">
        <f t="shared" ref="N454:N455" si="199">IF(K454="N/A","No", IF(K454&gt;1200,"Yes","No"))</f>
        <v>No</v>
      </c>
      <c r="O454" s="27" t="str">
        <f t="shared" si="198"/>
        <v>No</v>
      </c>
      <c r="Q454" s="27" t="s">
        <v>98</v>
      </c>
      <c r="R454" s="27" t="str">
        <f>_xlfn.XLOOKUP("mg/cm2",D453:D466,G453:G466,"N/A")</f>
        <v>Yes</v>
      </c>
      <c r="S454" s="27" t="str">
        <f>IF(COUNTIF(O456:O457,"Yes"),"Yes","No")</f>
        <v>Yes</v>
      </c>
      <c r="U454" s="27" t="s">
        <v>95</v>
      </c>
      <c r="V454" s="27" t="str">
        <f>R453</f>
        <v>Yes</v>
      </c>
      <c r="W454" s="27" t="str">
        <f>S453</f>
        <v>Yes</v>
      </c>
      <c r="X454" s="27" t="str">
        <f t="shared" ref="X454:X457" si="200">IF(V454="N/A","N/A",IF(W454="N/A", "N/A", IF(V454=W454, "Yes","No")))</f>
        <v>Yes</v>
      </c>
    </row>
    <row r="455" spans="1:38" x14ac:dyDescent="0.2">
      <c r="A455" s="27" t="s">
        <v>287</v>
      </c>
      <c r="B455" s="27" t="s">
        <v>221</v>
      </c>
      <c r="C455" s="27">
        <v>9.4</v>
      </c>
      <c r="D455" s="27" t="s">
        <v>4</v>
      </c>
      <c r="E455" s="27" t="s">
        <v>5</v>
      </c>
      <c r="F455" s="27" t="str">
        <f t="shared" ref="F455:F465" si="201">IF(C455&gt;=$W$2,"Yes","No")</f>
        <v>Yes</v>
      </c>
      <c r="G455" s="27" t="s">
        <v>5</v>
      </c>
      <c r="H455" s="27" t="s">
        <v>43</v>
      </c>
      <c r="J455" s="27" t="s">
        <v>15</v>
      </c>
      <c r="K455" s="27">
        <v>459</v>
      </c>
      <c r="L455" s="27" t="s">
        <v>12</v>
      </c>
      <c r="M455" s="27" t="s">
        <v>112</v>
      </c>
      <c r="N455" s="27" t="str">
        <f t="shared" si="199"/>
        <v>No</v>
      </c>
      <c r="O455" s="27" t="str">
        <f t="shared" si="198"/>
        <v>Yes</v>
      </c>
      <c r="Q455" s="27" t="s">
        <v>117</v>
      </c>
      <c r="R455" s="63" t="s">
        <v>9</v>
      </c>
      <c r="S455" s="27" t="str">
        <f>IF(COUNTIF(O458:O461,"Yes"),"Yes","No")</f>
        <v>No</v>
      </c>
      <c r="U455" s="27" t="s">
        <v>163</v>
      </c>
      <c r="V455" s="27" t="s">
        <v>5</v>
      </c>
      <c r="W455" s="27" t="str">
        <f>O457</f>
        <v>No</v>
      </c>
      <c r="X455" s="27" t="str">
        <f t="shared" si="200"/>
        <v>No</v>
      </c>
    </row>
    <row r="456" spans="1:38" x14ac:dyDescent="0.2">
      <c r="A456" s="27" t="s">
        <v>287</v>
      </c>
      <c r="B456" s="27" t="s">
        <v>236</v>
      </c>
      <c r="C456" s="27">
        <v>32.9</v>
      </c>
      <c r="D456" s="27" t="s">
        <v>4</v>
      </c>
      <c r="E456" s="27" t="s">
        <v>5</v>
      </c>
      <c r="F456" s="27" t="str">
        <f t="shared" si="201"/>
        <v>Yes</v>
      </c>
      <c r="G456" s="27" t="s">
        <v>5</v>
      </c>
      <c r="H456" s="27" t="s">
        <v>43</v>
      </c>
      <c r="J456" s="27" t="s">
        <v>19</v>
      </c>
      <c r="K456" s="27">
        <v>18072</v>
      </c>
      <c r="L456" s="27" t="s">
        <v>12</v>
      </c>
      <c r="M456" s="27" t="s">
        <v>46</v>
      </c>
      <c r="N456" s="27" t="str">
        <f>IF(K456="N/A","No", IF(K456&gt;5000,"Yes","No"))</f>
        <v>Yes</v>
      </c>
      <c r="O456" s="27" t="str">
        <f>IF(K456="Not","No",IF(K456="n/a","N/A",IF(K456&gt;$Y$2,"Yes","No")))</f>
        <v>Yes</v>
      </c>
      <c r="Q456" s="27" t="s">
        <v>118</v>
      </c>
      <c r="R456" s="27" t="str">
        <f>IF(COUNTIF(R453:R455,"Yes"),"Yes","No")</f>
        <v>Yes</v>
      </c>
      <c r="S456" s="27" t="str">
        <f>IF(COUNTIF(S453:S455,"Yes"),"Yes","No")</f>
        <v>Yes</v>
      </c>
      <c r="U456" s="27" t="s">
        <v>164</v>
      </c>
      <c r="V456" s="27" t="s">
        <v>5</v>
      </c>
      <c r="W456" s="27" t="str">
        <f>O456</f>
        <v>Yes</v>
      </c>
      <c r="X456" s="27" t="str">
        <f t="shared" si="200"/>
        <v>Yes</v>
      </c>
    </row>
    <row r="457" spans="1:38" x14ac:dyDescent="0.2">
      <c r="A457" s="27" t="s">
        <v>213</v>
      </c>
      <c r="B457" s="27" t="s">
        <v>238</v>
      </c>
      <c r="C457" s="27">
        <v>10.8</v>
      </c>
      <c r="D457" s="27" t="s">
        <v>4</v>
      </c>
      <c r="E457" s="27" t="s">
        <v>5</v>
      </c>
      <c r="F457" s="27" t="str">
        <f t="shared" si="201"/>
        <v>Yes</v>
      </c>
      <c r="G457" s="27" t="s">
        <v>5</v>
      </c>
      <c r="H457" s="27" t="s">
        <v>43</v>
      </c>
      <c r="J457" s="27" t="s">
        <v>22</v>
      </c>
      <c r="K457" s="27">
        <v>573</v>
      </c>
      <c r="L457" s="27" t="s">
        <v>12</v>
      </c>
      <c r="M457" s="27" t="s">
        <v>43</v>
      </c>
      <c r="N457" s="27" t="str">
        <f>IF(K457="N/A","No", IF(K457&gt;5000,"Yes","No"))</f>
        <v>No</v>
      </c>
      <c r="O457" s="27" t="str">
        <f>IF(K457="Not","No",IF(K457="n/a","N/A",IF(K457&gt;$Y$2,"Yes","No")))</f>
        <v>No</v>
      </c>
      <c r="U457" s="27" t="s">
        <v>162</v>
      </c>
      <c r="V457" s="27" t="str">
        <f>R454</f>
        <v>Yes</v>
      </c>
      <c r="W457" s="27" t="str">
        <f>S454</f>
        <v>Yes</v>
      </c>
      <c r="X457" s="27" t="str">
        <f t="shared" si="200"/>
        <v>Yes</v>
      </c>
    </row>
    <row r="458" spans="1:38" x14ac:dyDescent="0.2">
      <c r="A458" s="27" t="s">
        <v>213</v>
      </c>
      <c r="B458" s="27" t="s">
        <v>236</v>
      </c>
      <c r="C458" s="27">
        <v>10.5</v>
      </c>
      <c r="D458" s="27" t="s">
        <v>4</v>
      </c>
      <c r="E458" s="27" t="s">
        <v>5</v>
      </c>
      <c r="F458" s="27" t="str">
        <f t="shared" si="201"/>
        <v>Yes</v>
      </c>
      <c r="G458" s="27" t="s">
        <v>9</v>
      </c>
      <c r="H458" s="27" t="s">
        <v>43</v>
      </c>
      <c r="J458" s="27" t="s">
        <v>25</v>
      </c>
      <c r="K458" s="27">
        <v>4</v>
      </c>
      <c r="L458" s="27" t="s">
        <v>12</v>
      </c>
      <c r="M458" s="27" t="s">
        <v>126</v>
      </c>
      <c r="N458" s="27" t="str">
        <f>IF(K458="N/A","No", IF(K458&gt;20,"Yes","No"))</f>
        <v>No</v>
      </c>
      <c r="O458" s="27" t="str">
        <f t="shared" ref="O458:O459" si="202">IF(K458="Not","No",IF(K458="n/a","N/A",IF(K458&gt;$Y$6,"Yes","No")))</f>
        <v>No</v>
      </c>
      <c r="U458" s="27" t="s">
        <v>101</v>
      </c>
      <c r="V458" s="27" t="s">
        <v>9</v>
      </c>
      <c r="W458" s="27" t="s">
        <v>9</v>
      </c>
      <c r="X458" s="27" t="str">
        <f>IF(V458="N/A","N/A",IF(W458="N/A", "N/A", IF(V458=W458, "Yes","No")))</f>
        <v>Yes</v>
      </c>
    </row>
    <row r="459" spans="1:38" x14ac:dyDescent="0.2">
      <c r="A459" s="27" t="s">
        <v>213</v>
      </c>
      <c r="B459" s="27" t="s">
        <v>211</v>
      </c>
      <c r="C459" s="27">
        <v>5.8</v>
      </c>
      <c r="D459" s="27" t="s">
        <v>4</v>
      </c>
      <c r="E459" s="27" t="s">
        <v>5</v>
      </c>
      <c r="F459" s="27" t="str">
        <f t="shared" si="201"/>
        <v>Yes</v>
      </c>
      <c r="G459" s="27" t="s">
        <v>5</v>
      </c>
      <c r="H459" s="27" t="s">
        <v>43</v>
      </c>
      <c r="J459" s="27" t="s">
        <v>29</v>
      </c>
      <c r="K459" s="27">
        <v>10</v>
      </c>
      <c r="L459" s="27" t="s">
        <v>12</v>
      </c>
      <c r="M459" s="27" t="s">
        <v>222</v>
      </c>
      <c r="N459" s="27" t="str">
        <f>IF(K459="N/A","No", IF(K459&gt;20,"Yes","No"))</f>
        <v>No</v>
      </c>
      <c r="O459" s="27" t="str">
        <f t="shared" si="202"/>
        <v>No</v>
      </c>
      <c r="U459" s="27" t="s">
        <v>104</v>
      </c>
      <c r="V459" s="27" t="s">
        <v>120</v>
      </c>
      <c r="W459" s="27" t="str">
        <f>O460</f>
        <v>No</v>
      </c>
      <c r="X459" s="27" t="str">
        <f>IF(V459="N/A","N/A",IF(W459="N/A", "N/A", IF(V459=W459, "Yes","No")))</f>
        <v>N/A</v>
      </c>
    </row>
    <row r="460" spans="1:38" x14ac:dyDescent="0.2">
      <c r="A460" s="27" t="s">
        <v>212</v>
      </c>
      <c r="B460" s="27" t="s">
        <v>238</v>
      </c>
      <c r="C460" s="27">
        <v>8.4</v>
      </c>
      <c r="D460" s="27" t="s">
        <v>4</v>
      </c>
      <c r="E460" s="27" t="s">
        <v>5</v>
      </c>
      <c r="F460" s="27" t="str">
        <f t="shared" si="201"/>
        <v>Yes</v>
      </c>
      <c r="G460" s="27" t="s">
        <v>5</v>
      </c>
      <c r="H460" s="27" t="s">
        <v>43</v>
      </c>
      <c r="J460" s="27" t="s">
        <v>34</v>
      </c>
      <c r="K460" s="27">
        <v>2.5</v>
      </c>
      <c r="L460" s="27" t="s">
        <v>12</v>
      </c>
      <c r="M460" s="27" t="s">
        <v>210</v>
      </c>
      <c r="N460" s="27" t="str">
        <f>IF(K460="N/A","No", IF(K460&gt;230,"Yes","No"))</f>
        <v>No</v>
      </c>
      <c r="O460" s="27" t="str">
        <f>IF(K460="Not","No",IF(K460="n/a","N/A",IF(K460&gt;$Y$5,"Yes","No")))</f>
        <v>No</v>
      </c>
      <c r="U460" s="27" t="s">
        <v>106</v>
      </c>
      <c r="V460" s="27" t="str">
        <f>R455</f>
        <v>No</v>
      </c>
      <c r="W460" s="27" t="str">
        <f>S455</f>
        <v>No</v>
      </c>
      <c r="X460" s="27" t="str">
        <f>IF(V460="N/A","N/A",IF(W460="N/A", "N/A", IF(V460=W460, "Yes","No")))</f>
        <v>Yes</v>
      </c>
    </row>
    <row r="461" spans="1:38" x14ac:dyDescent="0.2">
      <c r="A461" s="27" t="s">
        <v>212</v>
      </c>
      <c r="B461" s="27" t="s">
        <v>221</v>
      </c>
      <c r="C461" s="27">
        <v>7.7</v>
      </c>
      <c r="D461" s="27" t="s">
        <v>4</v>
      </c>
      <c r="E461" s="27" t="s">
        <v>5</v>
      </c>
      <c r="F461" s="27" t="str">
        <f t="shared" si="201"/>
        <v>Yes</v>
      </c>
      <c r="G461" s="27" t="s">
        <v>9</v>
      </c>
      <c r="H461" s="27" t="s">
        <v>43</v>
      </c>
      <c r="J461" s="27" t="s">
        <v>208</v>
      </c>
      <c r="K461" s="27">
        <v>89</v>
      </c>
      <c r="L461" s="27" t="s">
        <v>12</v>
      </c>
      <c r="M461" s="27" t="s">
        <v>223</v>
      </c>
      <c r="N461" s="27" t="str">
        <f>IF(K461="N/A","No", IF(K461&gt;20,"Yes","No"))</f>
        <v>Yes</v>
      </c>
      <c r="O461" s="27" t="str">
        <f>IF(K461="Not","No",IF(K461="n/a","N/A",IF(K461&gt;$Y$7,"Yes","No")))</f>
        <v>No</v>
      </c>
      <c r="U461" s="27" t="s">
        <v>121</v>
      </c>
      <c r="V461" s="27" t="str">
        <f>R456</f>
        <v>Yes</v>
      </c>
      <c r="W461" s="27" t="str">
        <f>S456</f>
        <v>Yes</v>
      </c>
      <c r="X461" s="27" t="str">
        <f>IF(V461="N/A","N/A",IF(W461="N/A", "N/A", IF(V461=W461, "Yes","No")))</f>
        <v>Yes</v>
      </c>
    </row>
    <row r="462" spans="1:38" x14ac:dyDescent="0.2">
      <c r="A462" s="27" t="s">
        <v>212</v>
      </c>
      <c r="B462" s="27" t="s">
        <v>211</v>
      </c>
      <c r="C462" s="27">
        <v>5.4</v>
      </c>
      <c r="D462" s="27" t="s">
        <v>4</v>
      </c>
      <c r="E462" s="27" t="s">
        <v>5</v>
      </c>
      <c r="F462" s="27" t="str">
        <f t="shared" si="201"/>
        <v>Yes</v>
      </c>
      <c r="G462" s="27" t="s">
        <v>9</v>
      </c>
      <c r="H462" s="27" t="s">
        <v>43</v>
      </c>
    </row>
    <row r="463" spans="1:38" x14ac:dyDescent="0.2">
      <c r="A463" s="27" t="s">
        <v>249</v>
      </c>
      <c r="B463" s="27" t="s">
        <v>236</v>
      </c>
      <c r="C463" s="27">
        <v>6.9</v>
      </c>
      <c r="D463" s="27" t="s">
        <v>4</v>
      </c>
      <c r="E463" s="27" t="s">
        <v>5</v>
      </c>
      <c r="F463" s="27" t="str">
        <f t="shared" si="201"/>
        <v>Yes</v>
      </c>
      <c r="G463" s="27" t="s">
        <v>5</v>
      </c>
      <c r="H463" s="27" t="s">
        <v>43</v>
      </c>
    </row>
    <row r="464" spans="1:38" x14ac:dyDescent="0.2">
      <c r="A464" s="27" t="s">
        <v>249</v>
      </c>
      <c r="B464" s="27" t="s">
        <v>211</v>
      </c>
      <c r="C464" s="27">
        <v>10.5</v>
      </c>
      <c r="D464" s="27" t="s">
        <v>4</v>
      </c>
      <c r="E464" s="27" t="s">
        <v>5</v>
      </c>
      <c r="F464" s="27" t="str">
        <f t="shared" si="201"/>
        <v>Yes</v>
      </c>
      <c r="G464" s="27" t="s">
        <v>5</v>
      </c>
      <c r="H464" s="27" t="s">
        <v>43</v>
      </c>
    </row>
    <row r="465" spans="1:38" x14ac:dyDescent="0.2">
      <c r="A465" s="27" t="s">
        <v>249</v>
      </c>
      <c r="B465" s="27" t="s">
        <v>211</v>
      </c>
      <c r="C465" s="27">
        <v>7.8</v>
      </c>
      <c r="D465" s="27" t="s">
        <v>4</v>
      </c>
      <c r="E465" s="27" t="s">
        <v>5</v>
      </c>
      <c r="F465" s="27" t="str">
        <f t="shared" si="201"/>
        <v>Yes</v>
      </c>
      <c r="G465" s="27" t="s">
        <v>5</v>
      </c>
      <c r="H465" s="27" t="s">
        <v>43</v>
      </c>
    </row>
    <row r="466" spans="1:38" x14ac:dyDescent="0.2">
      <c r="A466" s="27" t="s">
        <v>201</v>
      </c>
      <c r="B466" s="27" t="s">
        <v>214</v>
      </c>
      <c r="C466" s="27">
        <v>3</v>
      </c>
      <c r="D466" s="27" t="s">
        <v>33</v>
      </c>
      <c r="E466" s="27" t="s">
        <v>9</v>
      </c>
      <c r="F466" s="27" t="str">
        <f>IF(C466&gt;$W$6,"Yes","No")</f>
        <v>No</v>
      </c>
      <c r="G466" s="27" t="s">
        <v>9</v>
      </c>
    </row>
    <row r="469" spans="1:38" x14ac:dyDescent="0.2">
      <c r="A469" s="27">
        <v>1153</v>
      </c>
      <c r="B469" s="27" t="s">
        <v>111</v>
      </c>
      <c r="C469" s="27">
        <v>32</v>
      </c>
    </row>
    <row r="470" spans="1:38" x14ac:dyDescent="0.2">
      <c r="A470" s="59" t="s">
        <v>0</v>
      </c>
      <c r="E470" s="27" t="s">
        <v>274</v>
      </c>
      <c r="F470" s="27" t="s">
        <v>275</v>
      </c>
      <c r="G470" s="27" t="s">
        <v>119</v>
      </c>
      <c r="J470" s="59" t="s">
        <v>1</v>
      </c>
      <c r="N470" s="27" t="s">
        <v>277</v>
      </c>
      <c r="O470" s="27" t="s">
        <v>278</v>
      </c>
      <c r="Q470" s="59" t="s">
        <v>115</v>
      </c>
      <c r="R470" s="59" t="s">
        <v>0</v>
      </c>
      <c r="S470" s="59" t="s">
        <v>1</v>
      </c>
      <c r="U470" s="59" t="s">
        <v>115</v>
      </c>
      <c r="V470" s="59" t="s">
        <v>0</v>
      </c>
      <c r="W470" s="59" t="s">
        <v>1</v>
      </c>
      <c r="X470" s="59" t="s">
        <v>122</v>
      </c>
      <c r="AA470" s="27" t="str">
        <f>IF(R471="Yes","LRA-Soil","")</f>
        <v>LRA-Soil</v>
      </c>
      <c r="AB470" s="27" t="str">
        <f>IF(R472="Yes","LRA-Paint","")</f>
        <v/>
      </c>
      <c r="AC470" s="27" t="str">
        <f>IF(R473="Yes","LRA-Dust","")</f>
        <v>LRA-Dust</v>
      </c>
      <c r="AD470" s="27" t="str">
        <f>IF(S471="Yes","LSK-Soil","")</f>
        <v>LSK-Soil</v>
      </c>
      <c r="AE470" s="27" t="str">
        <f>IF(S472="Yes","LSK-Paint","")</f>
        <v/>
      </c>
      <c r="AF470" s="27" t="str">
        <f>IF(S473="Yes","LSK-Dust","")</f>
        <v>LSK-Dust</v>
      </c>
      <c r="AI470" s="27" t="s">
        <v>46</v>
      </c>
      <c r="AJ470" s="27" t="s">
        <v>43</v>
      </c>
      <c r="AK470" s="27" t="s">
        <v>116</v>
      </c>
      <c r="AL470" s="27" t="s">
        <v>117</v>
      </c>
    </row>
    <row r="471" spans="1:38" x14ac:dyDescent="0.2">
      <c r="A471" s="27" t="s">
        <v>185</v>
      </c>
      <c r="B471" s="27" t="s">
        <v>217</v>
      </c>
      <c r="C471" s="27">
        <v>0</v>
      </c>
      <c r="D471" s="27" t="s">
        <v>4</v>
      </c>
      <c r="E471" s="27" t="s">
        <v>9</v>
      </c>
      <c r="F471" s="27" t="str">
        <f t="shared" ref="F471" si="203">IF(C471&gt;=$W$2,"Yes","No")</f>
        <v>No</v>
      </c>
      <c r="G471" s="27" t="s">
        <v>9</v>
      </c>
      <c r="H471" s="27" t="s">
        <v>46</v>
      </c>
      <c r="J471" s="27" t="s">
        <v>6</v>
      </c>
      <c r="K471" s="27">
        <v>42.1</v>
      </c>
      <c r="L471" s="27" t="s">
        <v>12</v>
      </c>
      <c r="M471" s="27" t="s">
        <v>114</v>
      </c>
      <c r="N471" s="27" t="str">
        <f>IF(K471="N/A","No", IF(K471&gt;1200,"Yes","No"))</f>
        <v>No</v>
      </c>
      <c r="O471" s="27" t="str">
        <f t="shared" ref="O471:O473" si="204">IF(K471="Not","No",IF(K471="n/a","N/A",IF(K471&gt;$Y$3,"Yes","No")))</f>
        <v>No</v>
      </c>
      <c r="Q471" s="27" t="s">
        <v>116</v>
      </c>
      <c r="R471" s="27" t="str">
        <f>_xlfn.XLOOKUP("mg/Kg",D471:D474,F471:F474,"N/A")</f>
        <v>Yes</v>
      </c>
      <c r="S471" s="27" t="str">
        <f>IF(COUNTIF(O471:O473,"Yes"),"Yes","No")</f>
        <v>Yes</v>
      </c>
      <c r="U471" s="27" t="s">
        <v>92</v>
      </c>
      <c r="V471" s="27" t="s">
        <v>120</v>
      </c>
      <c r="W471" s="27" t="s">
        <v>120</v>
      </c>
      <c r="X471" s="27" t="str">
        <f>IF(V471="N/A","N/A",IF(W471="N/A", "N/A", IF(V471=W471, "Yes","No")))</f>
        <v>N/A</v>
      </c>
      <c r="AI471" s="27">
        <f>COUNTIF(H470:H474,"Exterior")</f>
        <v>1</v>
      </c>
      <c r="AJ471" s="27">
        <f>COUNTIF(H470:H474, "Interior")</f>
        <v>1</v>
      </c>
      <c r="AK471" s="27">
        <f>COUNTIFS(D470:D474,"ppm")+COUNTIFS(D470:D474,"mg/Kg")</f>
        <v>1</v>
      </c>
      <c r="AL471" s="27">
        <f>COUNTIF(D470:D474,"ug/ft2")</f>
        <v>1</v>
      </c>
    </row>
    <row r="472" spans="1:38" x14ac:dyDescent="0.2">
      <c r="A472" s="27" t="s">
        <v>288</v>
      </c>
      <c r="B472" s="27" t="s">
        <v>286</v>
      </c>
      <c r="C472" s="27">
        <v>856</v>
      </c>
      <c r="D472" s="27" t="s">
        <v>37</v>
      </c>
      <c r="E472" s="27" t="s">
        <v>9</v>
      </c>
      <c r="F472" s="27" t="str">
        <f>IF(C472&gt;$W$3,"Yes","No")</f>
        <v>Yes</v>
      </c>
      <c r="G472" s="27" t="s">
        <v>9</v>
      </c>
      <c r="J472" s="27" t="s">
        <v>11</v>
      </c>
      <c r="K472" s="27">
        <v>42.7</v>
      </c>
      <c r="L472" s="27" t="s">
        <v>12</v>
      </c>
      <c r="M472" s="27" t="s">
        <v>67</v>
      </c>
      <c r="N472" s="27" t="str">
        <f t="shared" ref="N472:N473" si="205">IF(K472="N/A","No", IF(K472&gt;1200,"Yes","No"))</f>
        <v>No</v>
      </c>
      <c r="O472" s="27" t="str">
        <f t="shared" si="204"/>
        <v>No</v>
      </c>
      <c r="Q472" s="27" t="s">
        <v>98</v>
      </c>
      <c r="R472" s="27" t="str">
        <f>_xlfn.XLOOKUP("mg/cm2",D471:D474,G471:G474,"N/A")</f>
        <v>No</v>
      </c>
      <c r="S472" s="27" t="str">
        <f>IF(COUNTIF(O474:O475,"Yes"),"Yes","No")</f>
        <v>No</v>
      </c>
      <c r="U472" s="27" t="s">
        <v>95</v>
      </c>
      <c r="V472" s="27" t="str">
        <f>R471</f>
        <v>Yes</v>
      </c>
      <c r="W472" s="27" t="str">
        <f>S471</f>
        <v>Yes</v>
      </c>
      <c r="X472" s="27" t="str">
        <f t="shared" ref="X472:X475" si="206">IF(V472="N/A","N/A",IF(W472="N/A", "N/A", IF(V472=W472, "Yes","No")))</f>
        <v>Yes</v>
      </c>
    </row>
    <row r="473" spans="1:38" x14ac:dyDescent="0.2">
      <c r="A473" s="27" t="s">
        <v>201</v>
      </c>
      <c r="B473" s="27" t="s">
        <v>236</v>
      </c>
      <c r="C473" s="27">
        <v>0</v>
      </c>
      <c r="D473" s="27" t="s">
        <v>4</v>
      </c>
      <c r="E473" s="27" t="s">
        <v>9</v>
      </c>
      <c r="F473" s="27" t="str">
        <f t="shared" ref="F473" si="207">IF(C473&gt;=$W$2,"Yes","No")</f>
        <v>No</v>
      </c>
      <c r="G473" s="27" t="s">
        <v>9</v>
      </c>
      <c r="H473" s="27" t="s">
        <v>43</v>
      </c>
      <c r="J473" s="27" t="s">
        <v>15</v>
      </c>
      <c r="K473" s="27">
        <v>2778</v>
      </c>
      <c r="L473" s="27" t="s">
        <v>12</v>
      </c>
      <c r="M473" s="27" t="s">
        <v>112</v>
      </c>
      <c r="N473" s="27" t="str">
        <f t="shared" si="205"/>
        <v>Yes</v>
      </c>
      <c r="O473" s="27" t="str">
        <f t="shared" si="204"/>
        <v>Yes</v>
      </c>
      <c r="Q473" s="27" t="s">
        <v>117</v>
      </c>
      <c r="R473" s="27" t="str">
        <f>_xlfn.XLOOKUP("ug/ft2",D471:D474,F471:F474,"N/A")</f>
        <v>Yes</v>
      </c>
      <c r="S473" s="27" t="str">
        <f>IF(COUNTIF(O476:O483,"Yes"),"Yes","No")</f>
        <v>Yes</v>
      </c>
      <c r="U473" s="27" t="s">
        <v>163</v>
      </c>
      <c r="V473" s="27" t="s">
        <v>9</v>
      </c>
      <c r="W473" s="27" t="str">
        <f>O475</f>
        <v>No</v>
      </c>
      <c r="X473" s="27" t="str">
        <f t="shared" si="206"/>
        <v>Yes</v>
      </c>
    </row>
    <row r="474" spans="1:38" x14ac:dyDescent="0.2">
      <c r="A474" s="27" t="s">
        <v>201</v>
      </c>
      <c r="B474" s="27" t="s">
        <v>214</v>
      </c>
      <c r="C474" s="27">
        <v>24</v>
      </c>
      <c r="D474" s="27" t="s">
        <v>33</v>
      </c>
      <c r="E474" s="27" t="s">
        <v>5</v>
      </c>
      <c r="F474" s="27" t="str">
        <f>IF(C474&gt;$W$6,"Yes","No")</f>
        <v>Yes</v>
      </c>
      <c r="G474" s="27" t="s">
        <v>5</v>
      </c>
      <c r="J474" s="27" t="s">
        <v>19</v>
      </c>
      <c r="K474" s="27">
        <v>2.5</v>
      </c>
      <c r="L474" s="27" t="s">
        <v>12</v>
      </c>
      <c r="M474" s="27" t="s">
        <v>46</v>
      </c>
      <c r="N474" s="27" t="str">
        <f>IF(K474="N/A","No", IF(K474&gt;5000,"Yes","No"))</f>
        <v>No</v>
      </c>
      <c r="O474" s="27" t="str">
        <f t="shared" ref="O474:O475" si="208">IF(K474="Not","No",IF(K474="n/a","N/A",IF(K474&gt;$Y$2,"Yes","No")))</f>
        <v>No</v>
      </c>
      <c r="Q474" s="27" t="s">
        <v>118</v>
      </c>
      <c r="R474" s="27" t="str">
        <f>IF(COUNTIF(R471:R473,"Yes"),"Yes","No")</f>
        <v>Yes</v>
      </c>
      <c r="S474" s="27" t="str">
        <f>IF(COUNTIF(S471:S473,"Yes"),"Yes","No")</f>
        <v>Yes</v>
      </c>
      <c r="U474" s="27" t="s">
        <v>164</v>
      </c>
      <c r="V474" s="27" t="s">
        <v>9</v>
      </c>
      <c r="W474" s="27" t="str">
        <f>O474</f>
        <v>No</v>
      </c>
      <c r="X474" s="27" t="str">
        <f t="shared" si="206"/>
        <v>Yes</v>
      </c>
    </row>
    <row r="475" spans="1:38" x14ac:dyDescent="0.2">
      <c r="J475" s="27" t="s">
        <v>22</v>
      </c>
      <c r="K475" s="27">
        <v>20</v>
      </c>
      <c r="L475" s="27" t="s">
        <v>12</v>
      </c>
      <c r="M475" s="27" t="s">
        <v>43</v>
      </c>
      <c r="N475" s="27" t="str">
        <f>IF(K475="N/A","No", IF(K475&gt;5000,"Yes","No"))</f>
        <v>No</v>
      </c>
      <c r="O475" s="27" t="str">
        <f t="shared" si="208"/>
        <v>No</v>
      </c>
      <c r="U475" s="27" t="s">
        <v>162</v>
      </c>
      <c r="V475" s="27" t="str">
        <f>R472</f>
        <v>No</v>
      </c>
      <c r="W475" s="27" t="str">
        <f>S472</f>
        <v>No</v>
      </c>
      <c r="X475" s="27" t="str">
        <f t="shared" si="206"/>
        <v>Yes</v>
      </c>
    </row>
    <row r="476" spans="1:38" x14ac:dyDescent="0.2">
      <c r="J476" s="27" t="s">
        <v>25</v>
      </c>
      <c r="K476" s="27">
        <v>93</v>
      </c>
      <c r="L476" s="27" t="s">
        <v>12</v>
      </c>
      <c r="M476" s="27" t="s">
        <v>126</v>
      </c>
      <c r="N476" s="27" t="str">
        <f>IF(K476="N/A","No", IF(K476&gt;20,"Yes","No"))</f>
        <v>Yes</v>
      </c>
      <c r="O476" s="27" t="str">
        <f t="shared" ref="O476:O477" si="209">IF(K476="Not","No",IF(K476="n/a","N/A",IF(K476&gt;$Y$6,"Yes","No")))</f>
        <v>Yes</v>
      </c>
      <c r="U476" s="27" t="s">
        <v>101</v>
      </c>
      <c r="V476" s="27" t="s">
        <v>5</v>
      </c>
      <c r="W476" s="27" t="s">
        <v>5</v>
      </c>
      <c r="X476" s="27" t="str">
        <f>IF(V476="N/A","N/A",IF(W476="N/A", "N/A", IF(V476=W476, "Yes","No")))</f>
        <v>Yes</v>
      </c>
    </row>
    <row r="477" spans="1:38" x14ac:dyDescent="0.2">
      <c r="J477" s="27" t="s">
        <v>29</v>
      </c>
      <c r="K477" s="27">
        <v>8</v>
      </c>
      <c r="L477" s="27" t="s">
        <v>12</v>
      </c>
      <c r="M477" s="27" t="s">
        <v>222</v>
      </c>
      <c r="N477" s="27" t="str">
        <f>IF(K477="N/A","No", IF(K477&gt;20,"Yes","No"))</f>
        <v>No</v>
      </c>
      <c r="O477" s="27" t="str">
        <f t="shared" si="209"/>
        <v>No</v>
      </c>
      <c r="U477" s="27" t="s">
        <v>104</v>
      </c>
      <c r="V477" s="27" t="s">
        <v>120</v>
      </c>
      <c r="W477" s="27" t="str">
        <f>O478</f>
        <v>No</v>
      </c>
      <c r="X477" s="27" t="str">
        <f>IF(V477="N/A","N/A",IF(W477="N/A", "N/A", IF(V477=W477, "Yes","No")))</f>
        <v>N/A</v>
      </c>
    </row>
    <row r="478" spans="1:38" x14ac:dyDescent="0.2">
      <c r="J478" s="27" t="s">
        <v>34</v>
      </c>
      <c r="K478" s="27">
        <v>2.5</v>
      </c>
      <c r="L478" s="27" t="s">
        <v>12</v>
      </c>
      <c r="M478" s="27" t="s">
        <v>210</v>
      </c>
      <c r="N478" s="27" t="str">
        <f>IF(K478="N/A","No", IF(K478&gt;230,"Yes","No"))</f>
        <v>No</v>
      </c>
      <c r="O478" s="27" t="str">
        <f>IF(K478="Not","No",IF(K478="n/a","N/A",IF(K478&gt;$Y$5,"Yes","No")))</f>
        <v>No</v>
      </c>
      <c r="U478" s="27" t="s">
        <v>106</v>
      </c>
      <c r="V478" s="27" t="str">
        <f>R473</f>
        <v>Yes</v>
      </c>
      <c r="W478" s="27" t="str">
        <f>S473</f>
        <v>Yes</v>
      </c>
      <c r="X478" s="27" t="str">
        <f>IF(V478="N/A","N/A",IF(W478="N/A", "N/A", IF(V478=W478, "Yes","No")))</f>
        <v>Yes</v>
      </c>
    </row>
    <row r="479" spans="1:38" x14ac:dyDescent="0.2">
      <c r="J479" s="27" t="s">
        <v>208</v>
      </c>
      <c r="K479" s="27">
        <v>237</v>
      </c>
      <c r="L479" s="27" t="s">
        <v>12</v>
      </c>
      <c r="M479" s="27" t="s">
        <v>223</v>
      </c>
      <c r="N479" s="27" t="str">
        <f>IF(K479="N/A","No", IF(K479&gt;20,"Yes","No"))</f>
        <v>Yes</v>
      </c>
      <c r="O479" s="27" t="str">
        <f>IF(K479="Not","No",IF(K479="n/a","N/A",IF(K479&gt;$Y$7,"Yes","No")))</f>
        <v>No</v>
      </c>
      <c r="U479" s="27" t="s">
        <v>121</v>
      </c>
      <c r="V479" s="27" t="str">
        <f>R474</f>
        <v>Yes</v>
      </c>
      <c r="W479" s="27" t="str">
        <f>S474</f>
        <v>Yes</v>
      </c>
      <c r="X479" s="27" t="str">
        <f>IF(V479="N/A","N/A",IF(W479="N/A", "N/A", IF(V479=W479, "Yes","No")))</f>
        <v>Yes</v>
      </c>
    </row>
    <row r="481" spans="1:38" x14ac:dyDescent="0.2">
      <c r="A481" s="27">
        <v>1154</v>
      </c>
      <c r="B481" s="27" t="s">
        <v>111</v>
      </c>
      <c r="C481" s="27">
        <v>33</v>
      </c>
    </row>
    <row r="482" spans="1:38" x14ac:dyDescent="0.2">
      <c r="A482" s="59" t="s">
        <v>0</v>
      </c>
      <c r="E482" s="27" t="s">
        <v>274</v>
      </c>
      <c r="F482" s="27" t="s">
        <v>275</v>
      </c>
      <c r="G482" s="27" t="s">
        <v>119</v>
      </c>
      <c r="J482" s="59" t="s">
        <v>1</v>
      </c>
      <c r="N482" s="27" t="s">
        <v>277</v>
      </c>
      <c r="O482" s="27" t="s">
        <v>278</v>
      </c>
      <c r="Q482" s="59" t="s">
        <v>115</v>
      </c>
      <c r="R482" s="59" t="s">
        <v>0</v>
      </c>
      <c r="S482" s="59" t="s">
        <v>1</v>
      </c>
      <c r="U482" s="59" t="s">
        <v>115</v>
      </c>
      <c r="V482" s="59" t="s">
        <v>0</v>
      </c>
      <c r="W482" s="59" t="s">
        <v>1</v>
      </c>
      <c r="X482" s="59" t="s">
        <v>122</v>
      </c>
      <c r="AA482" s="27" t="str">
        <f>IF(R483="Yes","LRA-Soil","")</f>
        <v/>
      </c>
      <c r="AB482" s="27" t="str">
        <f>IF(R484="Yes","LRA-Paint","")</f>
        <v>LRA-Paint</v>
      </c>
      <c r="AC482" s="27" t="str">
        <f>IF(R485="Yes","LRA-Dust","")</f>
        <v/>
      </c>
      <c r="AD482" s="27" t="str">
        <f>IF(S483="Yes","LSK-Soil","")</f>
        <v/>
      </c>
      <c r="AE482" s="27" t="str">
        <f>IF(S484="Yes","LSK-Paint","")</f>
        <v>LSK-Paint</v>
      </c>
      <c r="AF482" s="27" t="str">
        <f>IF(S485="Yes","LSK-Dust","")</f>
        <v/>
      </c>
      <c r="AI482" s="27" t="s">
        <v>46</v>
      </c>
      <c r="AJ482" s="27" t="s">
        <v>43</v>
      </c>
      <c r="AK482" s="27" t="s">
        <v>116</v>
      </c>
      <c r="AL482" s="27" t="s">
        <v>117</v>
      </c>
    </row>
    <row r="483" spans="1:38" x14ac:dyDescent="0.2">
      <c r="A483" s="27" t="s">
        <v>185</v>
      </c>
      <c r="B483" s="27" t="s">
        <v>220</v>
      </c>
      <c r="C483" s="27">
        <v>13.5</v>
      </c>
      <c r="D483" s="27" t="s">
        <v>4</v>
      </c>
      <c r="E483" s="27" t="s">
        <v>5</v>
      </c>
      <c r="F483" s="27" t="str">
        <f t="shared" ref="F483:F484" si="210">IF(C483&gt;=$W$2,"Yes","No")</f>
        <v>Yes</v>
      </c>
      <c r="G483" s="27" t="s">
        <v>5</v>
      </c>
      <c r="H483" s="27" t="s">
        <v>46</v>
      </c>
      <c r="J483" s="27" t="s">
        <v>6</v>
      </c>
      <c r="K483" s="27">
        <v>41</v>
      </c>
      <c r="L483" s="27" t="s">
        <v>12</v>
      </c>
      <c r="M483" s="27" t="s">
        <v>114</v>
      </c>
      <c r="N483" s="27" t="str">
        <f>IF(K483="N/A","No", IF(K483&gt;1200,"Yes","No"))</f>
        <v>No</v>
      </c>
      <c r="O483" s="27" t="str">
        <f t="shared" ref="O483:O485" si="211">IF(K483="Not","No",IF(K483="n/a","N/A",IF(K483&gt;$Y$3,"Yes","No")))</f>
        <v>No</v>
      </c>
      <c r="Q483" s="27" t="s">
        <v>116</v>
      </c>
      <c r="R483" s="27" t="str">
        <f>_xlfn.XLOOKUP("mg/Kg",D483:D488,F483:F488,"N/A")</f>
        <v>No</v>
      </c>
      <c r="S483" s="27" t="str">
        <f>IF(COUNTIF(O483:O485,"Yes"),"Yes","No")</f>
        <v>No</v>
      </c>
      <c r="U483" s="27" t="s">
        <v>92</v>
      </c>
      <c r="V483" s="27" t="s">
        <v>120</v>
      </c>
      <c r="W483" s="27" t="s">
        <v>120</v>
      </c>
      <c r="X483" s="27" t="str">
        <f>IF(V483="N/A","N/A",IF(W483="N/A", "N/A", IF(V483=W483, "Yes","No")))</f>
        <v>N/A</v>
      </c>
      <c r="AI483" s="27">
        <f>COUNTIF(H482:H488,"Exterior")</f>
        <v>2</v>
      </c>
      <c r="AJ483" s="27">
        <f>COUNTIF(H482:H488, "Interior")</f>
        <v>2</v>
      </c>
      <c r="AK483" s="27">
        <f>COUNTIFS(D482:D488,"ppm")+COUNTIFS(D482:D488,"mg/Kg")</f>
        <v>1</v>
      </c>
      <c r="AL483" s="27">
        <f>COUNTIF(D482:D488,"ug/ft2")</f>
        <v>1</v>
      </c>
    </row>
    <row r="484" spans="1:38" x14ac:dyDescent="0.2">
      <c r="A484" s="27" t="s">
        <v>185</v>
      </c>
      <c r="B484" s="27" t="s">
        <v>211</v>
      </c>
      <c r="C484" s="27">
        <v>14</v>
      </c>
      <c r="D484" s="27" t="s">
        <v>4</v>
      </c>
      <c r="E484" s="27" t="s">
        <v>5</v>
      </c>
      <c r="F484" s="27" t="str">
        <f t="shared" si="210"/>
        <v>Yes</v>
      </c>
      <c r="G484" s="27" t="s">
        <v>5</v>
      </c>
      <c r="H484" s="27" t="s">
        <v>46</v>
      </c>
      <c r="J484" s="27" t="s">
        <v>11</v>
      </c>
      <c r="K484" s="27">
        <v>12.1</v>
      </c>
      <c r="L484" s="27" t="s">
        <v>12</v>
      </c>
      <c r="M484" s="27" t="s">
        <v>67</v>
      </c>
      <c r="N484" s="27" t="str">
        <f t="shared" ref="N484:N485" si="212">IF(K484="N/A","No", IF(K484&gt;1200,"Yes","No"))</f>
        <v>No</v>
      </c>
      <c r="O484" s="27" t="str">
        <f t="shared" si="211"/>
        <v>No</v>
      </c>
      <c r="Q484" s="27" t="s">
        <v>98</v>
      </c>
      <c r="R484" s="27" t="str">
        <f>_xlfn.XLOOKUP("mg/cm2",D483:D488,G483:G488,"N/A")</f>
        <v>Yes</v>
      </c>
      <c r="S484" s="27" t="str">
        <f>IF(COUNTIF(O486:O487,"Yes"),"Yes","No")</f>
        <v>Yes</v>
      </c>
      <c r="U484" s="27" t="s">
        <v>95</v>
      </c>
      <c r="V484" s="27" t="str">
        <f>R483</f>
        <v>No</v>
      </c>
      <c r="W484" s="27" t="str">
        <f>S483</f>
        <v>No</v>
      </c>
      <c r="X484" s="27" t="str">
        <f t="shared" ref="X484:X487" si="213">IF(V484="N/A","N/A",IF(W484="N/A", "N/A", IF(V484=W484, "Yes","No")))</f>
        <v>Yes</v>
      </c>
    </row>
    <row r="485" spans="1:38" x14ac:dyDescent="0.2">
      <c r="A485" s="27" t="s">
        <v>200</v>
      </c>
      <c r="B485" s="27" t="s">
        <v>286</v>
      </c>
      <c r="C485" s="27">
        <v>287</v>
      </c>
      <c r="D485" s="27" t="s">
        <v>37</v>
      </c>
      <c r="E485" s="27" t="s">
        <v>9</v>
      </c>
      <c r="F485" s="27" t="str">
        <f>IF(C485&gt;$W$3,"Yes","No")</f>
        <v>No</v>
      </c>
      <c r="G485" s="27" t="s">
        <v>9</v>
      </c>
      <c r="J485" s="27" t="s">
        <v>15</v>
      </c>
      <c r="K485" s="27">
        <v>250</v>
      </c>
      <c r="L485" s="27" t="s">
        <v>12</v>
      </c>
      <c r="M485" s="27" t="s">
        <v>112</v>
      </c>
      <c r="N485" s="27" t="str">
        <f t="shared" si="212"/>
        <v>No</v>
      </c>
      <c r="O485" s="27" t="str">
        <f t="shared" si="211"/>
        <v>No</v>
      </c>
      <c r="Q485" s="27" t="s">
        <v>117</v>
      </c>
      <c r="R485" s="27" t="str">
        <f>_xlfn.XLOOKUP("ug/ft2",D483:D488,F483:F488,"N/A")</f>
        <v>No</v>
      </c>
      <c r="S485" s="27" t="str">
        <f>IF(COUNTIF(O488:O491,"Yes"),"Yes","No")</f>
        <v>No</v>
      </c>
      <c r="U485" s="27" t="s">
        <v>163</v>
      </c>
      <c r="V485" s="27" t="s">
        <v>5</v>
      </c>
      <c r="W485" s="27" t="str">
        <f>O487</f>
        <v>No</v>
      </c>
      <c r="X485" s="27" t="str">
        <f t="shared" si="213"/>
        <v>No</v>
      </c>
    </row>
    <row r="486" spans="1:38" x14ac:dyDescent="0.2">
      <c r="A486" s="27" t="s">
        <v>289</v>
      </c>
      <c r="B486" s="27" t="s">
        <v>211</v>
      </c>
      <c r="C486" s="27">
        <v>1.2</v>
      </c>
      <c r="D486" s="27" t="s">
        <v>4</v>
      </c>
      <c r="E486" s="27" t="s">
        <v>5</v>
      </c>
      <c r="F486" s="27" t="str">
        <f t="shared" ref="F486:F487" si="214">IF(C486&gt;=$W$2,"Yes","No")</f>
        <v>Yes</v>
      </c>
      <c r="G486" s="27" t="s">
        <v>5</v>
      </c>
      <c r="H486" s="27" t="s">
        <v>43</v>
      </c>
      <c r="J486" s="27" t="s">
        <v>19</v>
      </c>
      <c r="K486" s="27">
        <v>9216</v>
      </c>
      <c r="L486" s="27" t="s">
        <v>12</v>
      </c>
      <c r="M486" s="27" t="s">
        <v>46</v>
      </c>
      <c r="N486" s="27" t="str">
        <f>IF(K486="N/A","No", IF(K486&gt;5000,"Yes","No"))</f>
        <v>Yes</v>
      </c>
      <c r="O486" s="27" t="str">
        <f>IF(K486="Not","No",IF(K486="n/a","N/A",IF(K486&gt;$Y$2,"Yes","No")))</f>
        <v>Yes</v>
      </c>
      <c r="Q486" s="27" t="s">
        <v>118</v>
      </c>
      <c r="R486" s="27" t="str">
        <f>IF(COUNTIF(R483:R485,"Yes"),"Yes","No")</f>
        <v>Yes</v>
      </c>
      <c r="S486" s="27" t="str">
        <f>IF(COUNTIF(S483:S485,"Yes"),"Yes","No")</f>
        <v>Yes</v>
      </c>
      <c r="U486" s="27" t="s">
        <v>164</v>
      </c>
      <c r="V486" s="27" t="s">
        <v>5</v>
      </c>
      <c r="W486" s="27" t="str">
        <f>O486</f>
        <v>Yes</v>
      </c>
      <c r="X486" s="27" t="str">
        <f t="shared" si="213"/>
        <v>Yes</v>
      </c>
    </row>
    <row r="487" spans="1:38" x14ac:dyDescent="0.2">
      <c r="A487" s="27" t="s">
        <v>213</v>
      </c>
      <c r="B487" s="27" t="s">
        <v>211</v>
      </c>
      <c r="C487" s="27">
        <v>1</v>
      </c>
      <c r="D487" s="27" t="s">
        <v>4</v>
      </c>
      <c r="E487" s="27" t="s">
        <v>9</v>
      </c>
      <c r="F487" s="27" t="str">
        <f t="shared" si="214"/>
        <v>Yes</v>
      </c>
      <c r="G487" s="27" t="s">
        <v>5</v>
      </c>
      <c r="H487" s="27" t="s">
        <v>43</v>
      </c>
      <c r="J487" s="27" t="s">
        <v>22</v>
      </c>
      <c r="K487" s="27">
        <v>2.5</v>
      </c>
      <c r="L487" s="27" t="s">
        <v>12</v>
      </c>
      <c r="M487" s="27" t="s">
        <v>43</v>
      </c>
      <c r="N487" s="27" t="str">
        <f>IF(K487="N/A","No", IF(K487&gt;5000,"Yes","No"))</f>
        <v>No</v>
      </c>
      <c r="O487" s="27" t="str">
        <f>IF(K487="Not","No",IF(K487="n/a","N/A",IF(K487&gt;$Y$2,"Yes","No")))</f>
        <v>No</v>
      </c>
      <c r="U487" s="27" t="s">
        <v>162</v>
      </c>
      <c r="V487" s="27" t="str">
        <f>R484</f>
        <v>Yes</v>
      </c>
      <c r="W487" s="27" t="str">
        <f>S484</f>
        <v>Yes</v>
      </c>
      <c r="X487" s="27" t="str">
        <f t="shared" si="213"/>
        <v>Yes</v>
      </c>
    </row>
    <row r="488" spans="1:38" x14ac:dyDescent="0.2">
      <c r="A488" s="27" t="s">
        <v>287</v>
      </c>
      <c r="B488" s="27" t="s">
        <v>214</v>
      </c>
      <c r="C488" s="27">
        <v>3</v>
      </c>
      <c r="D488" s="27" t="s">
        <v>33</v>
      </c>
      <c r="E488" s="27" t="s">
        <v>9</v>
      </c>
      <c r="F488" s="27" t="str">
        <f>IF(C488&gt;$W$6,"Yes","No")</f>
        <v>No</v>
      </c>
      <c r="G488" s="27" t="s">
        <v>9</v>
      </c>
      <c r="J488" s="27" t="s">
        <v>25</v>
      </c>
      <c r="K488" s="27">
        <v>2.5</v>
      </c>
      <c r="L488" s="27" t="s">
        <v>12</v>
      </c>
      <c r="M488" s="27" t="s">
        <v>126</v>
      </c>
      <c r="N488" s="27" t="str">
        <f>IF(K488="N/A","No", IF(K488&gt;20,"Yes","No"))</f>
        <v>No</v>
      </c>
      <c r="O488" s="27" t="str">
        <f t="shared" ref="O488:O489" si="215">IF(K488="Not","No",IF(K488="n/a","N/A",IF(K488&gt;$Y$6,"Yes","No")))</f>
        <v>No</v>
      </c>
      <c r="U488" s="27" t="s">
        <v>101</v>
      </c>
      <c r="V488" s="27" t="s">
        <v>9</v>
      </c>
      <c r="W488" s="27" t="s">
        <v>9</v>
      </c>
      <c r="X488" s="27" t="str">
        <f>IF(V488="N/A","N/A",IF(W488="N/A", "N/A", IF(V488=W488, "Yes","No")))</f>
        <v>Yes</v>
      </c>
    </row>
    <row r="489" spans="1:38" x14ac:dyDescent="0.2">
      <c r="J489" s="27" t="s">
        <v>29</v>
      </c>
      <c r="K489" s="27">
        <v>18</v>
      </c>
      <c r="L489" s="27" t="s">
        <v>12</v>
      </c>
      <c r="M489" s="27" t="s">
        <v>222</v>
      </c>
      <c r="N489" s="27" t="str">
        <f>IF(K489="N/A","No", IF(K489&gt;20,"Yes","No"))</f>
        <v>No</v>
      </c>
      <c r="O489" s="27" t="str">
        <f t="shared" si="215"/>
        <v>No</v>
      </c>
      <c r="U489" s="27" t="s">
        <v>104</v>
      </c>
      <c r="V489" s="27" t="s">
        <v>120</v>
      </c>
      <c r="W489" s="27" t="str">
        <f>O490</f>
        <v>No</v>
      </c>
      <c r="X489" s="27" t="str">
        <f>IF(V489="N/A","N/A",IF(W489="N/A", "N/A", IF(V489=W489, "Yes","No")))</f>
        <v>N/A</v>
      </c>
    </row>
    <row r="490" spans="1:38" x14ac:dyDescent="0.2">
      <c r="J490" s="27" t="s">
        <v>34</v>
      </c>
      <c r="K490" s="27">
        <v>2.5</v>
      </c>
      <c r="L490" s="27" t="s">
        <v>12</v>
      </c>
      <c r="M490" s="27" t="s">
        <v>210</v>
      </c>
      <c r="N490" s="27" t="str">
        <f>IF(K490="N/A","No", IF(K490&gt;230,"Yes","No"))</f>
        <v>No</v>
      </c>
      <c r="O490" s="27" t="str">
        <f>IF(K490="Not","No",IF(K490="n/a","N/A",IF(K490&gt;$Y$5,"Yes","No")))</f>
        <v>No</v>
      </c>
      <c r="U490" s="27" t="s">
        <v>106</v>
      </c>
      <c r="V490" s="27" t="str">
        <f>R485</f>
        <v>No</v>
      </c>
      <c r="W490" s="27" t="str">
        <f>S485</f>
        <v>No</v>
      </c>
      <c r="X490" s="27" t="str">
        <f>IF(V490="N/A","N/A",IF(W490="N/A", "N/A", IF(V490=W490, "Yes","No")))</f>
        <v>Yes</v>
      </c>
    </row>
    <row r="491" spans="1:38" x14ac:dyDescent="0.2">
      <c r="J491" s="27" t="s">
        <v>208</v>
      </c>
      <c r="K491" s="27">
        <v>77</v>
      </c>
      <c r="L491" s="27" t="s">
        <v>12</v>
      </c>
      <c r="M491" s="27" t="s">
        <v>223</v>
      </c>
      <c r="N491" s="27" t="str">
        <f>IF(K491="N/A","No", IF(K491&gt;20,"Yes","No"))</f>
        <v>Yes</v>
      </c>
      <c r="O491" s="27" t="str">
        <f>IF(K491="Not","No",IF(K491="n/a","N/A",IF(K491&gt;$Y$7,"Yes","No")))</f>
        <v>No</v>
      </c>
      <c r="U491" s="27" t="s">
        <v>121</v>
      </c>
      <c r="V491" s="27" t="str">
        <f>R486</f>
        <v>Yes</v>
      </c>
      <c r="W491" s="27" t="str">
        <f>S486</f>
        <v>Yes</v>
      </c>
      <c r="X491" s="27" t="str">
        <f>IF(V491="N/A","N/A",IF(W491="N/A", "N/A", IF(V491=W491, "Yes","No")))</f>
        <v>Yes</v>
      </c>
    </row>
    <row r="493" spans="1:38" x14ac:dyDescent="0.2">
      <c r="A493" s="27">
        <v>1157</v>
      </c>
      <c r="B493" s="27" t="s">
        <v>111</v>
      </c>
      <c r="C493" s="27">
        <v>34</v>
      </c>
    </row>
    <row r="494" spans="1:38" x14ac:dyDescent="0.2">
      <c r="A494" s="59" t="s">
        <v>0</v>
      </c>
      <c r="E494" s="27" t="s">
        <v>274</v>
      </c>
      <c r="F494" s="27" t="s">
        <v>275</v>
      </c>
      <c r="G494" s="27" t="s">
        <v>119</v>
      </c>
      <c r="J494" s="59" t="s">
        <v>1</v>
      </c>
      <c r="N494" s="27" t="s">
        <v>277</v>
      </c>
      <c r="O494" s="27" t="s">
        <v>278</v>
      </c>
      <c r="Q494" s="59" t="s">
        <v>115</v>
      </c>
      <c r="R494" s="59" t="s">
        <v>0</v>
      </c>
      <c r="S494" s="59" t="s">
        <v>1</v>
      </c>
      <c r="U494" s="59" t="s">
        <v>115</v>
      </c>
      <c r="V494" s="59" t="s">
        <v>0</v>
      </c>
      <c r="W494" s="59" t="s">
        <v>1</v>
      </c>
      <c r="X494" s="59" t="s">
        <v>122</v>
      </c>
      <c r="AA494" s="27" t="str">
        <f>IF(R495="Yes","LRA-Soil","")</f>
        <v>LRA-Soil</v>
      </c>
      <c r="AB494" s="27" t="str">
        <f>IF(R496="Yes","LRA-Paint","")</f>
        <v>LRA-Paint</v>
      </c>
      <c r="AC494" s="27" t="str">
        <f>IF(R497="Yes","LRA-Dust","")</f>
        <v>LRA-Dust</v>
      </c>
      <c r="AD494" s="27" t="str">
        <f>IF(S495="Yes","LSK-Soil","")</f>
        <v>LSK-Soil</v>
      </c>
      <c r="AE494" s="27" t="str">
        <f>IF(S496="Yes","LSK-Paint","")</f>
        <v/>
      </c>
      <c r="AF494" s="27" t="str">
        <f>IF(S497="Yes","LSK-Dust","")</f>
        <v/>
      </c>
      <c r="AI494" s="27" t="s">
        <v>46</v>
      </c>
      <c r="AJ494" s="27" t="s">
        <v>43</v>
      </c>
      <c r="AK494" s="27" t="s">
        <v>116</v>
      </c>
      <c r="AL494" s="27" t="s">
        <v>117</v>
      </c>
    </row>
    <row r="495" spans="1:38" x14ac:dyDescent="0.2">
      <c r="A495" s="27" t="s">
        <v>250</v>
      </c>
      <c r="B495" s="27" t="s">
        <v>221</v>
      </c>
      <c r="C495" s="27">
        <v>22.4</v>
      </c>
      <c r="D495" s="27" t="s">
        <v>4</v>
      </c>
      <c r="E495" s="27" t="s">
        <v>5</v>
      </c>
      <c r="F495" s="27" t="str">
        <f t="shared" ref="F495:F497" si="216">IF(C495&gt;=$W$2,"Yes","No")</f>
        <v>Yes</v>
      </c>
      <c r="G495" s="27" t="s">
        <v>5</v>
      </c>
      <c r="H495" s="27" t="s">
        <v>46</v>
      </c>
      <c r="J495" s="27" t="s">
        <v>6</v>
      </c>
      <c r="K495" s="27">
        <v>154</v>
      </c>
      <c r="L495" s="27" t="s">
        <v>12</v>
      </c>
      <c r="M495" s="27" t="s">
        <v>114</v>
      </c>
      <c r="N495" s="27" t="str">
        <f>IF(K495="N/A","No", IF(K495&gt;1200,"Yes","No"))</f>
        <v>No</v>
      </c>
      <c r="O495" s="27" t="str">
        <f t="shared" ref="O495:O497" si="217">IF(K495="Not","No",IF(K495="n/a","N/A",IF(K495&gt;$Y$3,"Yes","No")))</f>
        <v>No</v>
      </c>
      <c r="Q495" s="27" t="s">
        <v>116</v>
      </c>
      <c r="R495" s="27" t="str">
        <f>_xlfn.XLOOKUP("ppm",D495:D498,F495:F498,"N/A")</f>
        <v>Yes</v>
      </c>
      <c r="S495" s="27" t="str">
        <f>IF(COUNTIF(O495:O497,"Yes"),"Yes","No")</f>
        <v>Yes</v>
      </c>
      <c r="U495" s="27" t="s">
        <v>92</v>
      </c>
      <c r="V495" s="27" t="s">
        <v>5</v>
      </c>
      <c r="W495" s="27" t="s">
        <v>120</v>
      </c>
      <c r="X495" s="27" t="str">
        <f>IF(V495="N/A","N/A",IF(W495="N/A", "N/A", IF(V495=W495, "Yes","No")))</f>
        <v>N/A</v>
      </c>
      <c r="AI495" s="27">
        <f>COUNTIF(H494:H498,"Exterior")</f>
        <v>1</v>
      </c>
      <c r="AJ495" s="27">
        <f>COUNTIF(H494:H498, "Interior")</f>
        <v>1</v>
      </c>
      <c r="AK495" s="27">
        <f>COUNTIFS(D494:D498,"ppm")+COUNTIFS(D494:D498,"mg/Kg")</f>
        <v>1</v>
      </c>
      <c r="AL495" s="27">
        <f>COUNTIF(D494:D498,"ug/ft2")</f>
        <v>1</v>
      </c>
    </row>
    <row r="496" spans="1:38" x14ac:dyDescent="0.2">
      <c r="A496" s="27" t="s">
        <v>187</v>
      </c>
      <c r="B496" s="27" t="s">
        <v>290</v>
      </c>
      <c r="C496" s="27">
        <v>858</v>
      </c>
      <c r="D496" s="27" t="s">
        <v>12</v>
      </c>
      <c r="E496" s="27" t="s">
        <v>5</v>
      </c>
      <c r="F496" s="27" t="str">
        <f>IF(C496&gt;$W$3,"Yes","No")</f>
        <v>Yes</v>
      </c>
      <c r="G496" s="27" t="s">
        <v>5</v>
      </c>
      <c r="J496" s="27" t="s">
        <v>11</v>
      </c>
      <c r="K496" s="27">
        <v>1313</v>
      </c>
      <c r="L496" s="27" t="s">
        <v>12</v>
      </c>
      <c r="M496" s="27" t="s">
        <v>67</v>
      </c>
      <c r="N496" s="27" t="str">
        <f t="shared" ref="N496:N497" si="218">IF(K496="N/A","No", IF(K496&gt;1200,"Yes","No"))</f>
        <v>Yes</v>
      </c>
      <c r="O496" s="27" t="str">
        <f t="shared" si="217"/>
        <v>Yes</v>
      </c>
      <c r="Q496" s="27" t="s">
        <v>98</v>
      </c>
      <c r="R496" s="27" t="str">
        <f>_xlfn.XLOOKUP("mg/cm2",D495:D498,G495:G498,"N/A")</f>
        <v>Yes</v>
      </c>
      <c r="S496" s="27" t="str">
        <f>IF(COUNTIF(O498:O499,"Yes"),"Yes","No")</f>
        <v>No</v>
      </c>
      <c r="U496" s="27" t="s">
        <v>95</v>
      </c>
      <c r="V496" s="27" t="str">
        <f>R495</f>
        <v>Yes</v>
      </c>
      <c r="W496" s="27" t="str">
        <f>S495</f>
        <v>Yes</v>
      </c>
      <c r="X496" s="27" t="str">
        <f t="shared" ref="X496:X499" si="219">IF(V496="N/A","N/A",IF(W496="N/A", "N/A", IF(V496=W496, "Yes","No")))</f>
        <v>Yes</v>
      </c>
    </row>
    <row r="497" spans="1:38" x14ac:dyDescent="0.2">
      <c r="A497" s="27" t="s">
        <v>213</v>
      </c>
      <c r="B497" s="27" t="s">
        <v>189</v>
      </c>
      <c r="C497" s="27">
        <v>0</v>
      </c>
      <c r="D497" s="27" t="s">
        <v>4</v>
      </c>
      <c r="E497" s="27" t="s">
        <v>9</v>
      </c>
      <c r="F497" s="27" t="str">
        <f t="shared" si="216"/>
        <v>No</v>
      </c>
      <c r="G497" s="27" t="s">
        <v>9</v>
      </c>
      <c r="H497" s="27" t="s">
        <v>43</v>
      </c>
      <c r="J497" s="27" t="s">
        <v>15</v>
      </c>
      <c r="K497" s="27">
        <v>534</v>
      </c>
      <c r="L497" s="27" t="s">
        <v>12</v>
      </c>
      <c r="M497" s="27" t="s">
        <v>112</v>
      </c>
      <c r="N497" s="27" t="str">
        <f t="shared" si="218"/>
        <v>No</v>
      </c>
      <c r="O497" s="27" t="str">
        <f t="shared" si="217"/>
        <v>Yes</v>
      </c>
      <c r="Q497" s="27" t="s">
        <v>117</v>
      </c>
      <c r="R497" s="27" t="str">
        <f>_xlfn.XLOOKUP("ug/ft2",D495:D498,F495:F498,"N/A")</f>
        <v>Yes</v>
      </c>
      <c r="S497" s="27" t="str">
        <f>IF(COUNTIF(O500:O503,"Yes"),"Yes","No")</f>
        <v>No</v>
      </c>
      <c r="U497" s="27" t="s">
        <v>163</v>
      </c>
      <c r="V497" s="27" t="s">
        <v>9</v>
      </c>
      <c r="W497" s="27" t="str">
        <f>O499</f>
        <v>No</v>
      </c>
      <c r="X497" s="27" t="str">
        <f t="shared" si="219"/>
        <v>Yes</v>
      </c>
    </row>
    <row r="498" spans="1:38" x14ac:dyDescent="0.2">
      <c r="A498" s="27" t="s">
        <v>201</v>
      </c>
      <c r="B498" s="27" t="s">
        <v>214</v>
      </c>
      <c r="C498" s="27">
        <v>40.9</v>
      </c>
      <c r="D498" s="27" t="s">
        <v>33</v>
      </c>
      <c r="E498" s="27" t="s">
        <v>5</v>
      </c>
      <c r="F498" s="27" t="str">
        <f>IF(C498&gt;$W$6,"Yes","No")</f>
        <v>Yes</v>
      </c>
      <c r="G498" s="27" t="s">
        <v>5</v>
      </c>
      <c r="J498" s="27" t="s">
        <v>19</v>
      </c>
      <c r="K498" s="27">
        <v>42</v>
      </c>
      <c r="L498" s="27" t="s">
        <v>12</v>
      </c>
      <c r="M498" s="27" t="s">
        <v>46</v>
      </c>
      <c r="N498" s="27" t="str">
        <f>IF(K498="N/A","No", IF(K498&gt;5000,"Yes","No"))</f>
        <v>No</v>
      </c>
      <c r="O498" s="27" t="str">
        <f>IF(K498="Not","No",IF(K498="n/a","N/A",IF(K498&gt;$Y$2,"Yes","No")))</f>
        <v>No</v>
      </c>
      <c r="Q498" s="27" t="s">
        <v>118</v>
      </c>
      <c r="R498" s="27" t="str">
        <f>IF(COUNTIF(R495:R497,"Yes"),"Yes","No")</f>
        <v>Yes</v>
      </c>
      <c r="S498" s="27" t="str">
        <f>IF(COUNTIF(S495:S497,"Yes"),"Yes","No")</f>
        <v>Yes</v>
      </c>
      <c r="U498" s="27" t="s">
        <v>164</v>
      </c>
      <c r="V498" s="27" t="s">
        <v>5</v>
      </c>
      <c r="W498" s="27" t="str">
        <f>O498</f>
        <v>No</v>
      </c>
      <c r="X498" s="27" t="str">
        <f t="shared" si="219"/>
        <v>No</v>
      </c>
    </row>
    <row r="499" spans="1:38" x14ac:dyDescent="0.2">
      <c r="J499" s="27" t="s">
        <v>22</v>
      </c>
      <c r="K499" s="27">
        <v>2.5</v>
      </c>
      <c r="L499" s="27" t="s">
        <v>12</v>
      </c>
      <c r="M499" s="27" t="s">
        <v>43</v>
      </c>
      <c r="N499" s="27" t="str">
        <f>IF(K499="N/A","No", IF(K499&gt;5000,"Yes","No"))</f>
        <v>No</v>
      </c>
      <c r="O499" s="27" t="str">
        <f>IF(K499="Not","No",IF(K499="n/a","N/A",IF(K499&gt;$Y$2,"Yes","No")))</f>
        <v>No</v>
      </c>
      <c r="U499" s="27" t="s">
        <v>162</v>
      </c>
      <c r="V499" s="27" t="str">
        <f>R496</f>
        <v>Yes</v>
      </c>
      <c r="W499" s="27" t="str">
        <f>S496</f>
        <v>No</v>
      </c>
      <c r="X499" s="27" t="str">
        <f t="shared" si="219"/>
        <v>No</v>
      </c>
    </row>
    <row r="500" spans="1:38" x14ac:dyDescent="0.2">
      <c r="J500" s="27" t="s">
        <v>25</v>
      </c>
      <c r="K500" s="27">
        <v>5</v>
      </c>
      <c r="L500" s="27" t="s">
        <v>12</v>
      </c>
      <c r="M500" s="27" t="s">
        <v>126</v>
      </c>
      <c r="N500" s="27" t="str">
        <f>IF(K500="N/A","No", IF(K500&gt;20,"Yes","No"))</f>
        <v>No</v>
      </c>
      <c r="O500" s="27" t="str">
        <f t="shared" ref="O500:O501" si="220">IF(K500="Not","No",IF(K500="n/a","N/A",IF(K500&gt;$Y$6,"Yes","No")))</f>
        <v>No</v>
      </c>
      <c r="U500" s="27" t="s">
        <v>101</v>
      </c>
      <c r="V500" s="27" t="s">
        <v>5</v>
      </c>
      <c r="W500" s="27" t="s">
        <v>9</v>
      </c>
      <c r="X500" s="27" t="str">
        <f>IF(V500="N/A","N/A",IF(W500="N/A", "N/A", IF(V500=W500, "Yes","No")))</f>
        <v>No</v>
      </c>
    </row>
    <row r="501" spans="1:38" x14ac:dyDescent="0.2">
      <c r="J501" s="27" t="s">
        <v>29</v>
      </c>
      <c r="K501" s="27">
        <v>6</v>
      </c>
      <c r="L501" s="27" t="s">
        <v>12</v>
      </c>
      <c r="M501" s="27" t="s">
        <v>222</v>
      </c>
      <c r="N501" s="27" t="str">
        <f>IF(K501="N/A","No", IF(K501&gt;20,"Yes","No"))</f>
        <v>No</v>
      </c>
      <c r="O501" s="27" t="str">
        <f t="shared" si="220"/>
        <v>No</v>
      </c>
      <c r="U501" s="27" t="s">
        <v>104</v>
      </c>
      <c r="V501" s="27" t="s">
        <v>120</v>
      </c>
      <c r="W501" s="27" t="str">
        <f>O502</f>
        <v>No</v>
      </c>
      <c r="X501" s="27" t="str">
        <f>IF(V501="N/A","N/A",IF(W501="N/A", "N/A", IF(V501=W501, "Yes","No")))</f>
        <v>N/A</v>
      </c>
    </row>
    <row r="502" spans="1:38" x14ac:dyDescent="0.2">
      <c r="J502" s="27" t="s">
        <v>34</v>
      </c>
      <c r="K502" s="27">
        <v>21</v>
      </c>
      <c r="L502" s="27" t="s">
        <v>12</v>
      </c>
      <c r="M502" s="27" t="s">
        <v>210</v>
      </c>
      <c r="N502" s="27" t="str">
        <f>IF(K502="N/A","No", IF(K502&gt;230,"Yes","No"))</f>
        <v>No</v>
      </c>
      <c r="O502" s="27" t="str">
        <f>IF(K502="Not","No",IF(K502="n/a","N/A",IF(K502&gt;$Y$5,"Yes","No")))</f>
        <v>No</v>
      </c>
      <c r="U502" s="27" t="s">
        <v>106</v>
      </c>
      <c r="V502" s="27" t="str">
        <f>R497</f>
        <v>Yes</v>
      </c>
      <c r="W502" s="27" t="str">
        <f>S497</f>
        <v>No</v>
      </c>
      <c r="X502" s="27" t="str">
        <f>IF(V502="N/A","N/A",IF(W502="N/A", "N/A", IF(V502=W502, "Yes","No")))</f>
        <v>No</v>
      </c>
    </row>
    <row r="503" spans="1:38" x14ac:dyDescent="0.2">
      <c r="J503" s="27" t="s">
        <v>208</v>
      </c>
      <c r="K503" s="27">
        <v>346</v>
      </c>
      <c r="L503" s="27" t="s">
        <v>12</v>
      </c>
      <c r="M503" s="27" t="s">
        <v>223</v>
      </c>
      <c r="N503" s="27" t="str">
        <f>IF(K503="N/A","No", IF(K503&gt;20,"Yes","No"))</f>
        <v>Yes</v>
      </c>
      <c r="O503" s="27" t="str">
        <f>IF(K503="Not","No",IF(K503="n/a","N/A",IF(K503&gt;$Y$7,"Yes","No")))</f>
        <v>No</v>
      </c>
      <c r="U503" s="27" t="s">
        <v>121</v>
      </c>
      <c r="V503" s="27" t="str">
        <f>R498</f>
        <v>Yes</v>
      </c>
      <c r="W503" s="27" t="str">
        <f>S498</f>
        <v>Yes</v>
      </c>
      <c r="X503" s="27" t="str">
        <f>IF(V503="N/A","N/A",IF(W503="N/A", "N/A", IF(V503=W503, "Yes","No")))</f>
        <v>Yes</v>
      </c>
    </row>
    <row r="505" spans="1:38" x14ac:dyDescent="0.2">
      <c r="A505" s="27">
        <v>1160</v>
      </c>
      <c r="B505" s="27" t="s">
        <v>111</v>
      </c>
      <c r="C505" s="27">
        <v>35</v>
      </c>
    </row>
    <row r="506" spans="1:38" x14ac:dyDescent="0.2">
      <c r="A506" s="59" t="s">
        <v>0</v>
      </c>
      <c r="E506" s="27" t="s">
        <v>274</v>
      </c>
      <c r="F506" s="27" t="s">
        <v>275</v>
      </c>
      <c r="G506" s="27" t="s">
        <v>119</v>
      </c>
      <c r="J506" s="59" t="s">
        <v>1</v>
      </c>
      <c r="N506" s="27" t="s">
        <v>277</v>
      </c>
      <c r="O506" s="27" t="s">
        <v>278</v>
      </c>
      <c r="Q506" s="59" t="s">
        <v>115</v>
      </c>
      <c r="R506" s="59" t="s">
        <v>0</v>
      </c>
      <c r="S506" s="59" t="s">
        <v>1</v>
      </c>
      <c r="U506" s="59" t="s">
        <v>115</v>
      </c>
      <c r="V506" s="59" t="s">
        <v>0</v>
      </c>
      <c r="W506" s="59" t="s">
        <v>1</v>
      </c>
      <c r="X506" s="59" t="s">
        <v>122</v>
      </c>
      <c r="AA506" s="27" t="str">
        <f>IF(R507="Yes","LRA-Soil","")</f>
        <v>LRA-Soil</v>
      </c>
      <c r="AB506" s="27" t="str">
        <f>IF(R508="Yes","LRA-Paint","")</f>
        <v>LRA-Paint</v>
      </c>
      <c r="AC506" s="27" t="str">
        <f>IF(R509="Yes","LRA-Dust","")</f>
        <v>LRA-Dust</v>
      </c>
      <c r="AD506" s="27" t="str">
        <f>IF(S507="Yes","LSK-Soil","")</f>
        <v>LSK-Soil</v>
      </c>
      <c r="AE506" s="27" t="str">
        <f>IF(S508="Yes","LSK-Paint","")</f>
        <v/>
      </c>
      <c r="AF506" s="27" t="str">
        <f>IF(S509="Yes","LSK-Dust","")</f>
        <v/>
      </c>
      <c r="AI506" s="27" t="s">
        <v>46</v>
      </c>
      <c r="AJ506" s="27" t="s">
        <v>43</v>
      </c>
      <c r="AK506" s="27" t="s">
        <v>116</v>
      </c>
      <c r="AL506" s="27" t="s">
        <v>117</v>
      </c>
    </row>
    <row r="507" spans="1:38" x14ac:dyDescent="0.2">
      <c r="A507" s="27" t="s">
        <v>153</v>
      </c>
      <c r="B507" s="27" t="s">
        <v>24</v>
      </c>
      <c r="C507" s="27">
        <v>0.12</v>
      </c>
      <c r="D507" s="27" t="s">
        <v>4</v>
      </c>
      <c r="F507" s="27" t="str">
        <f t="shared" ref="F507" si="221">IF(C507&gt;=$W$2,"Yes","No")</f>
        <v>No</v>
      </c>
      <c r="G507" s="27" t="s">
        <v>9</v>
      </c>
      <c r="H507" s="27" t="s">
        <v>46</v>
      </c>
      <c r="J507" s="27" t="s">
        <v>6</v>
      </c>
      <c r="K507" s="27">
        <v>60.9</v>
      </c>
      <c r="L507" s="27" t="s">
        <v>12</v>
      </c>
      <c r="M507" s="27" t="s">
        <v>114</v>
      </c>
      <c r="N507" s="27" t="str">
        <f>IF(K507="N/A","No", IF(K507&gt;1200,"Yes","No"))</f>
        <v>No</v>
      </c>
      <c r="O507" s="27" t="str">
        <f t="shared" ref="O507:O509" si="222">IF(K507="Not","No",IF(K507="n/a","N/A",IF(K507&gt;$Y$3,"Yes","No")))</f>
        <v>No</v>
      </c>
      <c r="Q507" s="27" t="s">
        <v>116</v>
      </c>
      <c r="R507" s="27" t="str">
        <f>_xlfn.XLOOKUP("mg/Kg",D507:D510,F507:F510,"N/A")</f>
        <v>Yes</v>
      </c>
      <c r="S507" s="27" t="str">
        <f>IF(COUNTIF(O507:O509,"Yes"),"Yes","No")</f>
        <v>Yes</v>
      </c>
      <c r="U507" s="27" t="s">
        <v>92</v>
      </c>
      <c r="V507" s="27" t="s">
        <v>120</v>
      </c>
      <c r="W507" s="27" t="s">
        <v>120</v>
      </c>
      <c r="X507" s="27" t="str">
        <f>IF(V507="N/A","N/A",IF(W507="N/A", "N/A", IF(V507=W507, "Yes","No")))</f>
        <v>N/A</v>
      </c>
      <c r="AI507" s="27">
        <f>COUNTIF(H506:H512,"Exterior")</f>
        <v>1</v>
      </c>
      <c r="AJ507" s="27">
        <f>COUNTIF(H506:H512, "Interior")</f>
        <v>3</v>
      </c>
      <c r="AK507" s="27">
        <f>COUNTIFS(D506:D512,"ppm")+COUNTIFS(D506:D512,"mg/Kg")</f>
        <v>1</v>
      </c>
      <c r="AL507" s="27">
        <f>COUNTIF(D506:D512,"ug/ft2")</f>
        <v>1</v>
      </c>
    </row>
    <row r="508" spans="1:38" x14ac:dyDescent="0.2">
      <c r="A508" s="27" t="s">
        <v>75</v>
      </c>
      <c r="B508" s="27" t="s">
        <v>205</v>
      </c>
      <c r="C508" s="27">
        <v>1280</v>
      </c>
      <c r="D508" s="27" t="s">
        <v>37</v>
      </c>
      <c r="F508" s="27" t="str">
        <f>IF(C508&gt;$W$3,"Yes","No")</f>
        <v>Yes</v>
      </c>
      <c r="G508" s="27" t="s">
        <v>5</v>
      </c>
      <c r="J508" s="27" t="s">
        <v>11</v>
      </c>
      <c r="K508" s="27">
        <v>317</v>
      </c>
      <c r="L508" s="27" t="s">
        <v>12</v>
      </c>
      <c r="M508" s="27" t="s">
        <v>67</v>
      </c>
      <c r="N508" s="27" t="str">
        <f t="shared" ref="N508:N509" si="223">IF(K508="N/A","No", IF(K508&gt;1200,"Yes","No"))</f>
        <v>No</v>
      </c>
      <c r="O508" s="27" t="str">
        <f t="shared" si="222"/>
        <v>No</v>
      </c>
      <c r="Q508" s="27" t="s">
        <v>98</v>
      </c>
      <c r="R508" s="63" t="s">
        <v>5</v>
      </c>
      <c r="S508" s="27" t="str">
        <f>IF(COUNTIF(O510:O511,"Yes"),"Yes","No")</f>
        <v>No</v>
      </c>
      <c r="U508" s="27" t="s">
        <v>95</v>
      </c>
      <c r="V508" s="27" t="str">
        <f>R507</f>
        <v>Yes</v>
      </c>
      <c r="W508" s="27" t="str">
        <f>S507</f>
        <v>Yes</v>
      </c>
      <c r="X508" s="27" t="str">
        <f t="shared" ref="X508:X511" si="224">IF(V508="N/A","N/A",IF(W508="N/A", "N/A", IF(V508=W508, "Yes","No")))</f>
        <v>Yes</v>
      </c>
    </row>
    <row r="509" spans="1:38" x14ac:dyDescent="0.2">
      <c r="A509" s="27" t="s">
        <v>109</v>
      </c>
      <c r="B509" s="27" t="s">
        <v>174</v>
      </c>
      <c r="C509" s="27">
        <v>3.9</v>
      </c>
      <c r="D509" s="27" t="s">
        <v>4</v>
      </c>
      <c r="F509" s="27" t="str">
        <f t="shared" ref="F509:F511" si="225">IF(C509&gt;=$W$2,"Yes","No")</f>
        <v>Yes</v>
      </c>
      <c r="G509" s="27" t="s">
        <v>5</v>
      </c>
      <c r="H509" s="27" t="s">
        <v>43</v>
      </c>
      <c r="J509" s="27" t="s">
        <v>15</v>
      </c>
      <c r="K509" s="27">
        <v>878</v>
      </c>
      <c r="L509" s="27" t="s">
        <v>12</v>
      </c>
      <c r="M509" s="27" t="s">
        <v>112</v>
      </c>
      <c r="N509" s="27" t="str">
        <f t="shared" si="223"/>
        <v>No</v>
      </c>
      <c r="O509" s="27" t="str">
        <f t="shared" si="222"/>
        <v>Yes</v>
      </c>
      <c r="Q509" s="27" t="s">
        <v>117</v>
      </c>
      <c r="R509" s="27" t="str">
        <f>_xlfn.XLOOKUP("ug/ft2",D507:D512,F507:F512,"N/A")</f>
        <v>Yes</v>
      </c>
      <c r="S509" s="27" t="str">
        <f>IF(COUNTIF(O512:O515,"Yes"),"Yes","No")</f>
        <v>No</v>
      </c>
      <c r="U509" s="27" t="s">
        <v>163</v>
      </c>
      <c r="V509" s="27" t="s">
        <v>5</v>
      </c>
      <c r="W509" s="27" t="str">
        <f>O511</f>
        <v>No</v>
      </c>
      <c r="X509" s="27" t="str">
        <f t="shared" si="224"/>
        <v>No</v>
      </c>
    </row>
    <row r="510" spans="1:38" x14ac:dyDescent="0.2">
      <c r="A510" s="27" t="s">
        <v>293</v>
      </c>
      <c r="B510" s="27" t="s">
        <v>24</v>
      </c>
      <c r="C510" s="27">
        <v>3.5</v>
      </c>
      <c r="D510" s="27" t="s">
        <v>4</v>
      </c>
      <c r="F510" s="27" t="str">
        <f t="shared" si="225"/>
        <v>Yes</v>
      </c>
      <c r="G510" s="27" t="s">
        <v>5</v>
      </c>
      <c r="H510" s="27" t="s">
        <v>43</v>
      </c>
      <c r="J510" s="27" t="s">
        <v>19</v>
      </c>
      <c r="K510" s="27">
        <v>72</v>
      </c>
      <c r="L510" s="27" t="s">
        <v>12</v>
      </c>
      <c r="M510" s="27" t="s">
        <v>46</v>
      </c>
      <c r="N510" s="27" t="str">
        <f>IF(K510="N/A","No", IF(K510&gt;5000,"Yes","No"))</f>
        <v>No</v>
      </c>
      <c r="O510" s="27" t="str">
        <f>IF(K510="Not","No",IF(K510="n/a","N/A",IF(K510&gt;$Y$2,"Yes","No")))</f>
        <v>No</v>
      </c>
      <c r="Q510" s="27" t="s">
        <v>118</v>
      </c>
      <c r="R510" s="27" t="str">
        <f>IF(COUNTIF(R507:R509,"Yes"),"Yes","No")</f>
        <v>Yes</v>
      </c>
      <c r="S510" s="27" t="str">
        <f>IF(COUNTIF(S507:S509,"Yes"),"Yes","No")</f>
        <v>Yes</v>
      </c>
      <c r="U510" s="27" t="s">
        <v>164</v>
      </c>
      <c r="V510" s="27" t="s">
        <v>9</v>
      </c>
      <c r="W510" s="27" t="str">
        <f>O510</f>
        <v>No</v>
      </c>
      <c r="X510" s="27" t="str">
        <f t="shared" si="224"/>
        <v>Yes</v>
      </c>
    </row>
    <row r="511" spans="1:38" x14ac:dyDescent="0.2">
      <c r="A511" s="27" t="s">
        <v>71</v>
      </c>
      <c r="B511" s="27" t="s">
        <v>77</v>
      </c>
      <c r="C511" s="27">
        <v>0</v>
      </c>
      <c r="D511" s="27" t="s">
        <v>4</v>
      </c>
      <c r="F511" s="27" t="str">
        <f t="shared" si="225"/>
        <v>No</v>
      </c>
      <c r="G511" s="27" t="s">
        <v>9</v>
      </c>
      <c r="H511" s="27" t="s">
        <v>43</v>
      </c>
      <c r="J511" s="27" t="s">
        <v>22</v>
      </c>
      <c r="K511" s="27">
        <v>405</v>
      </c>
      <c r="L511" s="27" t="s">
        <v>12</v>
      </c>
      <c r="M511" s="27" t="s">
        <v>43</v>
      </c>
      <c r="N511" s="27" t="str">
        <f>IF(K511="N/A","No", IF(K511&gt;5000,"Yes","No"))</f>
        <v>No</v>
      </c>
      <c r="O511" s="27" t="str">
        <f>IF(K511="Not","No",IF(K511="n/a","N/A",IF(K511&gt;$Y$2,"Yes","No")))</f>
        <v>No</v>
      </c>
      <c r="U511" s="27" t="s">
        <v>162</v>
      </c>
      <c r="V511" s="27" t="str">
        <f>R508</f>
        <v>Yes</v>
      </c>
      <c r="W511" s="27" t="str">
        <f>S508</f>
        <v>No</v>
      </c>
      <c r="X511" s="27" t="str">
        <f t="shared" si="224"/>
        <v>No</v>
      </c>
    </row>
    <row r="512" spans="1:38" x14ac:dyDescent="0.2">
      <c r="A512" s="27" t="s">
        <v>64</v>
      </c>
      <c r="B512" s="27" t="s">
        <v>54</v>
      </c>
      <c r="C512" s="27">
        <v>1400</v>
      </c>
      <c r="D512" s="27" t="s">
        <v>33</v>
      </c>
      <c r="F512" s="27" t="str">
        <f>IF(C512&gt;$W$5,"Yes","No")</f>
        <v>Yes</v>
      </c>
      <c r="G512" s="27" t="s">
        <v>5</v>
      </c>
      <c r="J512" s="27" t="s">
        <v>25</v>
      </c>
      <c r="K512" s="27">
        <v>5</v>
      </c>
      <c r="L512" s="27" t="s">
        <v>12</v>
      </c>
      <c r="M512" s="27" t="s">
        <v>126</v>
      </c>
      <c r="N512" s="27" t="str">
        <f>IF(K512="N/A","No", IF(K512&gt;20,"Yes","No"))</f>
        <v>No</v>
      </c>
      <c r="O512" s="27" t="str">
        <f t="shared" ref="O512:O513" si="226">IF(K512="Not","No",IF(K512="n/a","N/A",IF(K512&gt;$Y$6,"Yes","No")))</f>
        <v>No</v>
      </c>
      <c r="U512" s="27" t="s">
        <v>101</v>
      </c>
      <c r="V512" s="27" t="s">
        <v>120</v>
      </c>
      <c r="W512" s="27" t="s">
        <v>9</v>
      </c>
      <c r="X512" s="27" t="str">
        <f>IF(V512="N/A","N/A",IF(W512="N/A", "N/A", IF(V512=W512, "Yes","No")))</f>
        <v>N/A</v>
      </c>
    </row>
    <row r="513" spans="1:38" x14ac:dyDescent="0.2">
      <c r="J513" s="27" t="s">
        <v>29</v>
      </c>
      <c r="K513" s="27">
        <v>4</v>
      </c>
      <c r="L513" s="27" t="s">
        <v>12</v>
      </c>
      <c r="M513" s="27" t="s">
        <v>222</v>
      </c>
      <c r="N513" s="27" t="str">
        <f>IF(K513="N/A","No", IF(K513&gt;20,"Yes","No"))</f>
        <v>No</v>
      </c>
      <c r="O513" s="27" t="str">
        <f t="shared" si="226"/>
        <v>No</v>
      </c>
      <c r="U513" s="27" t="s">
        <v>104</v>
      </c>
      <c r="V513" s="27" t="s">
        <v>5</v>
      </c>
      <c r="W513" s="27" t="str">
        <f>O514</f>
        <v>No</v>
      </c>
      <c r="X513" s="27" t="str">
        <f>IF(V513="N/A","N/A",IF(W513="N/A", "N/A", IF(V513=W513, "Yes","No")))</f>
        <v>No</v>
      </c>
    </row>
    <row r="514" spans="1:38" x14ac:dyDescent="0.2">
      <c r="J514" s="27" t="s">
        <v>34</v>
      </c>
      <c r="K514" s="27">
        <v>2.5</v>
      </c>
      <c r="L514" s="27" t="s">
        <v>12</v>
      </c>
      <c r="M514" s="27" t="s">
        <v>210</v>
      </c>
      <c r="N514" s="27" t="str">
        <f>IF(K514="N/A","No", IF(K514&gt;230,"Yes","No"))</f>
        <v>No</v>
      </c>
      <c r="O514" s="27" t="str">
        <f>IF(K514="Not","No",IF(K514="n/a","N/A",IF(K514&gt;$Y$5,"Yes","No")))</f>
        <v>No</v>
      </c>
      <c r="U514" s="27" t="s">
        <v>106</v>
      </c>
      <c r="V514" s="27" t="str">
        <f>R509</f>
        <v>Yes</v>
      </c>
      <c r="W514" s="27" t="str">
        <f>S509</f>
        <v>No</v>
      </c>
      <c r="X514" s="27" t="str">
        <f>IF(V514="N/A","N/A",IF(W514="N/A", "N/A", IF(V514=W514, "Yes","No")))</f>
        <v>No</v>
      </c>
    </row>
    <row r="515" spans="1:38" x14ac:dyDescent="0.2">
      <c r="J515" s="27" t="s">
        <v>208</v>
      </c>
      <c r="K515" s="27">
        <v>134</v>
      </c>
      <c r="L515" s="27" t="s">
        <v>12</v>
      </c>
      <c r="M515" s="27" t="s">
        <v>223</v>
      </c>
      <c r="N515" s="27" t="str">
        <f>IF(K515="N/A","No", IF(K515&gt;20,"Yes","No"))</f>
        <v>Yes</v>
      </c>
      <c r="O515" s="27" t="str">
        <f>IF(K515="Not","No",IF(K515="n/a","N/A",IF(K515&gt;$Y$7,"Yes","No")))</f>
        <v>No</v>
      </c>
      <c r="U515" s="27" t="s">
        <v>121</v>
      </c>
      <c r="V515" s="27" t="str">
        <f>R510</f>
        <v>Yes</v>
      </c>
      <c r="W515" s="27" t="str">
        <f>S510</f>
        <v>Yes</v>
      </c>
      <c r="X515" s="27" t="str">
        <f>IF(V515="N/A","N/A",IF(W515="N/A", "N/A", IF(V515=W515, "Yes","No")))</f>
        <v>Yes</v>
      </c>
    </row>
    <row r="517" spans="1:38" x14ac:dyDescent="0.2">
      <c r="A517" s="27">
        <v>1165</v>
      </c>
      <c r="B517" s="27" t="s">
        <v>111</v>
      </c>
      <c r="C517" s="27">
        <v>36</v>
      </c>
    </row>
    <row r="518" spans="1:38" x14ac:dyDescent="0.2">
      <c r="A518" s="59" t="s">
        <v>0</v>
      </c>
      <c r="E518" s="27" t="s">
        <v>274</v>
      </c>
      <c r="F518" s="27" t="s">
        <v>275</v>
      </c>
      <c r="G518" s="27" t="s">
        <v>119</v>
      </c>
      <c r="J518" s="59" t="s">
        <v>1</v>
      </c>
      <c r="N518" s="27" t="s">
        <v>277</v>
      </c>
      <c r="O518" s="27" t="s">
        <v>278</v>
      </c>
      <c r="Q518" s="59" t="s">
        <v>115</v>
      </c>
      <c r="R518" s="59" t="s">
        <v>0</v>
      </c>
      <c r="S518" s="59" t="s">
        <v>1</v>
      </c>
      <c r="U518" s="59" t="s">
        <v>115</v>
      </c>
      <c r="V518" s="59" t="s">
        <v>0</v>
      </c>
      <c r="W518" s="59" t="s">
        <v>1</v>
      </c>
      <c r="X518" s="59" t="s">
        <v>122</v>
      </c>
      <c r="AA518" s="27" t="str">
        <f>IF(R519="Yes","LRA-Soil","")</f>
        <v/>
      </c>
      <c r="AB518" s="27" t="str">
        <f>IF(R520="Yes","LRA-Paint","")</f>
        <v/>
      </c>
      <c r="AC518" s="27" t="str">
        <f>IF(R521="Yes","LRA-Dust","")</f>
        <v/>
      </c>
      <c r="AD518" s="27" t="str">
        <f>IF(S519="Yes","LSK-Soil","")</f>
        <v/>
      </c>
      <c r="AE518" s="27" t="str">
        <f>IF(S520="Yes","LSK-Paint","")</f>
        <v/>
      </c>
      <c r="AF518" s="27" t="str">
        <f>IF(S521="Yes","LSK-Dust","")</f>
        <v/>
      </c>
      <c r="AI518" s="27" t="s">
        <v>46</v>
      </c>
      <c r="AJ518" s="27" t="s">
        <v>43</v>
      </c>
      <c r="AK518" s="27" t="s">
        <v>116</v>
      </c>
      <c r="AL518" s="27" t="s">
        <v>117</v>
      </c>
    </row>
    <row r="519" spans="1:38" x14ac:dyDescent="0.2">
      <c r="A519" s="27" t="s">
        <v>185</v>
      </c>
      <c r="B519" s="27" t="s">
        <v>221</v>
      </c>
      <c r="C519" s="27">
        <v>0</v>
      </c>
      <c r="D519" s="27" t="s">
        <v>4</v>
      </c>
      <c r="E519" s="27" t="s">
        <v>9</v>
      </c>
      <c r="F519" s="27" t="str">
        <f t="shared" ref="F519" si="227">IF(C519&gt;=$W$2,"Yes","No")</f>
        <v>No</v>
      </c>
      <c r="G519" s="27" t="s">
        <v>9</v>
      </c>
      <c r="H519" s="27" t="s">
        <v>46</v>
      </c>
      <c r="J519" s="27" t="s">
        <v>6</v>
      </c>
      <c r="K519" s="27">
        <v>23.8</v>
      </c>
      <c r="L519" s="27" t="s">
        <v>12</v>
      </c>
      <c r="M519" s="27" t="s">
        <v>114</v>
      </c>
      <c r="N519" s="27" t="str">
        <f>IF(K519="N/A","No", IF(K519&gt;1200,"Yes","No"))</f>
        <v>No</v>
      </c>
      <c r="O519" s="27" t="str">
        <f t="shared" ref="O519:O521" si="228">IF(K519="Not","No",IF(K519="n/a","N/A",IF(K519&gt;$Y$3,"Yes","No")))</f>
        <v>No</v>
      </c>
      <c r="Q519" s="27" t="s">
        <v>116</v>
      </c>
      <c r="R519" s="27" t="str">
        <f>_xlfn.XLOOKUP("ppm",D519:D522,F519:F522,"N/A")</f>
        <v>No</v>
      </c>
      <c r="S519" s="27" t="str">
        <f>IF(COUNTIF(O519:O521,"Yes"),"Yes","No")</f>
        <v>No</v>
      </c>
      <c r="U519" s="27" t="s">
        <v>92</v>
      </c>
      <c r="V519" s="27" t="s">
        <v>120</v>
      </c>
      <c r="W519" s="27" t="s">
        <v>120</v>
      </c>
      <c r="X519" s="27" t="str">
        <f>IF(V519="N/A","N/A",IF(W519="N/A", "N/A", IF(V519=W519, "Yes","No")))</f>
        <v>N/A</v>
      </c>
      <c r="AI519" s="27">
        <f>COUNTIF(H518:H522,"Exterior")</f>
        <v>1</v>
      </c>
      <c r="AJ519" s="27">
        <f>COUNTIF(H518:H522, "Interior")</f>
        <v>1</v>
      </c>
      <c r="AK519" s="27">
        <f>COUNTIFS(D518:D522,"ppm")+COUNTIFS(D518:D522,"mg/Kg")</f>
        <v>1</v>
      </c>
      <c r="AL519" s="27">
        <f>COUNTIF(D518:D522,"ug/ft2")</f>
        <v>1</v>
      </c>
    </row>
    <row r="520" spans="1:38" x14ac:dyDescent="0.2">
      <c r="A520" s="27" t="s">
        <v>200</v>
      </c>
      <c r="B520" s="27" t="s">
        <v>286</v>
      </c>
      <c r="C520" s="27">
        <v>12.8</v>
      </c>
      <c r="D520" s="27" t="s">
        <v>12</v>
      </c>
      <c r="E520" s="27" t="s">
        <v>9</v>
      </c>
      <c r="F520" s="27" t="str">
        <f>IF(C520&gt;$W$3,"Yes","No")</f>
        <v>No</v>
      </c>
      <c r="G520" s="27" t="s">
        <v>9</v>
      </c>
      <c r="J520" s="27" t="s">
        <v>11</v>
      </c>
      <c r="K520" s="27">
        <v>23.3</v>
      </c>
      <c r="L520" s="27" t="s">
        <v>12</v>
      </c>
      <c r="M520" s="27" t="s">
        <v>67</v>
      </c>
      <c r="N520" s="27" t="str">
        <f t="shared" ref="N520:N521" si="229">IF(K520="N/A","No", IF(K520&gt;1200,"Yes","No"))</f>
        <v>No</v>
      </c>
      <c r="O520" s="27" t="str">
        <f t="shared" si="228"/>
        <v>No</v>
      </c>
      <c r="Q520" s="27" t="s">
        <v>98</v>
      </c>
      <c r="R520" s="27" t="str">
        <f>_xlfn.XLOOKUP("mg/cm2",D519:D522,G519:G522,"N/A")</f>
        <v>No</v>
      </c>
      <c r="S520" s="27" t="str">
        <f>IF(COUNTIF(O522:O523,"Yes"),"Yes","No")</f>
        <v>No</v>
      </c>
      <c r="U520" s="27" t="s">
        <v>95</v>
      </c>
      <c r="V520" s="27" t="str">
        <f>R519</f>
        <v>No</v>
      </c>
      <c r="W520" s="27" t="str">
        <f>S519</f>
        <v>No</v>
      </c>
      <c r="X520" s="27" t="str">
        <f t="shared" ref="X520:X523" si="230">IF(V520="N/A","N/A",IF(W520="N/A", "N/A", IF(V520=W520, "Yes","No")))</f>
        <v>Yes</v>
      </c>
    </row>
    <row r="521" spans="1:38" x14ac:dyDescent="0.2">
      <c r="A521" s="27" t="s">
        <v>239</v>
      </c>
      <c r="B521" s="27" t="s">
        <v>221</v>
      </c>
      <c r="C521" s="27">
        <v>0.01</v>
      </c>
      <c r="D521" s="27" t="s">
        <v>4</v>
      </c>
      <c r="E521" s="27" t="s">
        <v>9</v>
      </c>
      <c r="F521" s="27" t="str">
        <f t="shared" ref="F521" si="231">IF(C521&gt;=$W$2,"Yes","No")</f>
        <v>No</v>
      </c>
      <c r="G521" s="27" t="s">
        <v>9</v>
      </c>
      <c r="H521" s="27" t="s">
        <v>43</v>
      </c>
      <c r="J521" s="27" t="s">
        <v>15</v>
      </c>
      <c r="K521" s="27">
        <v>24.2</v>
      </c>
      <c r="L521" s="27" t="s">
        <v>12</v>
      </c>
      <c r="M521" s="27" t="s">
        <v>112</v>
      </c>
      <c r="N521" s="27" t="str">
        <f t="shared" si="229"/>
        <v>No</v>
      </c>
      <c r="O521" s="27" t="str">
        <f t="shared" si="228"/>
        <v>No</v>
      </c>
      <c r="Q521" s="27" t="s">
        <v>117</v>
      </c>
      <c r="R521" s="27" t="str">
        <f>_xlfn.XLOOKUP("ug/ft2",D519:D522,F519:F522,"N/A")</f>
        <v>No</v>
      </c>
      <c r="S521" s="27" t="str">
        <f>IF(COUNTIF(O524:O527,"Yes"),"Yes","No")</f>
        <v>No</v>
      </c>
      <c r="U521" s="27" t="s">
        <v>163</v>
      </c>
      <c r="V521" s="27" t="s">
        <v>9</v>
      </c>
      <c r="W521" s="27" t="str">
        <f>O523</f>
        <v>No</v>
      </c>
      <c r="X521" s="27" t="str">
        <f t="shared" si="230"/>
        <v>Yes</v>
      </c>
    </row>
    <row r="522" spans="1:38" x14ac:dyDescent="0.2">
      <c r="A522" s="27" t="s">
        <v>213</v>
      </c>
      <c r="B522" s="27" t="s">
        <v>192</v>
      </c>
      <c r="C522" s="27">
        <v>24.6</v>
      </c>
      <c r="D522" s="27" t="s">
        <v>33</v>
      </c>
      <c r="E522" s="27" t="s">
        <v>9</v>
      </c>
      <c r="F522" s="27" t="str">
        <f>IF(C522&gt;$W$5,"Yes","No")</f>
        <v>No</v>
      </c>
      <c r="G522" s="27" t="s">
        <v>9</v>
      </c>
      <c r="J522" s="27" t="s">
        <v>19</v>
      </c>
      <c r="K522" s="27">
        <v>36</v>
      </c>
      <c r="L522" s="27" t="s">
        <v>12</v>
      </c>
      <c r="M522" s="27" t="s">
        <v>46</v>
      </c>
      <c r="N522" s="27" t="str">
        <f>IF(K522="N/A","No", IF(K522&gt;5000,"Yes","No"))</f>
        <v>No</v>
      </c>
      <c r="O522" s="27" t="str">
        <f>IF(K522="Not","No",IF(K522="n/a","N/A",IF(K522&gt;$Y$2,"Yes","No")))</f>
        <v>No</v>
      </c>
      <c r="Q522" s="27" t="s">
        <v>118</v>
      </c>
      <c r="R522" s="27" t="str">
        <f>IF(COUNTIF(R519:R521,"Yes"),"Yes","No")</f>
        <v>No</v>
      </c>
      <c r="S522" s="27" t="str">
        <f>IF(COUNTIF(S519:S521,"Yes"),"Yes","No")</f>
        <v>No</v>
      </c>
      <c r="U522" s="27" t="s">
        <v>164</v>
      </c>
      <c r="V522" s="27" t="s">
        <v>9</v>
      </c>
      <c r="W522" s="27" t="str">
        <f>O522</f>
        <v>No</v>
      </c>
      <c r="X522" s="27" t="str">
        <f t="shared" si="230"/>
        <v>Yes</v>
      </c>
    </row>
    <row r="523" spans="1:38" x14ac:dyDescent="0.2">
      <c r="J523" s="27" t="s">
        <v>22</v>
      </c>
      <c r="K523" s="27">
        <v>2.5</v>
      </c>
      <c r="L523" s="27" t="s">
        <v>12</v>
      </c>
      <c r="M523" s="27" t="s">
        <v>43</v>
      </c>
      <c r="N523" s="27" t="str">
        <f>IF(K523="N/A","No", IF(K523&gt;5000,"Yes","No"))</f>
        <v>No</v>
      </c>
      <c r="O523" s="27" t="str">
        <f>IF(K523="Not","No",IF(K523="n/a","N/A",IF(K523&gt;$Y$2,"Yes","No")))</f>
        <v>No</v>
      </c>
      <c r="U523" s="27" t="s">
        <v>162</v>
      </c>
      <c r="V523" s="27" t="str">
        <f>R520</f>
        <v>No</v>
      </c>
      <c r="W523" s="27" t="str">
        <f>S520</f>
        <v>No</v>
      </c>
      <c r="X523" s="27" t="str">
        <f t="shared" si="230"/>
        <v>Yes</v>
      </c>
    </row>
    <row r="524" spans="1:38" x14ac:dyDescent="0.2">
      <c r="J524" s="27" t="s">
        <v>25</v>
      </c>
      <c r="K524" s="27">
        <v>2.5</v>
      </c>
      <c r="L524" s="27" t="s">
        <v>12</v>
      </c>
      <c r="M524" s="27" t="s">
        <v>126</v>
      </c>
      <c r="N524" s="27" t="str">
        <f>IF(K524="N/A","No", IF(K524&gt;20,"Yes","No"))</f>
        <v>No</v>
      </c>
      <c r="O524" s="27" t="str">
        <f t="shared" ref="O524:O525" si="232">IF(K524="Not","No",IF(K524="n/a","N/A",IF(K524&gt;$Y$6,"Yes","No")))</f>
        <v>No</v>
      </c>
      <c r="U524" s="27" t="s">
        <v>101</v>
      </c>
      <c r="V524" s="27" t="s">
        <v>120</v>
      </c>
      <c r="W524" s="27" t="s">
        <v>9</v>
      </c>
      <c r="X524" s="27" t="str">
        <f>IF(V524="N/A","N/A",IF(W524="N/A", "N/A", IF(V524=W524, "Yes","No")))</f>
        <v>N/A</v>
      </c>
    </row>
    <row r="525" spans="1:38" x14ac:dyDescent="0.2">
      <c r="J525" s="27" t="s">
        <v>29</v>
      </c>
      <c r="K525" s="27">
        <v>2.5</v>
      </c>
      <c r="L525" s="27" t="s">
        <v>12</v>
      </c>
      <c r="M525" s="27" t="s">
        <v>222</v>
      </c>
      <c r="N525" s="27" t="str">
        <f>IF(K525="N/A","No", IF(K525&gt;20,"Yes","No"))</f>
        <v>No</v>
      </c>
      <c r="O525" s="27" t="str">
        <f t="shared" si="232"/>
        <v>No</v>
      </c>
      <c r="U525" s="27" t="s">
        <v>104</v>
      </c>
      <c r="V525" s="27" t="s">
        <v>9</v>
      </c>
      <c r="W525" s="27" t="str">
        <f>O526</f>
        <v>No</v>
      </c>
      <c r="X525" s="27" t="str">
        <f>IF(V525="N/A","N/A",IF(W525="N/A", "N/A", IF(V525=W525, "Yes","No")))</f>
        <v>Yes</v>
      </c>
    </row>
    <row r="526" spans="1:38" x14ac:dyDescent="0.2">
      <c r="J526" s="27" t="s">
        <v>34</v>
      </c>
      <c r="K526" s="27">
        <v>2.5</v>
      </c>
      <c r="L526" s="27" t="s">
        <v>12</v>
      </c>
      <c r="M526" s="27" t="s">
        <v>210</v>
      </c>
      <c r="N526" s="27" t="str">
        <f>IF(K526="N/A","No", IF(K526&gt;230,"Yes","No"))</f>
        <v>No</v>
      </c>
      <c r="O526" s="27" t="str">
        <f>IF(K526="Not","No",IF(K526="n/a","N/A",IF(K526&gt;$Y$5,"Yes","No")))</f>
        <v>No</v>
      </c>
      <c r="U526" s="27" t="s">
        <v>106</v>
      </c>
      <c r="V526" s="27" t="str">
        <f>R521</f>
        <v>No</v>
      </c>
      <c r="W526" s="27" t="str">
        <f>S521</f>
        <v>No</v>
      </c>
      <c r="X526" s="27" t="str">
        <f>IF(V526="N/A","N/A",IF(W526="N/A", "N/A", IF(V526=W526, "Yes","No")))</f>
        <v>Yes</v>
      </c>
    </row>
    <row r="527" spans="1:38" x14ac:dyDescent="0.2">
      <c r="J527" s="27" t="s">
        <v>208</v>
      </c>
      <c r="K527" s="27">
        <v>9</v>
      </c>
      <c r="L527" s="27" t="s">
        <v>12</v>
      </c>
      <c r="M527" s="27" t="s">
        <v>223</v>
      </c>
      <c r="N527" s="27" t="str">
        <f>IF(K527="N/A","No", IF(K527&gt;20,"Yes","No"))</f>
        <v>No</v>
      </c>
      <c r="O527" s="27" t="str">
        <f>IF(K527="Not","No",IF(K527="n/a","N/A",IF(K527&gt;$Y$7,"Yes","No")))</f>
        <v>No</v>
      </c>
      <c r="U527" s="27" t="s">
        <v>121</v>
      </c>
      <c r="V527" s="27" t="str">
        <f>R522</f>
        <v>No</v>
      </c>
      <c r="W527" s="27" t="str">
        <f>S522</f>
        <v>No</v>
      </c>
      <c r="X527" s="27" t="str">
        <f>IF(V527="N/A","N/A",IF(W527="N/A", "N/A", IF(V527=W527, "Yes","No")))</f>
        <v>Yes</v>
      </c>
    </row>
    <row r="529" spans="1:38" x14ac:dyDescent="0.2">
      <c r="A529" s="57">
        <v>1168</v>
      </c>
      <c r="B529" s="27" t="s">
        <v>111</v>
      </c>
      <c r="C529" s="27">
        <v>37</v>
      </c>
    </row>
    <row r="530" spans="1:38" x14ac:dyDescent="0.2">
      <c r="A530" s="59" t="s">
        <v>0</v>
      </c>
      <c r="E530" s="27" t="s">
        <v>274</v>
      </c>
      <c r="F530" s="27" t="s">
        <v>275</v>
      </c>
      <c r="G530" s="27" t="s">
        <v>119</v>
      </c>
      <c r="J530" s="59" t="s">
        <v>1</v>
      </c>
      <c r="N530" s="27" t="s">
        <v>277</v>
      </c>
      <c r="O530" s="27" t="s">
        <v>278</v>
      </c>
      <c r="Q530" s="59" t="s">
        <v>115</v>
      </c>
      <c r="R530" s="59" t="s">
        <v>0</v>
      </c>
      <c r="S530" s="59" t="s">
        <v>1</v>
      </c>
      <c r="U530" s="59" t="s">
        <v>115</v>
      </c>
      <c r="V530" s="59" t="s">
        <v>0</v>
      </c>
      <c r="W530" s="59" t="s">
        <v>1</v>
      </c>
      <c r="X530" s="59" t="s">
        <v>122</v>
      </c>
      <c r="AA530" s="27" t="str">
        <f>IF(R531="Yes","LRA-Soil","")</f>
        <v/>
      </c>
      <c r="AB530" s="27" t="str">
        <f>IF(R532="Yes","LRA-Paint","")</f>
        <v>LRA-Paint</v>
      </c>
      <c r="AC530" s="27" t="str">
        <f>IF(R533="Yes","LRA-Dust","")</f>
        <v>LRA-Dust</v>
      </c>
      <c r="AD530" s="27" t="str">
        <f>IF(S531="Yes","LSK-Soil","")</f>
        <v/>
      </c>
      <c r="AE530" s="27" t="str">
        <f>IF(S532="Yes","LSK-Paint","")</f>
        <v/>
      </c>
      <c r="AF530" s="27" t="str">
        <f>IF(S533="Yes","LSK-Dust","")</f>
        <v/>
      </c>
      <c r="AI530" s="27" t="s">
        <v>46</v>
      </c>
      <c r="AJ530" s="27" t="s">
        <v>43</v>
      </c>
      <c r="AK530" s="27" t="s">
        <v>116</v>
      </c>
      <c r="AL530" s="27" t="s">
        <v>117</v>
      </c>
    </row>
    <row r="531" spans="1:38" x14ac:dyDescent="0.2">
      <c r="A531" s="27" t="s">
        <v>235</v>
      </c>
      <c r="B531" s="27" t="s">
        <v>221</v>
      </c>
      <c r="C531" s="27">
        <v>1.4</v>
      </c>
      <c r="D531" s="27" t="s">
        <v>4</v>
      </c>
      <c r="E531" s="27" t="s">
        <v>5</v>
      </c>
      <c r="F531" s="27" t="str">
        <f t="shared" ref="F531:F536" si="233">IF(C531&gt;=$W$2,"Yes","No")</f>
        <v>Yes</v>
      </c>
      <c r="G531" s="27" t="s">
        <v>5</v>
      </c>
      <c r="H531" s="27" t="s">
        <v>46</v>
      </c>
      <c r="J531" s="27" t="s">
        <v>6</v>
      </c>
      <c r="K531" s="27">
        <v>23.8</v>
      </c>
      <c r="L531" s="27" t="s">
        <v>12</v>
      </c>
      <c r="M531" s="27" t="s">
        <v>114</v>
      </c>
      <c r="N531" s="27" t="str">
        <f>IF(K531="N/A","No", IF(K531&gt;1200,"Yes","No"))</f>
        <v>No</v>
      </c>
      <c r="O531" s="27" t="str">
        <f t="shared" ref="O531:O533" si="234">IF(K531="Not","No",IF(K531="n/a","N/A",IF(K531&gt;$Y$3,"Yes","No")))</f>
        <v>No</v>
      </c>
      <c r="Q531" s="27" t="s">
        <v>116</v>
      </c>
      <c r="R531" s="27" t="str">
        <f>_xlfn.XLOOKUP("mg/Kg",D531:D539,F531:F539,"N/A")</f>
        <v>No</v>
      </c>
      <c r="S531" s="27" t="str">
        <f>IF(COUNTIF(O531:O533,"Yes"),"Yes","No")</f>
        <v>No</v>
      </c>
      <c r="U531" s="27" t="s">
        <v>92</v>
      </c>
      <c r="V531" s="27" t="s">
        <v>120</v>
      </c>
      <c r="W531" s="27" t="s">
        <v>120</v>
      </c>
      <c r="X531" s="27" t="str">
        <f>IF(V531="N/A","N/A",IF(W531="N/A", "N/A", IF(V531=W531, "Yes","No")))</f>
        <v>N/A</v>
      </c>
      <c r="AI531" s="27">
        <f>COUNTIF(H530:H539,"Exterior")</f>
        <v>6</v>
      </c>
      <c r="AJ531" s="27">
        <f>COUNTIF(H530:H539, "Interior")</f>
        <v>1</v>
      </c>
      <c r="AK531" s="27">
        <f>COUNTIFS(D530:D539,"ppm")+COUNTIFS(D530:D539,"mg/Kg")</f>
        <v>1</v>
      </c>
      <c r="AL531" s="27">
        <f>COUNTIF(D530:D539,"ug/ft2")</f>
        <v>1</v>
      </c>
    </row>
    <row r="532" spans="1:38" x14ac:dyDescent="0.2">
      <c r="A532" s="27" t="s">
        <v>235</v>
      </c>
      <c r="B532" s="27" t="s">
        <v>236</v>
      </c>
      <c r="C532" s="27">
        <v>2.5</v>
      </c>
      <c r="D532" s="27" t="s">
        <v>4</v>
      </c>
      <c r="E532" s="27" t="s">
        <v>5</v>
      </c>
      <c r="F532" s="27" t="str">
        <f t="shared" si="233"/>
        <v>Yes</v>
      </c>
      <c r="G532" s="27" t="s">
        <v>5</v>
      </c>
      <c r="H532" s="27" t="s">
        <v>46</v>
      </c>
      <c r="J532" s="27" t="s">
        <v>11</v>
      </c>
      <c r="K532" s="27">
        <v>50.9</v>
      </c>
      <c r="L532" s="27" t="s">
        <v>12</v>
      </c>
      <c r="M532" s="27" t="s">
        <v>67</v>
      </c>
      <c r="N532" s="27" t="str">
        <f t="shared" ref="N532:N533" si="235">IF(K532="N/A","No", IF(K532&gt;1200,"Yes","No"))</f>
        <v>No</v>
      </c>
      <c r="O532" s="27" t="str">
        <f t="shared" si="234"/>
        <v>No</v>
      </c>
      <c r="Q532" s="27" t="s">
        <v>98</v>
      </c>
      <c r="R532" s="27" t="str">
        <f>_xlfn.XLOOKUP("mg/cm2",D531:D539,G531:G539,"N/A")</f>
        <v>Yes</v>
      </c>
      <c r="S532" s="27" t="str">
        <f>IF(COUNTIF(O534:O535,"Yes"),"Yes","No")</f>
        <v>No</v>
      </c>
      <c r="U532" s="27" t="s">
        <v>95</v>
      </c>
      <c r="V532" s="27" t="str">
        <f>R531</f>
        <v>No</v>
      </c>
      <c r="W532" s="27" t="str">
        <f>S531</f>
        <v>No</v>
      </c>
      <c r="X532" s="27" t="str">
        <f t="shared" ref="X532:X535" si="236">IF(V532="N/A","N/A",IF(W532="N/A", "N/A", IF(V532=W532, "Yes","No")))</f>
        <v>Yes</v>
      </c>
    </row>
    <row r="533" spans="1:38" x14ac:dyDescent="0.2">
      <c r="A533" s="27" t="s">
        <v>235</v>
      </c>
      <c r="B533" s="27" t="s">
        <v>220</v>
      </c>
      <c r="C533" s="27">
        <v>3</v>
      </c>
      <c r="D533" s="27" t="s">
        <v>4</v>
      </c>
      <c r="E533" s="27" t="s">
        <v>5</v>
      </c>
      <c r="F533" s="27" t="str">
        <f t="shared" si="233"/>
        <v>Yes</v>
      </c>
      <c r="G533" s="27" t="s">
        <v>5</v>
      </c>
      <c r="H533" s="27" t="s">
        <v>46</v>
      </c>
      <c r="J533" s="27" t="s">
        <v>15</v>
      </c>
      <c r="K533" s="27">
        <v>19.8</v>
      </c>
      <c r="L533" s="27" t="s">
        <v>12</v>
      </c>
      <c r="M533" s="27" t="s">
        <v>112</v>
      </c>
      <c r="N533" s="27" t="str">
        <f t="shared" si="235"/>
        <v>No</v>
      </c>
      <c r="O533" s="27" t="str">
        <f t="shared" si="234"/>
        <v>No</v>
      </c>
      <c r="Q533" s="27" t="s">
        <v>117</v>
      </c>
      <c r="R533" s="27" t="str">
        <f>_xlfn.XLOOKUP("ug/ft2",D531:D539,F531:F539,"N/A")</f>
        <v>Yes</v>
      </c>
      <c r="S533" s="27" t="str">
        <f>IF(COUNTIF(O536:O539,"Yes"),"Yes","No")</f>
        <v>No</v>
      </c>
      <c r="U533" s="27" t="s">
        <v>163</v>
      </c>
      <c r="V533" s="27" t="s">
        <v>9</v>
      </c>
      <c r="W533" s="27" t="str">
        <f>O535</f>
        <v>No</v>
      </c>
      <c r="X533" s="27" t="str">
        <f t="shared" si="236"/>
        <v>Yes</v>
      </c>
    </row>
    <row r="534" spans="1:38" x14ac:dyDescent="0.2">
      <c r="A534" s="27" t="s">
        <v>235</v>
      </c>
      <c r="B534" s="27" t="s">
        <v>211</v>
      </c>
      <c r="C534" s="27">
        <v>2.9</v>
      </c>
      <c r="D534" s="27" t="s">
        <v>4</v>
      </c>
      <c r="E534" s="27" t="s">
        <v>5</v>
      </c>
      <c r="F534" s="27" t="str">
        <f t="shared" si="233"/>
        <v>Yes</v>
      </c>
      <c r="G534" s="27" t="s">
        <v>5</v>
      </c>
      <c r="H534" s="27" t="s">
        <v>46</v>
      </c>
      <c r="J534" s="27" t="s">
        <v>19</v>
      </c>
      <c r="K534" s="27">
        <v>618</v>
      </c>
      <c r="L534" s="27" t="s">
        <v>12</v>
      </c>
      <c r="M534" s="27" t="s">
        <v>46</v>
      </c>
      <c r="N534" s="27" t="str">
        <f>IF(K534="N/A","No", IF(K534&gt;5000,"Yes","No"))</f>
        <v>No</v>
      </c>
      <c r="O534" s="27" t="str">
        <f>IF(K534="Not","No",IF(K534="n/a","N/A",IF(K534&gt;$Y$2,"Yes","No")))</f>
        <v>No</v>
      </c>
      <c r="Q534" s="27" t="s">
        <v>118</v>
      </c>
      <c r="R534" s="27" t="str">
        <f>IF(COUNTIF(R531:R533,"Yes"),"Yes","No")</f>
        <v>Yes</v>
      </c>
      <c r="S534" s="27" t="str">
        <f>IF(COUNTIF(S531:S533,"Yes"),"Yes","No")</f>
        <v>No</v>
      </c>
      <c r="U534" s="27" t="s">
        <v>164</v>
      </c>
      <c r="V534" s="27" t="s">
        <v>5</v>
      </c>
      <c r="W534" s="27" t="str">
        <f>O534</f>
        <v>No</v>
      </c>
      <c r="X534" s="27" t="str">
        <f t="shared" si="236"/>
        <v>No</v>
      </c>
    </row>
    <row r="535" spans="1:38" x14ac:dyDescent="0.2">
      <c r="A535" s="27" t="s">
        <v>235</v>
      </c>
      <c r="B535" s="27" t="s">
        <v>211</v>
      </c>
      <c r="C535" s="27">
        <v>1.8</v>
      </c>
      <c r="D535" s="27" t="s">
        <v>4</v>
      </c>
      <c r="E535" s="27" t="s">
        <v>5</v>
      </c>
      <c r="F535" s="27" t="str">
        <f t="shared" si="233"/>
        <v>Yes</v>
      </c>
      <c r="G535" s="27" t="s">
        <v>5</v>
      </c>
      <c r="H535" s="27" t="s">
        <v>46</v>
      </c>
      <c r="J535" s="27" t="s">
        <v>22</v>
      </c>
      <c r="K535" s="27">
        <v>2.5</v>
      </c>
      <c r="L535" s="27" t="s">
        <v>12</v>
      </c>
      <c r="M535" s="27" t="s">
        <v>43</v>
      </c>
      <c r="N535" s="27" t="str">
        <f>IF(K535="N/A","No", IF(K535&gt;5000,"Yes","No"))</f>
        <v>No</v>
      </c>
      <c r="O535" s="27" t="str">
        <f>IF(K535="Not","No",IF(K535="n/a","N/A",IF(K535&gt;$Y$2,"Yes","No")))</f>
        <v>No</v>
      </c>
      <c r="U535" s="27" t="s">
        <v>162</v>
      </c>
      <c r="V535" s="27" t="str">
        <f>R532</f>
        <v>Yes</v>
      </c>
      <c r="W535" s="27" t="str">
        <f>S532</f>
        <v>No</v>
      </c>
      <c r="X535" s="27" t="str">
        <f t="shared" si="236"/>
        <v>No</v>
      </c>
    </row>
    <row r="536" spans="1:38" x14ac:dyDescent="0.2">
      <c r="A536" s="27" t="s">
        <v>185</v>
      </c>
      <c r="B536" s="27" t="s">
        <v>211</v>
      </c>
      <c r="C536" s="27">
        <v>2.1</v>
      </c>
      <c r="D536" s="27" t="s">
        <v>4</v>
      </c>
      <c r="E536" s="27" t="s">
        <v>5</v>
      </c>
      <c r="F536" s="27" t="str">
        <f t="shared" si="233"/>
        <v>Yes</v>
      </c>
      <c r="G536" s="27" t="s">
        <v>5</v>
      </c>
      <c r="H536" s="27" t="s">
        <v>46</v>
      </c>
      <c r="J536" s="27" t="s">
        <v>25</v>
      </c>
      <c r="K536" s="27">
        <v>2.5</v>
      </c>
      <c r="L536" s="27" t="s">
        <v>12</v>
      </c>
      <c r="M536" s="27" t="s">
        <v>126</v>
      </c>
      <c r="N536" s="27" t="str">
        <f>IF(K536="N/A","No", IF(K536&gt;20,"Yes","No"))</f>
        <v>No</v>
      </c>
      <c r="O536" s="27" t="str">
        <f t="shared" ref="O536:O537" si="237">IF(K536="Not","No",IF(K536="n/a","N/A",IF(K536&gt;$Y$6,"Yes","No")))</f>
        <v>No</v>
      </c>
      <c r="U536" s="27" t="s">
        <v>101</v>
      </c>
      <c r="V536" s="27" t="s">
        <v>120</v>
      </c>
      <c r="W536" s="27" t="s">
        <v>9</v>
      </c>
      <c r="X536" s="27" t="str">
        <f>IF(V536="N/A","N/A",IF(W536="N/A", "N/A", IF(V536=W536, "Yes","No")))</f>
        <v>N/A</v>
      </c>
    </row>
    <row r="537" spans="1:38" x14ac:dyDescent="0.2">
      <c r="A537" s="27" t="s">
        <v>187</v>
      </c>
      <c r="B537" s="27" t="s">
        <v>294</v>
      </c>
      <c r="C537" s="27">
        <v>56</v>
      </c>
      <c r="D537" s="27" t="s">
        <v>37</v>
      </c>
      <c r="E537" s="27" t="s">
        <v>9</v>
      </c>
      <c r="F537" s="27" t="str">
        <f>IF(C537&gt;$W$3,"Yes","No")</f>
        <v>No</v>
      </c>
      <c r="G537" s="27" t="s">
        <v>9</v>
      </c>
      <c r="J537" s="27" t="s">
        <v>29</v>
      </c>
      <c r="K537" s="27">
        <v>2.5</v>
      </c>
      <c r="L537" s="27" t="s">
        <v>12</v>
      </c>
      <c r="M537" s="27" t="s">
        <v>222</v>
      </c>
      <c r="N537" s="27" t="str">
        <f>IF(K537="N/A","No", IF(K537&gt;20,"Yes","No"))</f>
        <v>No</v>
      </c>
      <c r="O537" s="27" t="str">
        <f t="shared" si="237"/>
        <v>No</v>
      </c>
      <c r="U537" s="27" t="s">
        <v>104</v>
      </c>
      <c r="V537" s="27" t="s">
        <v>5</v>
      </c>
      <c r="W537" s="27" t="str">
        <f>O538</f>
        <v>No</v>
      </c>
      <c r="X537" s="27" t="str">
        <f>IF(V537="N/A","N/A",IF(W537="N/A", "N/A", IF(V537=W537, "Yes","No")))</f>
        <v>No</v>
      </c>
    </row>
    <row r="538" spans="1:38" x14ac:dyDescent="0.2">
      <c r="A538" s="27" t="s">
        <v>201</v>
      </c>
      <c r="B538" s="27" t="s">
        <v>236</v>
      </c>
      <c r="C538" s="27">
        <v>0</v>
      </c>
      <c r="D538" s="27" t="s">
        <v>4</v>
      </c>
      <c r="E538" s="27" t="s">
        <v>9</v>
      </c>
      <c r="F538" s="27" t="str">
        <f t="shared" ref="F538" si="238">IF(C538&gt;=$W$2,"Yes","No")</f>
        <v>No</v>
      </c>
      <c r="G538" s="27" t="s">
        <v>9</v>
      </c>
      <c r="H538" s="27" t="s">
        <v>43</v>
      </c>
      <c r="J538" s="27" t="s">
        <v>34</v>
      </c>
      <c r="K538" s="27">
        <v>2.5</v>
      </c>
      <c r="L538" s="27" t="s">
        <v>12</v>
      </c>
      <c r="M538" s="27" t="s">
        <v>210</v>
      </c>
      <c r="N538" s="27" t="str">
        <f>IF(K538="N/A","No", IF(K538&gt;230,"Yes","No"))</f>
        <v>No</v>
      </c>
      <c r="O538" s="27" t="str">
        <f>IF(K538="Not","No",IF(K538="n/a","N/A",IF(K538&gt;$Y$5,"Yes","No")))</f>
        <v>No</v>
      </c>
      <c r="U538" s="27" t="s">
        <v>106</v>
      </c>
      <c r="V538" s="27" t="str">
        <f>R533</f>
        <v>Yes</v>
      </c>
      <c r="W538" s="27" t="str">
        <f>S533</f>
        <v>No</v>
      </c>
      <c r="X538" s="27" t="str">
        <f>IF(V538="N/A","N/A",IF(W538="N/A", "N/A", IF(V538=W538, "Yes","No")))</f>
        <v>No</v>
      </c>
    </row>
    <row r="539" spans="1:38" x14ac:dyDescent="0.2">
      <c r="A539" s="27" t="s">
        <v>109</v>
      </c>
      <c r="B539" s="27" t="s">
        <v>295</v>
      </c>
      <c r="C539" s="27">
        <v>150</v>
      </c>
      <c r="D539" s="27" t="s">
        <v>33</v>
      </c>
      <c r="E539" s="27" t="s">
        <v>5</v>
      </c>
      <c r="F539" s="27" t="str">
        <f>IF(C539&gt;$W$5,"Yes","No")</f>
        <v>Yes</v>
      </c>
      <c r="G539" s="27" t="s">
        <v>5</v>
      </c>
      <c r="J539" s="69" t="s">
        <v>208</v>
      </c>
      <c r="K539" s="27">
        <v>28</v>
      </c>
      <c r="L539" s="27" t="s">
        <v>12</v>
      </c>
      <c r="M539" s="27" t="s">
        <v>223</v>
      </c>
      <c r="N539" s="27" t="str">
        <f>IF(K539="N/A","No", IF(K539&gt;20,"Yes","No"))</f>
        <v>Yes</v>
      </c>
      <c r="O539" s="27" t="str">
        <f>IF(K539="Not","No",IF(K539="n/a","N/A",IF(K539&gt;$Y$7,"Yes","No")))</f>
        <v>No</v>
      </c>
      <c r="U539" s="27" t="s">
        <v>121</v>
      </c>
      <c r="V539" s="27" t="str">
        <f>R534</f>
        <v>Yes</v>
      </c>
      <c r="W539" s="27" t="str">
        <f>S534</f>
        <v>No</v>
      </c>
      <c r="X539" s="27" t="str">
        <f>IF(V539="N/A","N/A",IF(W539="N/A", "N/A", IF(V539=W539, "Yes","No")))</f>
        <v>No</v>
      </c>
    </row>
    <row r="542" spans="1:38" x14ac:dyDescent="0.2">
      <c r="A542" s="64">
        <v>1170</v>
      </c>
      <c r="B542" s="27" t="s">
        <v>111</v>
      </c>
      <c r="C542" s="27">
        <v>38</v>
      </c>
    </row>
    <row r="543" spans="1:38" x14ac:dyDescent="0.2">
      <c r="A543" s="59" t="s">
        <v>0</v>
      </c>
      <c r="E543" s="27" t="s">
        <v>274</v>
      </c>
      <c r="F543" s="27" t="s">
        <v>275</v>
      </c>
      <c r="G543" s="27" t="s">
        <v>119</v>
      </c>
      <c r="J543" s="59" t="s">
        <v>1</v>
      </c>
      <c r="N543" s="27" t="s">
        <v>277</v>
      </c>
      <c r="O543" s="27" t="s">
        <v>278</v>
      </c>
      <c r="Q543" s="59" t="s">
        <v>115</v>
      </c>
      <c r="R543" s="59" t="s">
        <v>0</v>
      </c>
      <c r="S543" s="59" t="s">
        <v>1</v>
      </c>
      <c r="U543" s="59" t="s">
        <v>115</v>
      </c>
      <c r="V543" s="59" t="s">
        <v>0</v>
      </c>
      <c r="W543" s="59" t="s">
        <v>1</v>
      </c>
      <c r="X543" s="59" t="s">
        <v>122</v>
      </c>
      <c r="AA543" s="27" t="str">
        <f>IF(R544="Yes","LRA-Soil","")</f>
        <v/>
      </c>
      <c r="AB543" s="27" t="str">
        <f>IF(R545="Yes","LRA-Paint","")</f>
        <v/>
      </c>
      <c r="AC543" s="27" t="str">
        <f>IF(R546="Yes","LRA-Dust","")</f>
        <v/>
      </c>
      <c r="AD543" s="27" t="str">
        <f>IF(S544="Yes","LSK-Soil","")</f>
        <v/>
      </c>
      <c r="AE543" s="27" t="str">
        <f>IF(S545="Yes","LSK-Paint","")</f>
        <v/>
      </c>
      <c r="AF543" s="27" t="str">
        <f>IF(S546="Yes","LSK-Dust","")</f>
        <v/>
      </c>
      <c r="AI543" s="27" t="s">
        <v>46</v>
      </c>
      <c r="AJ543" s="27" t="s">
        <v>43</v>
      </c>
      <c r="AK543" s="27" t="s">
        <v>116</v>
      </c>
      <c r="AL543" s="27" t="s">
        <v>117</v>
      </c>
    </row>
    <row r="544" spans="1:38" x14ac:dyDescent="0.2">
      <c r="A544" s="27" t="s">
        <v>185</v>
      </c>
      <c r="B544" s="27" t="s">
        <v>236</v>
      </c>
      <c r="C544" s="27">
        <v>0</v>
      </c>
      <c r="D544" s="27" t="s">
        <v>4</v>
      </c>
      <c r="E544" s="27" t="s">
        <v>9</v>
      </c>
      <c r="F544" s="27" t="str">
        <f t="shared" ref="F544:F545" si="239">IF(C544&gt;=$W$2,"Yes","No")</f>
        <v>No</v>
      </c>
      <c r="G544" s="27" t="s">
        <v>9</v>
      </c>
      <c r="H544" s="27" t="s">
        <v>46</v>
      </c>
      <c r="J544" s="27" t="s">
        <v>6</v>
      </c>
      <c r="K544" s="27">
        <v>15</v>
      </c>
      <c r="L544" s="27" t="s">
        <v>12</v>
      </c>
      <c r="M544" s="27" t="s">
        <v>114</v>
      </c>
      <c r="N544" s="27" t="str">
        <f>IF(K544="N/A","No", IF(K544&gt;1200,"Yes","No"))</f>
        <v>No</v>
      </c>
      <c r="O544" s="27" t="str">
        <f t="shared" ref="O544:O546" si="240">IF(K544="Not","No",IF(K544="n/a","N/A",IF(K544&gt;$Y$3,"Yes","No")))</f>
        <v>No</v>
      </c>
      <c r="Q544" s="27" t="s">
        <v>116</v>
      </c>
      <c r="R544" s="27" t="str">
        <f>_xlfn.XLOOKUP("mg/Kg",D544:D547,F544:F547,"N/A")</f>
        <v>N/A</v>
      </c>
      <c r="S544" s="27" t="str">
        <f>IF(COUNTIF(O544:O546,"Yes"),"Yes","No")</f>
        <v>No</v>
      </c>
      <c r="U544" s="27" t="s">
        <v>92</v>
      </c>
      <c r="V544" s="27" t="s">
        <v>120</v>
      </c>
      <c r="W544" s="27" t="s">
        <v>120</v>
      </c>
      <c r="X544" s="27" t="str">
        <f>IF(V544="N/A","N/A",IF(W544="N/A", "N/A", IF(V544=W544, "Yes","No")))</f>
        <v>N/A</v>
      </c>
      <c r="AI544" s="27">
        <f>COUNTIF(H543:H547,"Exterior")</f>
        <v>1</v>
      </c>
      <c r="AJ544" s="27">
        <f>COUNTIF(H543:H547, "Interior")</f>
        <v>1</v>
      </c>
      <c r="AK544" s="27">
        <f>COUNTIFS(D543:D547,"ppm")+COUNTIFS(D543:D547,"mg/Kg")</f>
        <v>0</v>
      </c>
      <c r="AL544" s="27">
        <f>COUNTIF(D543:D547,"ug/ft2")</f>
        <v>1</v>
      </c>
    </row>
    <row r="545" spans="1:38" x14ac:dyDescent="0.2">
      <c r="A545" s="27" t="s">
        <v>71</v>
      </c>
      <c r="B545" s="27" t="s">
        <v>77</v>
      </c>
      <c r="C545" s="27">
        <v>0</v>
      </c>
      <c r="D545" s="27" t="s">
        <v>4</v>
      </c>
      <c r="F545" s="27" t="str">
        <f t="shared" si="239"/>
        <v>No</v>
      </c>
      <c r="G545" s="27" t="s">
        <v>9</v>
      </c>
      <c r="H545" s="27" t="s">
        <v>43</v>
      </c>
      <c r="J545" s="27" t="s">
        <v>11</v>
      </c>
      <c r="K545" s="27">
        <v>14.2</v>
      </c>
      <c r="L545" s="27" t="s">
        <v>12</v>
      </c>
      <c r="M545" s="27" t="s">
        <v>67</v>
      </c>
      <c r="N545" s="27" t="str">
        <f t="shared" ref="N545:N546" si="241">IF(K545="N/A","No", IF(K545&gt;1200,"Yes","No"))</f>
        <v>No</v>
      </c>
      <c r="O545" s="27" t="str">
        <f t="shared" si="240"/>
        <v>No</v>
      </c>
      <c r="Q545" s="27" t="s">
        <v>98</v>
      </c>
      <c r="R545" s="27" t="str">
        <f>_xlfn.XLOOKUP("mg/cm2",D544:D546,G544:G546,"N/A")</f>
        <v>No</v>
      </c>
      <c r="S545" s="27" t="str">
        <f>IF(COUNTIF(O547:O548,"Yes"),"Yes","No")</f>
        <v>No</v>
      </c>
      <c r="U545" s="27" t="s">
        <v>95</v>
      </c>
      <c r="V545" s="27" t="str">
        <f>R544</f>
        <v>N/A</v>
      </c>
      <c r="W545" s="27" t="str">
        <f>S544</f>
        <v>No</v>
      </c>
      <c r="X545" s="27" t="str">
        <f t="shared" ref="X545:X548" si="242">IF(V545="N/A","N/A",IF(W545="N/A", "N/A", IF(V545=W545, "Yes","No")))</f>
        <v>N/A</v>
      </c>
    </row>
    <row r="546" spans="1:38" x14ac:dyDescent="0.2">
      <c r="A546" s="27" t="s">
        <v>109</v>
      </c>
      <c r="B546" s="27" t="s">
        <v>32</v>
      </c>
      <c r="C546" s="27">
        <v>3</v>
      </c>
      <c r="D546" s="27" t="s">
        <v>33</v>
      </c>
      <c r="F546" s="27" t="str">
        <f>IF(C546&gt;$W$6,"Yes","No")</f>
        <v>No</v>
      </c>
      <c r="G546" s="27" t="s">
        <v>9</v>
      </c>
      <c r="J546" s="27" t="s">
        <v>15</v>
      </c>
      <c r="K546" s="27">
        <v>14.5</v>
      </c>
      <c r="L546" s="27" t="s">
        <v>12</v>
      </c>
      <c r="M546" s="27" t="s">
        <v>112</v>
      </c>
      <c r="N546" s="27" t="str">
        <f t="shared" si="241"/>
        <v>No</v>
      </c>
      <c r="O546" s="27" t="str">
        <f t="shared" si="240"/>
        <v>No</v>
      </c>
      <c r="Q546" s="27" t="s">
        <v>117</v>
      </c>
      <c r="R546" s="27" t="str">
        <f>_xlfn.XLOOKUP("ug/ft2",D544:D547,F544:F547,"N/A")</f>
        <v>No</v>
      </c>
      <c r="S546" s="27" t="str">
        <f>IF(COUNTIF(O549:O552,"Yes"),"Yes","No")</f>
        <v>No</v>
      </c>
      <c r="U546" s="27" t="s">
        <v>163</v>
      </c>
      <c r="V546" s="27" t="s">
        <v>9</v>
      </c>
      <c r="W546" s="27" t="str">
        <f>O548</f>
        <v>No</v>
      </c>
      <c r="X546" s="27" t="str">
        <f t="shared" si="242"/>
        <v>Yes</v>
      </c>
    </row>
    <row r="547" spans="1:38" x14ac:dyDescent="0.2">
      <c r="A547" s="27" t="s">
        <v>75</v>
      </c>
      <c r="B547" s="27" t="s">
        <v>456</v>
      </c>
      <c r="C547" s="27">
        <v>1.1000000000000001</v>
      </c>
      <c r="D547" s="27" t="s">
        <v>4</v>
      </c>
      <c r="G547" s="27" t="s">
        <v>5</v>
      </c>
      <c r="J547" s="27" t="s">
        <v>19</v>
      </c>
      <c r="K547" s="27" t="s">
        <v>120</v>
      </c>
      <c r="L547" s="27" t="s">
        <v>12</v>
      </c>
      <c r="M547" s="27" t="s">
        <v>46</v>
      </c>
      <c r="N547" s="27" t="str">
        <f>IF(K547="N/A","No", IF(K547&gt;5000,"Yes","No"))</f>
        <v>No</v>
      </c>
      <c r="O547" s="27" t="str">
        <f>IF(K547="Not","No",IF(K547="n/a","N/A",IF(K547&gt;$Y$2,"Yes","No")))</f>
        <v>N/A</v>
      </c>
      <c r="Q547" s="27" t="s">
        <v>118</v>
      </c>
      <c r="R547" s="27" t="str">
        <f>IF(COUNTIF(R544:R546,"Yes"),"Yes","No")</f>
        <v>No</v>
      </c>
      <c r="S547" s="27" t="str">
        <f>IF(COUNTIF(S544:S546,"Yes"),"Yes","No")</f>
        <v>No</v>
      </c>
      <c r="U547" s="27" t="s">
        <v>164</v>
      </c>
      <c r="V547" s="27" t="s">
        <v>9</v>
      </c>
      <c r="W547" s="27" t="str">
        <f>O547</f>
        <v>N/A</v>
      </c>
      <c r="X547" s="27" t="str">
        <f t="shared" si="242"/>
        <v>N/A</v>
      </c>
    </row>
    <row r="548" spans="1:38" x14ac:dyDescent="0.2">
      <c r="J548" s="27" t="s">
        <v>22</v>
      </c>
      <c r="K548" s="27">
        <v>2.5</v>
      </c>
      <c r="L548" s="27" t="s">
        <v>12</v>
      </c>
      <c r="M548" s="27" t="s">
        <v>43</v>
      </c>
      <c r="N548" s="27" t="str">
        <f>IF(K548="N/A","No", IF(K548&gt;5000,"Yes","No"))</f>
        <v>No</v>
      </c>
      <c r="O548" s="27" t="str">
        <f>IF(K548="Not","No",IF(K548="n/a","N/A",IF(K548&gt;$Y$2,"Yes","No")))</f>
        <v>No</v>
      </c>
      <c r="U548" s="27" t="s">
        <v>162</v>
      </c>
      <c r="V548" s="27" t="str">
        <f>R545</f>
        <v>No</v>
      </c>
      <c r="W548" s="27" t="str">
        <f>S545</f>
        <v>No</v>
      </c>
      <c r="X548" s="27" t="str">
        <f t="shared" si="242"/>
        <v>Yes</v>
      </c>
    </row>
    <row r="549" spans="1:38" x14ac:dyDescent="0.2">
      <c r="J549" s="27" t="s">
        <v>25</v>
      </c>
      <c r="K549" s="27">
        <v>2.5</v>
      </c>
      <c r="L549" s="27" t="s">
        <v>12</v>
      </c>
      <c r="M549" s="27" t="s">
        <v>126</v>
      </c>
      <c r="N549" s="27" t="str">
        <f>IF(K549="N/A","No", IF(K549&gt;20,"Yes","No"))</f>
        <v>No</v>
      </c>
      <c r="O549" s="27" t="str">
        <f t="shared" ref="O549:O550" si="243">IF(K549="Not","No",IF(K549="n/a","N/A",IF(K549&gt;$Y$6,"Yes","No")))</f>
        <v>No</v>
      </c>
      <c r="U549" s="27" t="s">
        <v>101</v>
      </c>
      <c r="V549" s="27" t="s">
        <v>9</v>
      </c>
      <c r="W549" s="27" t="s">
        <v>9</v>
      </c>
      <c r="X549" s="27" t="str">
        <f>IF(V549="N/A","N/A",IF(W549="N/A", "N/A", IF(V549=W549, "Yes","No")))</f>
        <v>Yes</v>
      </c>
    </row>
    <row r="550" spans="1:38" x14ac:dyDescent="0.2">
      <c r="J550" s="27" t="s">
        <v>29</v>
      </c>
      <c r="K550" s="27">
        <v>2.5</v>
      </c>
      <c r="L550" s="27" t="s">
        <v>12</v>
      </c>
      <c r="M550" s="27" t="s">
        <v>222</v>
      </c>
      <c r="N550" s="27" t="str">
        <f>IF(K550="N/A","No", IF(K550&gt;20,"Yes","No"))</f>
        <v>No</v>
      </c>
      <c r="O550" s="27" t="str">
        <f t="shared" si="243"/>
        <v>No</v>
      </c>
      <c r="U550" s="27" t="s">
        <v>104</v>
      </c>
      <c r="V550" s="27" t="s">
        <v>120</v>
      </c>
      <c r="W550" s="27" t="str">
        <f>O551</f>
        <v>No</v>
      </c>
      <c r="X550" s="27" t="str">
        <f>IF(V550="N/A","N/A",IF(W550="N/A", "N/A", IF(V550=W550, "Yes","No")))</f>
        <v>N/A</v>
      </c>
    </row>
    <row r="551" spans="1:38" x14ac:dyDescent="0.2">
      <c r="J551" s="27" t="s">
        <v>34</v>
      </c>
      <c r="K551" s="27">
        <v>2.5</v>
      </c>
      <c r="L551" s="27" t="s">
        <v>12</v>
      </c>
      <c r="M551" s="27" t="s">
        <v>210</v>
      </c>
      <c r="N551" s="27" t="str">
        <f>IF(K551="N/A","No", IF(K551&gt;230,"Yes","No"))</f>
        <v>No</v>
      </c>
      <c r="O551" s="27" t="str">
        <f>IF(K551="Not","No",IF(K551="n/a","N/A",IF(K551&gt;$Y$5,"Yes","No")))</f>
        <v>No</v>
      </c>
      <c r="U551" s="27" t="s">
        <v>106</v>
      </c>
      <c r="V551" s="27" t="str">
        <f>R546</f>
        <v>No</v>
      </c>
      <c r="W551" s="27" t="str">
        <f>S546</f>
        <v>No</v>
      </c>
      <c r="X551" s="27" t="str">
        <f>IF(V551="N/A","N/A",IF(W551="N/A", "N/A", IF(V551=W551, "Yes","No")))</f>
        <v>Yes</v>
      </c>
    </row>
    <row r="552" spans="1:38" x14ac:dyDescent="0.2">
      <c r="J552" s="27" t="s">
        <v>208</v>
      </c>
      <c r="K552" s="27">
        <v>9.1</v>
      </c>
      <c r="L552" s="27" t="s">
        <v>12</v>
      </c>
      <c r="M552" s="27" t="s">
        <v>223</v>
      </c>
      <c r="N552" s="27" t="str">
        <f>IF(K552="N/A","No", IF(K552&gt;20,"Yes","No"))</f>
        <v>No</v>
      </c>
      <c r="O552" s="27" t="str">
        <f>IF(K552="Not","No",IF(K552="n/a","N/A",IF(K552&gt;$Y$7,"Yes","No")))</f>
        <v>No</v>
      </c>
      <c r="U552" s="27" t="s">
        <v>121</v>
      </c>
      <c r="V552" s="27" t="str">
        <f>R547</f>
        <v>No</v>
      </c>
      <c r="W552" s="27" t="str">
        <f>S547</f>
        <v>No</v>
      </c>
      <c r="X552" s="27" t="str">
        <f>IF(V552="N/A","N/A",IF(W552="N/A", "N/A", IF(V552=W552, "Yes","No")))</f>
        <v>Yes</v>
      </c>
    </row>
    <row r="554" spans="1:38" x14ac:dyDescent="0.2">
      <c r="A554" s="57">
        <v>1171</v>
      </c>
      <c r="B554" s="27" t="s">
        <v>111</v>
      </c>
      <c r="C554" s="27">
        <v>39</v>
      </c>
    </row>
    <row r="555" spans="1:38" x14ac:dyDescent="0.2">
      <c r="A555" s="59" t="s">
        <v>0</v>
      </c>
      <c r="E555" s="27" t="s">
        <v>274</v>
      </c>
      <c r="F555" s="27" t="s">
        <v>275</v>
      </c>
      <c r="G555" s="27" t="s">
        <v>119</v>
      </c>
      <c r="J555" s="59" t="s">
        <v>1</v>
      </c>
      <c r="N555" s="27" t="s">
        <v>277</v>
      </c>
      <c r="O555" s="27" t="s">
        <v>278</v>
      </c>
      <c r="Q555" s="59" t="s">
        <v>115</v>
      </c>
      <c r="R555" s="59" t="s">
        <v>0</v>
      </c>
      <c r="S555" s="59" t="s">
        <v>1</v>
      </c>
      <c r="U555" s="59" t="s">
        <v>115</v>
      </c>
      <c r="V555" s="59" t="s">
        <v>0</v>
      </c>
      <c r="W555" s="59" t="s">
        <v>1</v>
      </c>
      <c r="X555" s="59" t="s">
        <v>122</v>
      </c>
      <c r="AA555" s="27" t="str">
        <f>IF(R556="Yes","LRA-Soil","")</f>
        <v/>
      </c>
      <c r="AB555" s="27" t="str">
        <f>IF(R557="Yes","LRA-Paint","")</f>
        <v/>
      </c>
      <c r="AC555" s="27" t="str">
        <f>IF(R558="Yes","LRA-Dust","")</f>
        <v/>
      </c>
      <c r="AD555" s="27" t="str">
        <f>IF(S556="Yes","LSK-Soil","")</f>
        <v/>
      </c>
      <c r="AE555" s="27" t="str">
        <f>IF(S557="Yes","LSK-Paint","")</f>
        <v/>
      </c>
      <c r="AF555" s="27" t="str">
        <f>IF(S558="Yes","LSK-Dust","")</f>
        <v>LSK-Dust</v>
      </c>
      <c r="AI555" s="27" t="s">
        <v>46</v>
      </c>
      <c r="AJ555" s="27" t="s">
        <v>43</v>
      </c>
      <c r="AK555" s="27" t="s">
        <v>116</v>
      </c>
      <c r="AL555" s="27" t="s">
        <v>117</v>
      </c>
    </row>
    <row r="556" spans="1:38" x14ac:dyDescent="0.2">
      <c r="A556" s="27" t="s">
        <v>185</v>
      </c>
      <c r="B556" s="27" t="s">
        <v>77</v>
      </c>
      <c r="C556" s="27">
        <v>0.08</v>
      </c>
      <c r="D556" s="27" t="s">
        <v>4</v>
      </c>
      <c r="F556" s="27" t="str">
        <f t="shared" ref="F556" si="244">IF(C556&gt;=$W$2,"Yes","No")</f>
        <v>No</v>
      </c>
      <c r="G556" s="27" t="s">
        <v>9</v>
      </c>
      <c r="H556" s="27" t="s">
        <v>46</v>
      </c>
      <c r="J556" s="27" t="s">
        <v>6</v>
      </c>
      <c r="K556" s="27">
        <v>31.9</v>
      </c>
      <c r="L556" s="27" t="s">
        <v>12</v>
      </c>
      <c r="M556" s="27" t="s">
        <v>114</v>
      </c>
      <c r="N556" s="27" t="str">
        <f>IF(K556="N/A","No", IF(K556&gt;1200,"Yes","No"))</f>
        <v>No</v>
      </c>
      <c r="O556" s="27" t="str">
        <f t="shared" ref="O556:O558" si="245">IF(K556="Not","No",IF(K556="n/a","N/A",IF(K556&gt;$Y$3,"Yes","No")))</f>
        <v>No</v>
      </c>
      <c r="Q556" s="27" t="s">
        <v>116</v>
      </c>
      <c r="R556" s="27" t="str">
        <f>_xlfn.XLOOKUP("ppm",D556:D559,F556:F559,"N/A")</f>
        <v>No</v>
      </c>
      <c r="S556" s="27" t="str">
        <f>IF(COUNTIF(O556:O558,"Yes"),"Yes","No")</f>
        <v>No</v>
      </c>
      <c r="U556" s="27" t="s">
        <v>92</v>
      </c>
      <c r="V556" s="27" t="s">
        <v>120</v>
      </c>
      <c r="W556" s="27" t="s">
        <v>120</v>
      </c>
      <c r="X556" s="27" t="str">
        <f>IF(V556="N/A","N/A",IF(W556="N/A", "N/A", IF(V556=W556, "Yes","No")))</f>
        <v>N/A</v>
      </c>
      <c r="AI556" s="27">
        <f>COUNTIF(H555:H559,"Exterior")</f>
        <v>1</v>
      </c>
      <c r="AJ556" s="27">
        <f>COUNTIF(H555:H559, "Interior")</f>
        <v>1</v>
      </c>
      <c r="AK556" s="27">
        <f>COUNTIFS(D555:D559,"ppm")+COUNTIFS(D555:D559,"mg/Kg")</f>
        <v>1</v>
      </c>
      <c r="AL556" s="27">
        <f>COUNTIF(D555:D559,"ug/ft2")</f>
        <v>1</v>
      </c>
    </row>
    <row r="557" spans="1:38" x14ac:dyDescent="0.2">
      <c r="A557" s="27" t="s">
        <v>161</v>
      </c>
      <c r="B557" s="27" t="s">
        <v>28</v>
      </c>
      <c r="C557" s="27">
        <v>40</v>
      </c>
      <c r="D557" s="27" t="s">
        <v>12</v>
      </c>
      <c r="F557" s="27" t="str">
        <f>IF(C557&gt;$W$3,"Yes","No")</f>
        <v>No</v>
      </c>
      <c r="G557" s="27" t="s">
        <v>9</v>
      </c>
      <c r="J557" s="27" t="s">
        <v>11</v>
      </c>
      <c r="K557" s="27">
        <v>19.399999999999999</v>
      </c>
      <c r="L557" s="27" t="s">
        <v>12</v>
      </c>
      <c r="M557" s="27" t="s">
        <v>67</v>
      </c>
      <c r="N557" s="27" t="str">
        <f t="shared" ref="N557:N558" si="246">IF(K557="N/A","No", IF(K557&gt;1200,"Yes","No"))</f>
        <v>No</v>
      </c>
      <c r="O557" s="27" t="str">
        <f t="shared" si="245"/>
        <v>No</v>
      </c>
      <c r="Q557" s="27" t="s">
        <v>98</v>
      </c>
      <c r="R557" s="27" t="str">
        <f>_xlfn.XLOOKUP("mg/cm2",D556:D564,G556:G564,"N/A")</f>
        <v>No</v>
      </c>
      <c r="S557" s="27" t="str">
        <f>IF(COUNTIF(O559:O560,"Yes"),"Yes","No")</f>
        <v>No</v>
      </c>
      <c r="U557" s="27" t="s">
        <v>95</v>
      </c>
      <c r="V557" s="27" t="str">
        <f>R556</f>
        <v>No</v>
      </c>
      <c r="W557" s="27" t="str">
        <f>S556</f>
        <v>No</v>
      </c>
      <c r="X557" s="27" t="str">
        <f t="shared" ref="X557:X560" si="247">IF(V557="N/A","N/A",IF(W557="N/A", "N/A", IF(V557=W557, "Yes","No")))</f>
        <v>Yes</v>
      </c>
    </row>
    <row r="558" spans="1:38" x14ac:dyDescent="0.2">
      <c r="A558" s="27" t="s">
        <v>71</v>
      </c>
      <c r="B558" s="27" t="s">
        <v>10</v>
      </c>
      <c r="C558" s="27">
        <v>0</v>
      </c>
      <c r="D558" s="27" t="s">
        <v>4</v>
      </c>
      <c r="F558" s="27" t="str">
        <f t="shared" ref="F558" si="248">IF(C558&gt;=$W$2,"Yes","No")</f>
        <v>No</v>
      </c>
      <c r="G558" s="27" t="s">
        <v>9</v>
      </c>
      <c r="H558" s="27" t="s">
        <v>43</v>
      </c>
      <c r="J558" s="27" t="s">
        <v>15</v>
      </c>
      <c r="K558" s="27">
        <v>20.5</v>
      </c>
      <c r="L558" s="27" t="s">
        <v>12</v>
      </c>
      <c r="M558" s="27" t="s">
        <v>112</v>
      </c>
      <c r="N558" s="27" t="str">
        <f t="shared" si="246"/>
        <v>No</v>
      </c>
      <c r="O558" s="27" t="str">
        <f t="shared" si="245"/>
        <v>No</v>
      </c>
      <c r="Q558" s="27" t="s">
        <v>117</v>
      </c>
      <c r="R558" s="27" t="str">
        <f>_xlfn.XLOOKUP("ug/ft2",D556:D561,F556:F561,"N/A")</f>
        <v>No</v>
      </c>
      <c r="S558" s="27" t="str">
        <f>IF(COUNTIF(O561:O564,"Yes"),"Yes","No")</f>
        <v>Yes</v>
      </c>
      <c r="U558" s="27" t="s">
        <v>163</v>
      </c>
      <c r="V558" s="27" t="s">
        <v>120</v>
      </c>
      <c r="W558" s="27" t="str">
        <f>O560</f>
        <v>No</v>
      </c>
      <c r="X558" s="27" t="str">
        <f t="shared" si="247"/>
        <v>N/A</v>
      </c>
    </row>
    <row r="559" spans="1:38" x14ac:dyDescent="0.2">
      <c r="A559" s="27" t="s">
        <v>71</v>
      </c>
      <c r="B559" s="27" t="s">
        <v>32</v>
      </c>
      <c r="C559" s="27">
        <v>3</v>
      </c>
      <c r="D559" s="27" t="s">
        <v>33</v>
      </c>
      <c r="F559" s="27" t="str">
        <f>IF(C559&gt;$W$6,"Yes","No")</f>
        <v>No</v>
      </c>
      <c r="G559" s="27" t="s">
        <v>9</v>
      </c>
      <c r="J559" s="27" t="s">
        <v>19</v>
      </c>
      <c r="K559" s="27">
        <v>3474</v>
      </c>
      <c r="L559" s="27" t="s">
        <v>12</v>
      </c>
      <c r="M559" s="27" t="s">
        <v>46</v>
      </c>
      <c r="N559" s="27" t="str">
        <f>IF(K559="N/A","No", IF(K559&gt;5000,"Yes","No"))</f>
        <v>No</v>
      </c>
      <c r="O559" s="27" t="str">
        <f>IF(K559="Not","No",IF(K559="n/a","N/A",IF(K559&gt;$Y$2,"Yes","No")))</f>
        <v>No</v>
      </c>
      <c r="Q559" s="27" t="s">
        <v>118</v>
      </c>
      <c r="R559" s="27" t="str">
        <f>IF(COUNTIF(R556:R558,"Yes"),"Yes","No")</f>
        <v>No</v>
      </c>
      <c r="S559" s="27" t="str">
        <f>IF(COUNTIF(S556:S558,"Yes"),"Yes","No")</f>
        <v>Yes</v>
      </c>
      <c r="U559" s="27" t="s">
        <v>164</v>
      </c>
      <c r="V559" s="27" t="s">
        <v>9</v>
      </c>
      <c r="W559" s="27" t="str">
        <f>O559</f>
        <v>No</v>
      </c>
      <c r="X559" s="27" t="str">
        <f t="shared" si="247"/>
        <v>Yes</v>
      </c>
    </row>
    <row r="560" spans="1:38" x14ac:dyDescent="0.2">
      <c r="J560" s="27" t="s">
        <v>22</v>
      </c>
      <c r="K560" s="27">
        <v>69</v>
      </c>
      <c r="L560" s="27" t="s">
        <v>12</v>
      </c>
      <c r="M560" s="27" t="s">
        <v>43</v>
      </c>
      <c r="N560" s="27" t="str">
        <f>IF(K560="N/A","No", IF(K560&gt;5000,"Yes","No"))</f>
        <v>No</v>
      </c>
      <c r="O560" s="27" t="str">
        <f>IF(K560="Not","No",IF(K560="n/a","N/A",IF(K560&gt;$Y$2,"Yes","No")))</f>
        <v>No</v>
      </c>
      <c r="U560" s="27" t="s">
        <v>162</v>
      </c>
      <c r="V560" s="27" t="str">
        <f>R557</f>
        <v>No</v>
      </c>
      <c r="W560" s="27" t="str">
        <f>S557</f>
        <v>No</v>
      </c>
      <c r="X560" s="27" t="str">
        <f t="shared" si="247"/>
        <v>Yes</v>
      </c>
    </row>
    <row r="561" spans="1:38" x14ac:dyDescent="0.2">
      <c r="J561" s="27" t="s">
        <v>25</v>
      </c>
      <c r="K561" s="27">
        <v>2.5</v>
      </c>
      <c r="L561" s="27" t="s">
        <v>12</v>
      </c>
      <c r="M561" s="27" t="s">
        <v>126</v>
      </c>
      <c r="N561" s="27" t="str">
        <f>IF(K561="N/A","No", IF(K561&gt;20,"Yes","No"))</f>
        <v>No</v>
      </c>
      <c r="O561" s="27" t="str">
        <f t="shared" ref="O561:O562" si="249">IF(K561="Not","No",IF(K561="n/a","N/A",IF(K561&gt;$Y$6,"Yes","No")))</f>
        <v>No</v>
      </c>
      <c r="U561" s="27" t="s">
        <v>101</v>
      </c>
      <c r="V561" s="27" t="s">
        <v>9</v>
      </c>
      <c r="W561" s="27" t="s">
        <v>9</v>
      </c>
      <c r="X561" s="27" t="str">
        <f>IF(V561="N/A","N/A",IF(W561="N/A", "N/A", IF(V561=W561, "Yes","No")))</f>
        <v>Yes</v>
      </c>
    </row>
    <row r="562" spans="1:38" x14ac:dyDescent="0.2">
      <c r="J562" s="27" t="s">
        <v>29</v>
      </c>
      <c r="K562" s="27">
        <v>47</v>
      </c>
      <c r="L562" s="27" t="s">
        <v>12</v>
      </c>
      <c r="M562" s="27" t="s">
        <v>222</v>
      </c>
      <c r="N562" s="27" t="str">
        <f>IF(K562="N/A","No", IF(K562&gt;20,"Yes","No"))</f>
        <v>Yes</v>
      </c>
      <c r="O562" s="27" t="str">
        <f t="shared" si="249"/>
        <v>Yes</v>
      </c>
      <c r="U562" s="27" t="s">
        <v>104</v>
      </c>
      <c r="V562" s="27" t="s">
        <v>120</v>
      </c>
      <c r="W562" s="27" t="str">
        <f>O563</f>
        <v>No</v>
      </c>
      <c r="X562" s="27" t="str">
        <f>IF(V562="N/A","N/A",IF(W562="N/A", "N/A", IF(V562=W562, "Yes","No")))</f>
        <v>N/A</v>
      </c>
    </row>
    <row r="563" spans="1:38" x14ac:dyDescent="0.2">
      <c r="J563" s="27" t="s">
        <v>34</v>
      </c>
      <c r="K563" s="27">
        <v>2.5</v>
      </c>
      <c r="L563" s="27" t="s">
        <v>12</v>
      </c>
      <c r="M563" s="27" t="s">
        <v>210</v>
      </c>
      <c r="N563" s="27" t="str">
        <f>IF(K563="N/A","No", IF(K563&gt;230,"Yes","No"))</f>
        <v>No</v>
      </c>
      <c r="O563" s="27" t="str">
        <f>IF(K563="Not","No",IF(K563="n/a","N/A",IF(K563&gt;$Y$5,"Yes","No")))</f>
        <v>No</v>
      </c>
      <c r="U563" s="27" t="s">
        <v>106</v>
      </c>
      <c r="V563" s="27" t="str">
        <f>R558</f>
        <v>No</v>
      </c>
      <c r="W563" s="27" t="str">
        <f>S558</f>
        <v>Yes</v>
      </c>
      <c r="X563" s="27" t="str">
        <f>IF(V563="N/A","N/A",IF(W563="N/A", "N/A", IF(V563=W563, "Yes","No")))</f>
        <v>No</v>
      </c>
    </row>
    <row r="564" spans="1:38" x14ac:dyDescent="0.2">
      <c r="J564" s="27" t="s">
        <v>208</v>
      </c>
      <c r="K564" s="27">
        <v>10.7</v>
      </c>
      <c r="L564" s="27" t="s">
        <v>12</v>
      </c>
      <c r="M564" s="27" t="s">
        <v>223</v>
      </c>
      <c r="N564" s="27" t="str">
        <f>IF(K564="N/A","No", IF(K564&gt;20,"Yes","No"))</f>
        <v>No</v>
      </c>
      <c r="O564" s="27" t="str">
        <f>IF(K564="Not","No",IF(K564="n/a","N/A",IF(K564&gt;$Y$7,"Yes","No")))</f>
        <v>No</v>
      </c>
      <c r="U564" s="27" t="s">
        <v>121</v>
      </c>
      <c r="V564" s="27" t="str">
        <f>R559</f>
        <v>No</v>
      </c>
      <c r="W564" s="27" t="str">
        <f>S559</f>
        <v>Yes</v>
      </c>
      <c r="X564" s="27" t="str">
        <f>IF(V564="N/A","N/A",IF(W564="N/A", "N/A", IF(V564=W564, "Yes","No")))</f>
        <v>No</v>
      </c>
    </row>
    <row r="566" spans="1:38" x14ac:dyDescent="0.2">
      <c r="A566" s="27">
        <v>1172</v>
      </c>
      <c r="B566" s="27" t="s">
        <v>111</v>
      </c>
      <c r="C566" s="27">
        <v>40</v>
      </c>
    </row>
    <row r="567" spans="1:38" x14ac:dyDescent="0.2">
      <c r="A567" s="59" t="s">
        <v>0</v>
      </c>
      <c r="E567" s="27" t="s">
        <v>274</v>
      </c>
      <c r="F567" s="27" t="s">
        <v>275</v>
      </c>
      <c r="G567" s="27" t="s">
        <v>119</v>
      </c>
      <c r="J567" s="59" t="s">
        <v>1</v>
      </c>
      <c r="N567" s="27" t="s">
        <v>277</v>
      </c>
      <c r="O567" s="27" t="s">
        <v>278</v>
      </c>
      <c r="Q567" s="59" t="s">
        <v>115</v>
      </c>
      <c r="R567" s="59" t="s">
        <v>0</v>
      </c>
      <c r="S567" s="59" t="s">
        <v>1</v>
      </c>
      <c r="U567" s="59" t="s">
        <v>115</v>
      </c>
      <c r="V567" s="59" t="s">
        <v>0</v>
      </c>
      <c r="W567" s="59" t="s">
        <v>1</v>
      </c>
      <c r="X567" s="59" t="s">
        <v>122</v>
      </c>
      <c r="AA567" s="27" t="str">
        <f>IF(R568="Yes","LRA-Soil","")</f>
        <v>LRA-Soil</v>
      </c>
      <c r="AB567" s="27" t="str">
        <f>IF(R569="Yes","LRA-Paint","")</f>
        <v>LRA-Paint</v>
      </c>
      <c r="AC567" s="27" t="str">
        <f>IF(R570="Yes","LRA-Dust","")</f>
        <v>LRA-Dust</v>
      </c>
      <c r="AD567" s="27" t="str">
        <f>IF(S568="Yes","LSK-Soil","")</f>
        <v>LSK-Soil</v>
      </c>
      <c r="AE567" s="27" t="str">
        <f>IF(S569="Yes","LSK-Paint","")</f>
        <v/>
      </c>
      <c r="AF567" s="27" t="str">
        <f>IF(S570="Yes","LSK-Dust","")</f>
        <v>LSK-Dust</v>
      </c>
      <c r="AI567" s="27" t="s">
        <v>46</v>
      </c>
      <c r="AJ567" s="27" t="s">
        <v>43</v>
      </c>
      <c r="AK567" s="27" t="s">
        <v>116</v>
      </c>
      <c r="AL567" s="27" t="s">
        <v>117</v>
      </c>
    </row>
    <row r="568" spans="1:38" x14ac:dyDescent="0.2">
      <c r="A568" s="27" t="s">
        <v>185</v>
      </c>
      <c r="B568" s="27" t="s">
        <v>299</v>
      </c>
      <c r="C568" s="27">
        <v>4.9000000000000004</v>
      </c>
      <c r="D568" s="27" t="s">
        <v>4</v>
      </c>
      <c r="E568" s="27" t="s">
        <v>5</v>
      </c>
      <c r="F568" s="27" t="str">
        <f t="shared" ref="F568:F569" si="250">IF(C568&gt;=$W$2,"Yes","No")</f>
        <v>Yes</v>
      </c>
      <c r="G568" s="27" t="s">
        <v>5</v>
      </c>
      <c r="H568" s="27" t="s">
        <v>46</v>
      </c>
      <c r="J568" s="27" t="s">
        <v>6</v>
      </c>
      <c r="K568" s="27">
        <v>141</v>
      </c>
      <c r="L568" s="27" t="s">
        <v>12</v>
      </c>
      <c r="M568" s="27" t="s">
        <v>114</v>
      </c>
      <c r="N568" s="27" t="str">
        <f>IF(K568="N/A","No", IF(K568&gt;1200,"Yes","No"))</f>
        <v>No</v>
      </c>
      <c r="O568" s="27" t="str">
        <f t="shared" ref="O568:O570" si="251">IF(K568="Not","No",IF(K568="n/a","N/A",IF(K568&gt;$Y$3,"Yes","No")))</f>
        <v>No</v>
      </c>
      <c r="Q568" s="27" t="s">
        <v>116</v>
      </c>
      <c r="R568" s="27" t="str">
        <f>_xlfn.XLOOKUP("ppm",D568:D579,F568:F579,"N/A")</f>
        <v>Yes</v>
      </c>
      <c r="S568" s="27" t="str">
        <f>IF(COUNTIF(O568:O570,"Yes"),"Yes","No")</f>
        <v>Yes</v>
      </c>
      <c r="U568" s="27" t="s">
        <v>92</v>
      </c>
      <c r="V568" s="27" t="s">
        <v>120</v>
      </c>
      <c r="W568" s="27" t="s">
        <v>120</v>
      </c>
      <c r="X568" s="27" t="str">
        <f>IF(V568="N/A","N/A",IF(W568="N/A", "N/A", IF(V568=W568, "Yes","No")))</f>
        <v>N/A</v>
      </c>
      <c r="AI568" s="27">
        <f>COUNTIF(H567:H579,"Exterior")</f>
        <v>2</v>
      </c>
      <c r="AJ568" s="27">
        <f>COUNTIF(H567:H579, "Interior")</f>
        <v>7</v>
      </c>
      <c r="AK568" s="27">
        <f>COUNTIFS(D567:D579,"ppm")+COUNTIFS(D567:D579,"mg/Kg")</f>
        <v>2</v>
      </c>
      <c r="AL568" s="27">
        <f>COUNTIF(D567:D579,"ug/ft2")</f>
        <v>1</v>
      </c>
    </row>
    <row r="569" spans="1:38" x14ac:dyDescent="0.2">
      <c r="A569" s="27" t="s">
        <v>185</v>
      </c>
      <c r="B569" s="27" t="s">
        <v>211</v>
      </c>
      <c r="C569" s="27">
        <v>33.200000000000003</v>
      </c>
      <c r="D569" s="27" t="s">
        <v>4</v>
      </c>
      <c r="E569" s="27" t="s">
        <v>5</v>
      </c>
      <c r="F569" s="27" t="str">
        <f t="shared" si="250"/>
        <v>Yes</v>
      </c>
      <c r="G569" s="27" t="s">
        <v>9</v>
      </c>
      <c r="H569" s="27" t="s">
        <v>46</v>
      </c>
      <c r="J569" s="27" t="s">
        <v>11</v>
      </c>
      <c r="K569" s="27">
        <v>565</v>
      </c>
      <c r="L569" s="27" t="s">
        <v>12</v>
      </c>
      <c r="M569" s="27" t="s">
        <v>67</v>
      </c>
      <c r="N569" s="27" t="str">
        <f t="shared" ref="N569:N570" si="252">IF(K569="N/A","No", IF(K569&gt;1200,"Yes","No"))</f>
        <v>No</v>
      </c>
      <c r="O569" s="27" t="str">
        <f t="shared" si="251"/>
        <v>Yes</v>
      </c>
      <c r="Q569" s="27" t="s">
        <v>98</v>
      </c>
      <c r="R569" s="27" t="str">
        <f>_xlfn.XLOOKUP("mg/cm2",D568:D579,G568:G579,"N/A")</f>
        <v>Yes</v>
      </c>
      <c r="S569" s="27" t="str">
        <f>IF(COUNTIF(O571:O572,"Yes"),"Yes","No")</f>
        <v>No</v>
      </c>
      <c r="U569" s="27" t="s">
        <v>95</v>
      </c>
      <c r="V569" s="27" t="str">
        <f>R568</f>
        <v>Yes</v>
      </c>
      <c r="W569" s="27" t="str">
        <f>S568</f>
        <v>Yes</v>
      </c>
      <c r="X569" s="27" t="str">
        <f t="shared" ref="X569:X572" si="253">IF(V569="N/A","N/A",IF(W569="N/A", "N/A", IF(V569=W569, "Yes","No")))</f>
        <v>Yes</v>
      </c>
    </row>
    <row r="570" spans="1:38" x14ac:dyDescent="0.2">
      <c r="A570" s="27" t="s">
        <v>200</v>
      </c>
      <c r="B570" s="27" t="s">
        <v>286</v>
      </c>
      <c r="C570" s="27">
        <v>1540</v>
      </c>
      <c r="D570" s="27" t="s">
        <v>12</v>
      </c>
      <c r="E570" s="27" t="s">
        <v>5</v>
      </c>
      <c r="F570" s="27" t="str">
        <f>IF(C570&gt;$W$3,"Yes","No")</f>
        <v>Yes</v>
      </c>
      <c r="G570" s="27" t="s">
        <v>5</v>
      </c>
      <c r="J570" s="27" t="s">
        <v>15</v>
      </c>
      <c r="K570" s="27">
        <v>1385</v>
      </c>
      <c r="L570" s="27" t="s">
        <v>12</v>
      </c>
      <c r="M570" s="27" t="s">
        <v>112</v>
      </c>
      <c r="N570" s="27" t="str">
        <f t="shared" si="252"/>
        <v>Yes</v>
      </c>
      <c r="O570" s="27" t="str">
        <f t="shared" si="251"/>
        <v>Yes</v>
      </c>
      <c r="Q570" s="27" t="s">
        <v>117</v>
      </c>
      <c r="R570" s="27" t="str">
        <f>_xlfn.XLOOKUP("ug/ft2",D568:D579,F568:F579,"N/A")</f>
        <v>Yes</v>
      </c>
      <c r="S570" s="27" t="str">
        <f>IF(COUNTIF(O573:O576,"Yes"),"Yes","No")</f>
        <v>Yes</v>
      </c>
      <c r="U570" s="27" t="s">
        <v>163</v>
      </c>
      <c r="V570" s="27" t="s">
        <v>5</v>
      </c>
      <c r="W570" s="27" t="str">
        <f>O572</f>
        <v>No</v>
      </c>
      <c r="X570" s="27" t="str">
        <f t="shared" si="253"/>
        <v>No</v>
      </c>
    </row>
    <row r="571" spans="1:38" x14ac:dyDescent="0.2">
      <c r="A571" s="27" t="s">
        <v>243</v>
      </c>
      <c r="B571" s="27" t="s">
        <v>294</v>
      </c>
      <c r="C571" s="27">
        <v>1260</v>
      </c>
      <c r="D571" s="27" t="s">
        <v>37</v>
      </c>
      <c r="E571" s="27" t="s">
        <v>5</v>
      </c>
      <c r="F571" s="27" t="str">
        <f>IF(C571&gt;$W$3,"Yes","No")</f>
        <v>Yes</v>
      </c>
      <c r="G571" s="27" t="s">
        <v>5</v>
      </c>
      <c r="J571" s="27" t="s">
        <v>19</v>
      </c>
      <c r="K571" s="27">
        <v>1817</v>
      </c>
      <c r="L571" s="27" t="s">
        <v>12</v>
      </c>
      <c r="M571" s="27" t="s">
        <v>46</v>
      </c>
      <c r="N571" s="27" t="str">
        <f>IF(K571="N/A","No", IF(K571&gt;5000,"Yes","No"))</f>
        <v>No</v>
      </c>
      <c r="O571" s="27" t="str">
        <f>IF(K571="Not","No",IF(K571="n/a","N/A",IF(K571&gt;$Y$2,"Yes","No")))</f>
        <v>No</v>
      </c>
      <c r="Q571" s="27" t="s">
        <v>118</v>
      </c>
      <c r="R571" s="27" t="str">
        <f>IF(COUNTIF(R568:R570,"Yes"),"Yes","No")</f>
        <v>Yes</v>
      </c>
      <c r="S571" s="27" t="str">
        <f>IF(COUNTIF(S568:S570,"Yes"),"Yes","No")</f>
        <v>Yes</v>
      </c>
      <c r="U571" s="27" t="s">
        <v>164</v>
      </c>
      <c r="V571" s="27" t="s">
        <v>5</v>
      </c>
      <c r="W571" s="27" t="str">
        <f>O571</f>
        <v>No</v>
      </c>
      <c r="X571" s="27" t="str">
        <f t="shared" si="253"/>
        <v>No</v>
      </c>
    </row>
    <row r="572" spans="1:38" x14ac:dyDescent="0.2">
      <c r="A572" s="27" t="s">
        <v>241</v>
      </c>
      <c r="B572" s="27" t="s">
        <v>238</v>
      </c>
      <c r="C572" s="27">
        <v>4</v>
      </c>
      <c r="D572" s="27" t="s">
        <v>4</v>
      </c>
      <c r="E572" s="27" t="s">
        <v>5</v>
      </c>
      <c r="F572" s="27" t="str">
        <f t="shared" ref="F572:F578" si="254">IF(C572&gt;=$W$2,"Yes","No")</f>
        <v>Yes</v>
      </c>
      <c r="G572" s="27" t="s">
        <v>5</v>
      </c>
      <c r="H572" s="27" t="s">
        <v>43</v>
      </c>
      <c r="J572" s="27" t="s">
        <v>22</v>
      </c>
      <c r="K572" s="27">
        <v>25</v>
      </c>
      <c r="L572" s="27" t="s">
        <v>12</v>
      </c>
      <c r="M572" s="27" t="s">
        <v>43</v>
      </c>
      <c r="N572" s="27" t="str">
        <f>IF(K572="N/A","No", IF(K572&gt;5000,"Yes","No"))</f>
        <v>No</v>
      </c>
      <c r="O572" s="27" t="str">
        <f>IF(K572="Not","No",IF(K572="n/a","N/A",IF(K572&gt;$Y$2,"Yes","No")))</f>
        <v>No</v>
      </c>
      <c r="U572" s="27" t="s">
        <v>162</v>
      </c>
      <c r="V572" s="27" t="str">
        <f>R569</f>
        <v>Yes</v>
      </c>
      <c r="W572" s="27" t="str">
        <f>S569</f>
        <v>No</v>
      </c>
      <c r="X572" s="27" t="str">
        <f t="shared" si="253"/>
        <v>No</v>
      </c>
    </row>
    <row r="573" spans="1:38" x14ac:dyDescent="0.2">
      <c r="A573" s="27" t="s">
        <v>190</v>
      </c>
      <c r="B573" s="27" t="s">
        <v>238</v>
      </c>
      <c r="C573" s="27">
        <v>5.6</v>
      </c>
      <c r="D573" s="27" t="s">
        <v>4</v>
      </c>
      <c r="E573" s="27" t="s">
        <v>5</v>
      </c>
      <c r="F573" s="27" t="str">
        <f t="shared" si="254"/>
        <v>Yes</v>
      </c>
      <c r="G573" s="27" t="s">
        <v>5</v>
      </c>
      <c r="H573" s="27" t="s">
        <v>43</v>
      </c>
      <c r="J573" s="27" t="s">
        <v>25</v>
      </c>
      <c r="K573" s="27">
        <v>409</v>
      </c>
      <c r="L573" s="27" t="s">
        <v>12</v>
      </c>
      <c r="M573" s="27" t="s">
        <v>126</v>
      </c>
      <c r="N573" s="27" t="str">
        <f>IF(K573="N/A","No", IF(K573&gt;20,"Yes","No"))</f>
        <v>Yes</v>
      </c>
      <c r="O573" s="27" t="str">
        <f t="shared" ref="O573:O574" si="255">IF(K573="Not","No",IF(K573="n/a","N/A",IF(K573&gt;$Y$6,"Yes","No")))</f>
        <v>Yes</v>
      </c>
      <c r="U573" s="27" t="s">
        <v>101</v>
      </c>
      <c r="V573" s="27" t="s">
        <v>120</v>
      </c>
      <c r="W573" s="27" t="s">
        <v>9</v>
      </c>
      <c r="X573" s="27" t="str">
        <f>IF(V573="N/A","N/A",IF(W573="N/A", "N/A", IF(V573=W573, "Yes","No")))</f>
        <v>N/A</v>
      </c>
    </row>
    <row r="574" spans="1:38" x14ac:dyDescent="0.2">
      <c r="A574" s="27" t="s">
        <v>190</v>
      </c>
      <c r="B574" s="27" t="s">
        <v>221</v>
      </c>
      <c r="C574" s="27">
        <v>4.7</v>
      </c>
      <c r="D574" s="27" t="s">
        <v>4</v>
      </c>
      <c r="E574" s="27" t="s">
        <v>5</v>
      </c>
      <c r="F574" s="27" t="str">
        <f t="shared" si="254"/>
        <v>Yes</v>
      </c>
      <c r="G574" s="27" t="s">
        <v>5</v>
      </c>
      <c r="H574" s="27" t="s">
        <v>43</v>
      </c>
      <c r="J574" s="27" t="s">
        <v>29</v>
      </c>
      <c r="K574" s="27">
        <v>577</v>
      </c>
      <c r="L574" s="27" t="s">
        <v>12</v>
      </c>
      <c r="M574" s="27" t="s">
        <v>222</v>
      </c>
      <c r="N574" s="27" t="str">
        <f>IF(K574="N/A","No", IF(K574&gt;20,"Yes","No"))</f>
        <v>Yes</v>
      </c>
      <c r="O574" s="27" t="str">
        <f t="shared" si="255"/>
        <v>Yes</v>
      </c>
      <c r="U574" s="27" t="s">
        <v>104</v>
      </c>
      <c r="V574" s="27" t="s">
        <v>5</v>
      </c>
      <c r="W574" s="27" t="str">
        <f>O575</f>
        <v>No</v>
      </c>
      <c r="X574" s="27" t="str">
        <f>IF(V574="N/A","N/A",IF(W574="N/A", "N/A", IF(V574=W574, "Yes","No")))</f>
        <v>No</v>
      </c>
    </row>
    <row r="575" spans="1:38" x14ac:dyDescent="0.2">
      <c r="A575" s="27" t="s">
        <v>190</v>
      </c>
      <c r="B575" s="27" t="s">
        <v>236</v>
      </c>
      <c r="C575" s="27">
        <v>4.5999999999999996</v>
      </c>
      <c r="D575" s="27" t="s">
        <v>4</v>
      </c>
      <c r="E575" s="27" t="s">
        <v>5</v>
      </c>
      <c r="F575" s="27" t="str">
        <f t="shared" si="254"/>
        <v>Yes</v>
      </c>
      <c r="G575" s="27" t="s">
        <v>5</v>
      </c>
      <c r="H575" s="27" t="s">
        <v>43</v>
      </c>
      <c r="J575" s="27" t="s">
        <v>34</v>
      </c>
      <c r="K575" s="27">
        <v>21</v>
      </c>
      <c r="L575" s="27" t="s">
        <v>12</v>
      </c>
      <c r="M575" s="27" t="s">
        <v>210</v>
      </c>
      <c r="N575" s="27" t="str">
        <f>IF(K575="N/A","No", IF(K575&gt;230,"Yes","No"))</f>
        <v>No</v>
      </c>
      <c r="O575" s="27" t="str">
        <f>IF(K575="Not","No",IF(K575="n/a","N/A",IF(K575&gt;$Y$5,"Yes","No")))</f>
        <v>No</v>
      </c>
      <c r="U575" s="27" t="s">
        <v>106</v>
      </c>
      <c r="V575" s="27" t="str">
        <f>R570</f>
        <v>Yes</v>
      </c>
      <c r="W575" s="27" t="str">
        <f>S570</f>
        <v>Yes</v>
      </c>
      <c r="X575" s="27" t="str">
        <f>IF(V575="N/A","N/A",IF(W575="N/A", "N/A", IF(V575=W575, "Yes","No")))</f>
        <v>Yes</v>
      </c>
    </row>
    <row r="576" spans="1:38" x14ac:dyDescent="0.2">
      <c r="A576" s="27" t="s">
        <v>249</v>
      </c>
      <c r="B576" s="27" t="s">
        <v>211</v>
      </c>
      <c r="C576" s="27">
        <v>11.8</v>
      </c>
      <c r="D576" s="27" t="s">
        <v>4</v>
      </c>
      <c r="E576" s="27" t="s">
        <v>5</v>
      </c>
      <c r="F576" s="27" t="str">
        <f t="shared" si="254"/>
        <v>Yes</v>
      </c>
      <c r="G576" s="27" t="s">
        <v>5</v>
      </c>
      <c r="H576" s="27" t="s">
        <v>43</v>
      </c>
      <c r="J576" s="27" t="s">
        <v>208</v>
      </c>
      <c r="K576" s="27">
        <v>783</v>
      </c>
      <c r="L576" s="27" t="s">
        <v>12</v>
      </c>
      <c r="M576" s="27" t="s">
        <v>223</v>
      </c>
      <c r="N576" s="27" t="str">
        <f>IF(K576="N/A","No", IF(K576&gt;20,"Yes","No"))</f>
        <v>Yes</v>
      </c>
      <c r="O576" s="27" t="str">
        <f>IF(K576="Not","No",IF(K576="n/a","N/A",IF(K576&gt;$Y$7,"Yes","No")))</f>
        <v>No</v>
      </c>
      <c r="U576" s="27" t="s">
        <v>121</v>
      </c>
      <c r="V576" s="27" t="str">
        <f>R571</f>
        <v>Yes</v>
      </c>
      <c r="W576" s="27" t="str">
        <f>S571</f>
        <v>Yes</v>
      </c>
      <c r="X576" s="27" t="str">
        <f>IF(V576="N/A","N/A",IF(W576="N/A", "N/A", IF(V576=W576, "Yes","No")))</f>
        <v>Yes</v>
      </c>
    </row>
    <row r="577" spans="1:38" x14ac:dyDescent="0.2">
      <c r="A577" s="27" t="s">
        <v>237</v>
      </c>
      <c r="B577" s="27" t="s">
        <v>238</v>
      </c>
      <c r="C577" s="27">
        <v>6</v>
      </c>
      <c r="D577" s="27" t="s">
        <v>4</v>
      </c>
      <c r="E577" s="27" t="s">
        <v>5</v>
      </c>
      <c r="F577" s="27" t="str">
        <f t="shared" si="254"/>
        <v>Yes</v>
      </c>
      <c r="G577" s="27" t="s">
        <v>5</v>
      </c>
      <c r="H577" s="27" t="s">
        <v>43</v>
      </c>
    </row>
    <row r="578" spans="1:38" x14ac:dyDescent="0.2">
      <c r="A578" s="27" t="s">
        <v>237</v>
      </c>
      <c r="B578" s="27" t="s">
        <v>221</v>
      </c>
      <c r="C578" s="27">
        <v>7.2</v>
      </c>
      <c r="D578" s="27" t="s">
        <v>4</v>
      </c>
      <c r="E578" s="27" t="s">
        <v>5</v>
      </c>
      <c r="F578" s="27" t="str">
        <f t="shared" si="254"/>
        <v>Yes</v>
      </c>
      <c r="G578" s="27" t="s">
        <v>5</v>
      </c>
      <c r="H578" s="27" t="s">
        <v>43</v>
      </c>
    </row>
    <row r="579" spans="1:38" x14ac:dyDescent="0.2">
      <c r="A579" s="27" t="s">
        <v>241</v>
      </c>
      <c r="B579" s="27" t="s">
        <v>192</v>
      </c>
      <c r="C579" s="27">
        <v>220</v>
      </c>
      <c r="D579" s="27" t="s">
        <v>33</v>
      </c>
      <c r="E579" s="27" t="s">
        <v>5</v>
      </c>
      <c r="F579" s="27" t="str">
        <f>IF(C579&gt;$W$5,"Yes","No")</f>
        <v>Yes</v>
      </c>
      <c r="G579" s="27" t="s">
        <v>5</v>
      </c>
    </row>
    <row r="582" spans="1:38" x14ac:dyDescent="0.2">
      <c r="A582" s="27">
        <v>1175</v>
      </c>
      <c r="B582" s="27" t="s">
        <v>111</v>
      </c>
      <c r="C582" s="27">
        <v>41</v>
      </c>
    </row>
    <row r="583" spans="1:38" x14ac:dyDescent="0.2">
      <c r="A583" s="59" t="s">
        <v>0</v>
      </c>
      <c r="E583" s="27" t="s">
        <v>274</v>
      </c>
      <c r="F583" s="27" t="s">
        <v>275</v>
      </c>
      <c r="G583" s="27" t="s">
        <v>119</v>
      </c>
      <c r="J583" s="59" t="s">
        <v>1</v>
      </c>
      <c r="N583" s="27" t="s">
        <v>277</v>
      </c>
      <c r="O583" s="27" t="s">
        <v>278</v>
      </c>
      <c r="Q583" s="59" t="s">
        <v>115</v>
      </c>
      <c r="R583" s="59" t="s">
        <v>0</v>
      </c>
      <c r="S583" s="59" t="s">
        <v>1</v>
      </c>
      <c r="U583" s="59" t="s">
        <v>115</v>
      </c>
      <c r="V583" s="59" t="s">
        <v>0</v>
      </c>
      <c r="W583" s="59" t="s">
        <v>1</v>
      </c>
      <c r="X583" s="59" t="s">
        <v>122</v>
      </c>
      <c r="AA583" s="27" t="str">
        <f>IF(R584="Yes","LRA-Soil","")</f>
        <v/>
      </c>
      <c r="AB583" s="27" t="str">
        <f>IF(R585="Yes","LRA-Paint","")</f>
        <v>LRA-Paint</v>
      </c>
      <c r="AC583" s="27" t="str">
        <f>IF(R586="Yes","LRA-Dust","")</f>
        <v>LRA-Dust</v>
      </c>
      <c r="AD583" s="27" t="str">
        <f>IF(S584="Yes","LSK-Soil","")</f>
        <v>LSK-Soil</v>
      </c>
      <c r="AE583" s="27" t="str">
        <f>IF(S585="Yes","LSK-Paint","")</f>
        <v>LSK-Paint</v>
      </c>
      <c r="AF583" s="27" t="str">
        <f>IF(S586="Yes","LSK-Dust","")</f>
        <v>LSK-Dust</v>
      </c>
      <c r="AI583" s="27" t="s">
        <v>46</v>
      </c>
      <c r="AJ583" s="27" t="s">
        <v>43</v>
      </c>
      <c r="AK583" s="27" t="s">
        <v>116</v>
      </c>
      <c r="AL583" s="27" t="s">
        <v>117</v>
      </c>
    </row>
    <row r="584" spans="1:38" x14ac:dyDescent="0.2">
      <c r="A584" s="27" t="s">
        <v>63</v>
      </c>
      <c r="B584" s="27" t="s">
        <v>18</v>
      </c>
      <c r="C584" s="27">
        <v>0</v>
      </c>
      <c r="D584" s="27" t="s">
        <v>4</v>
      </c>
      <c r="F584" s="27" t="str">
        <f t="shared" ref="F584" si="256">IF(C584&gt;=$W$2,"Yes","No")</f>
        <v>No</v>
      </c>
      <c r="G584" s="27" t="s">
        <v>9</v>
      </c>
      <c r="H584" s="27" t="s">
        <v>46</v>
      </c>
      <c r="J584" s="27" t="s">
        <v>6</v>
      </c>
      <c r="K584" s="27">
        <v>138</v>
      </c>
      <c r="L584" s="27" t="s">
        <v>12</v>
      </c>
      <c r="M584" s="27" t="s">
        <v>114</v>
      </c>
      <c r="N584" s="27" t="str">
        <f>IF(K584="N/A","No", IF(K584&gt;1200,"Yes","No"))</f>
        <v>No</v>
      </c>
      <c r="O584" s="27" t="str">
        <f t="shared" ref="O584:O586" si="257">IF(K584="Not","No",IF(K584="n/a","N/A",IF(K584&gt;$Y$3,"Yes","No")))</f>
        <v>No</v>
      </c>
      <c r="Q584" s="27" t="s">
        <v>116</v>
      </c>
      <c r="R584" s="27" t="str">
        <f>_xlfn.XLOOKUP("ppm",D584:D596,F584:F596,"N/A")</f>
        <v>No</v>
      </c>
      <c r="S584" s="27" t="str">
        <f>IF(COUNTIF(O584:O586,"Yes"),"Yes","No")</f>
        <v>Yes</v>
      </c>
      <c r="U584" s="27" t="s">
        <v>92</v>
      </c>
      <c r="V584" s="27" t="s">
        <v>120</v>
      </c>
      <c r="W584" s="27" t="s">
        <v>120</v>
      </c>
      <c r="X584" s="27" t="str">
        <f>IF(V584="N/A","N/A",IF(W584="N/A", "N/A", IF(V584=W584, "Yes","No")))</f>
        <v>N/A</v>
      </c>
      <c r="AI584" s="27">
        <f>COUNTIF(H583:H593,"Exterior")</f>
        <v>1</v>
      </c>
      <c r="AJ584" s="27">
        <f>COUNTIF(H583:H593, "Interior")</f>
        <v>1</v>
      </c>
      <c r="AK584" s="27">
        <f>COUNTIFS(D583:D593,"ppm")+COUNTIFS(D583:D593,"mg/Kg")</f>
        <v>1</v>
      </c>
      <c r="AL584" s="27">
        <f>COUNTIF(D583:D593,"ug/ft2")</f>
        <v>7</v>
      </c>
    </row>
    <row r="585" spans="1:38" x14ac:dyDescent="0.2">
      <c r="A585" s="27" t="s">
        <v>68</v>
      </c>
      <c r="B585" s="27" t="s">
        <v>69</v>
      </c>
      <c r="C585" s="27">
        <v>141</v>
      </c>
      <c r="D585" s="27" t="s">
        <v>12</v>
      </c>
      <c r="F585" s="27" t="str">
        <f>IF(C585&gt;$W$3,"Yes","No")</f>
        <v>No</v>
      </c>
      <c r="G585" s="27" t="s">
        <v>9</v>
      </c>
      <c r="J585" s="27" t="s">
        <v>11</v>
      </c>
      <c r="K585" s="27">
        <v>130</v>
      </c>
      <c r="L585" s="27" t="s">
        <v>12</v>
      </c>
      <c r="M585" s="27" t="s">
        <v>67</v>
      </c>
      <c r="N585" s="27" t="str">
        <f t="shared" ref="N585:N586" si="258">IF(K585="N/A","No", IF(K585&gt;1200,"Yes","No"))</f>
        <v>No</v>
      </c>
      <c r="O585" s="27" t="str">
        <f t="shared" si="257"/>
        <v>No</v>
      </c>
      <c r="Q585" s="27" t="s">
        <v>98</v>
      </c>
      <c r="R585" s="63" t="s">
        <v>5</v>
      </c>
      <c r="S585" s="27" t="str">
        <f>IF(COUNTIF(O587:O588,"Yes"),"Yes","No")</f>
        <v>Yes</v>
      </c>
      <c r="U585" s="27" t="s">
        <v>95</v>
      </c>
      <c r="V585" s="27" t="str">
        <f>R584</f>
        <v>No</v>
      </c>
      <c r="W585" s="27" t="str">
        <f>S584</f>
        <v>Yes</v>
      </c>
      <c r="X585" s="27" t="str">
        <f t="shared" ref="X585:X588" si="259">IF(V585="N/A","N/A",IF(W585="N/A", "N/A", IF(V585=W585, "Yes","No")))</f>
        <v>No</v>
      </c>
    </row>
    <row r="586" spans="1:38" x14ac:dyDescent="0.2">
      <c r="A586" s="27" t="s">
        <v>109</v>
      </c>
      <c r="B586" s="27" t="s">
        <v>10</v>
      </c>
      <c r="C586" s="27">
        <v>5.4</v>
      </c>
      <c r="D586" s="27" t="s">
        <v>4</v>
      </c>
      <c r="F586" s="27" t="str">
        <f t="shared" ref="F586" si="260">IF(C586&gt;=$W$2,"Yes","No")</f>
        <v>Yes</v>
      </c>
      <c r="G586" s="27" t="s">
        <v>5</v>
      </c>
      <c r="H586" s="27" t="s">
        <v>43</v>
      </c>
      <c r="J586" s="27" t="s">
        <v>15</v>
      </c>
      <c r="K586" s="27">
        <v>1723</v>
      </c>
      <c r="L586" s="27" t="s">
        <v>12</v>
      </c>
      <c r="M586" s="27" t="s">
        <v>112</v>
      </c>
      <c r="N586" s="27" t="str">
        <f t="shared" si="258"/>
        <v>Yes</v>
      </c>
      <c r="O586" s="27" t="str">
        <f t="shared" si="257"/>
        <v>Yes</v>
      </c>
      <c r="Q586" s="27" t="s">
        <v>117</v>
      </c>
      <c r="R586" s="27" t="str">
        <f>_xlfn.XLOOKUP("ug/ft2",D584:D596,F584:F596,"N/A")</f>
        <v>Yes</v>
      </c>
      <c r="S586" s="27" t="str">
        <f>IF(COUNTIF(O589:O592,"Yes"),"Yes","No")</f>
        <v>Yes</v>
      </c>
      <c r="U586" s="27" t="s">
        <v>163</v>
      </c>
      <c r="V586" s="27" t="s">
        <v>5</v>
      </c>
      <c r="W586" s="27" t="str">
        <f>O588</f>
        <v>Yes</v>
      </c>
      <c r="X586" s="27" t="str">
        <f t="shared" si="259"/>
        <v>Yes</v>
      </c>
    </row>
    <row r="587" spans="1:38" x14ac:dyDescent="0.2">
      <c r="A587" s="27" t="s">
        <v>113</v>
      </c>
      <c r="B587" s="27" t="s">
        <v>32</v>
      </c>
      <c r="C587" s="27">
        <v>38.799999999999997</v>
      </c>
      <c r="D587" s="27" t="s">
        <v>33</v>
      </c>
      <c r="F587" s="27" t="str">
        <f t="shared" ref="F587:F589" si="261">IF(C587&gt;$W$6,"Yes","No")</f>
        <v>Yes</v>
      </c>
      <c r="G587" s="27" t="s">
        <v>5</v>
      </c>
      <c r="J587" s="27" t="s">
        <v>19</v>
      </c>
      <c r="K587" s="27">
        <v>12236</v>
      </c>
      <c r="L587" s="27" t="s">
        <v>12</v>
      </c>
      <c r="M587" s="27" t="s">
        <v>46</v>
      </c>
      <c r="N587" s="27" t="str">
        <f>IF(K587="N/A","No", IF(K587&gt;5000,"Yes","No"))</f>
        <v>Yes</v>
      </c>
      <c r="O587" s="27" t="str">
        <f>IF(K587="Not","No",IF(K587="n/a","N/A",IF(K587&gt;$Y$2,"Yes","No")))</f>
        <v>Yes</v>
      </c>
      <c r="Q587" s="27" t="s">
        <v>118</v>
      </c>
      <c r="R587" s="27" t="str">
        <f>IF(COUNTIF(R584:R586,"Yes"),"Yes","No")</f>
        <v>Yes</v>
      </c>
      <c r="S587" s="27" t="str">
        <f>IF(COUNTIF(S584:S586,"Yes"),"Yes","No")</f>
        <v>Yes</v>
      </c>
      <c r="U587" s="27" t="s">
        <v>164</v>
      </c>
      <c r="V587" s="27" t="s">
        <v>9</v>
      </c>
      <c r="W587" s="27" t="str">
        <f>O587</f>
        <v>Yes</v>
      </c>
      <c r="X587" s="27" t="str">
        <f t="shared" si="259"/>
        <v>No</v>
      </c>
    </row>
    <row r="588" spans="1:38" x14ac:dyDescent="0.2">
      <c r="A588" s="27" t="s">
        <v>109</v>
      </c>
      <c r="B588" s="27" t="s">
        <v>32</v>
      </c>
      <c r="C588" s="27">
        <v>59.2</v>
      </c>
      <c r="D588" s="27" t="s">
        <v>33</v>
      </c>
      <c r="F588" s="27" t="str">
        <f t="shared" si="261"/>
        <v>Yes</v>
      </c>
      <c r="G588" s="27" t="s">
        <v>5</v>
      </c>
      <c r="J588" s="27" t="s">
        <v>22</v>
      </c>
      <c r="K588" s="27">
        <v>34752</v>
      </c>
      <c r="L588" s="27" t="s">
        <v>12</v>
      </c>
      <c r="M588" s="27" t="s">
        <v>43</v>
      </c>
      <c r="N588" s="27" t="str">
        <f>IF(K588="N/A","No", IF(K588&gt;5000,"Yes","No"))</f>
        <v>Yes</v>
      </c>
      <c r="O588" s="27" t="str">
        <f>IF(K588="Not","No",IF(K588="n/a","N/A",IF(K588&gt;$Y$2,"Yes","No")))</f>
        <v>Yes</v>
      </c>
      <c r="U588" s="27" t="s">
        <v>162</v>
      </c>
      <c r="V588" s="27" t="str">
        <f>R585</f>
        <v>Yes</v>
      </c>
      <c r="W588" s="27" t="str">
        <f>S585</f>
        <v>Yes</v>
      </c>
      <c r="X588" s="27" t="str">
        <f t="shared" si="259"/>
        <v>Yes</v>
      </c>
    </row>
    <row r="589" spans="1:38" x14ac:dyDescent="0.2">
      <c r="A589" s="27" t="s">
        <v>293</v>
      </c>
      <c r="B589" s="27" t="s">
        <v>32</v>
      </c>
      <c r="C589" s="27">
        <v>42.7</v>
      </c>
      <c r="D589" s="27" t="s">
        <v>33</v>
      </c>
      <c r="F589" s="27" t="str">
        <f t="shared" si="261"/>
        <v>Yes</v>
      </c>
      <c r="G589" s="27" t="s">
        <v>5</v>
      </c>
      <c r="J589" s="27" t="s">
        <v>25</v>
      </c>
      <c r="K589" s="27">
        <v>5</v>
      </c>
      <c r="L589" s="27" t="s">
        <v>12</v>
      </c>
      <c r="M589" s="27" t="s">
        <v>126</v>
      </c>
      <c r="N589" s="27" t="str">
        <f>IF(K589="N/A","No", IF(K589&gt;20,"Yes","No"))</f>
        <v>No</v>
      </c>
      <c r="O589" s="27" t="str">
        <f t="shared" ref="O589:O590" si="262">IF(K589="Not","No",IF(K589="n/a","N/A",IF(K589&gt;$Y$6,"Yes","No")))</f>
        <v>No</v>
      </c>
      <c r="U589" s="27" t="s">
        <v>101</v>
      </c>
      <c r="V589" s="27" t="s">
        <v>5</v>
      </c>
      <c r="W589" s="27" t="s">
        <v>9</v>
      </c>
      <c r="X589" s="27" t="str">
        <f>IF(V589="N/A","N/A",IF(W589="N/A", "N/A", IF(V589=W589, "Yes","No")))</f>
        <v>No</v>
      </c>
    </row>
    <row r="590" spans="1:38" x14ac:dyDescent="0.2">
      <c r="A590" s="27" t="s">
        <v>293</v>
      </c>
      <c r="B590" s="27" t="s">
        <v>54</v>
      </c>
      <c r="C590" s="27">
        <v>233.8</v>
      </c>
      <c r="D590" s="27" t="s">
        <v>33</v>
      </c>
      <c r="F590" s="27" t="str">
        <f>IF(C590&gt;$W$5,"Yes","No")</f>
        <v>Yes</v>
      </c>
      <c r="G590" s="27" t="s">
        <v>5</v>
      </c>
      <c r="J590" s="27" t="s">
        <v>29</v>
      </c>
      <c r="K590" s="27">
        <v>409</v>
      </c>
      <c r="L590" s="27" t="s">
        <v>12</v>
      </c>
      <c r="M590" s="27" t="s">
        <v>222</v>
      </c>
      <c r="N590" s="27" t="str">
        <f>IF(K590="N/A","No", IF(K590&gt;20,"Yes","No"))</f>
        <v>Yes</v>
      </c>
      <c r="O590" s="27" t="str">
        <f t="shared" si="262"/>
        <v>Yes</v>
      </c>
      <c r="U590" s="27" t="s">
        <v>104</v>
      </c>
      <c r="V590" s="27" t="s">
        <v>5</v>
      </c>
      <c r="W590" s="27" t="str">
        <f>O591</f>
        <v>No</v>
      </c>
      <c r="X590" s="27" t="str">
        <f>IF(V590="N/A","N/A",IF(W590="N/A", "N/A", IF(V590=W590, "Yes","No")))</f>
        <v>No</v>
      </c>
    </row>
    <row r="591" spans="1:38" x14ac:dyDescent="0.2">
      <c r="A591" s="27" t="s">
        <v>71</v>
      </c>
      <c r="B591" s="27" t="s">
        <v>32</v>
      </c>
      <c r="C591" s="27">
        <v>105</v>
      </c>
      <c r="D591" s="27" t="s">
        <v>33</v>
      </c>
      <c r="F591" s="27" t="str">
        <f t="shared" ref="F591:F592" si="263">IF(C591&gt;$W$6,"Yes","No")</f>
        <v>Yes</v>
      </c>
      <c r="G591" s="27" t="s">
        <v>5</v>
      </c>
      <c r="J591" s="27" t="s">
        <v>34</v>
      </c>
      <c r="K591" s="27">
        <v>127</v>
      </c>
      <c r="L591" s="27" t="s">
        <v>12</v>
      </c>
      <c r="M591" s="27" t="s">
        <v>210</v>
      </c>
      <c r="N591" s="27" t="str">
        <f>IF(K591="N/A","No", IF(K591&gt;230,"Yes","No"))</f>
        <v>No</v>
      </c>
      <c r="O591" s="27" t="str">
        <f>IF(K591="Not","No",IF(K591="n/a","N/A",IF(K591&gt;$Y$5,"Yes","No")))</f>
        <v>No</v>
      </c>
      <c r="U591" s="27" t="s">
        <v>106</v>
      </c>
      <c r="V591" s="27" t="str">
        <f>R586</f>
        <v>Yes</v>
      </c>
      <c r="W591" s="27" t="str">
        <f>S586</f>
        <v>Yes</v>
      </c>
      <c r="X591" s="27" t="str">
        <f>IF(V591="N/A","N/A",IF(W591="N/A", "N/A", IF(V591=W591, "Yes","No")))</f>
        <v>Yes</v>
      </c>
    </row>
    <row r="592" spans="1:38" x14ac:dyDescent="0.2">
      <c r="A592" s="27" t="s">
        <v>71</v>
      </c>
      <c r="B592" s="27" t="s">
        <v>32</v>
      </c>
      <c r="C592" s="27">
        <v>38.799999999999997</v>
      </c>
      <c r="D592" s="27" t="s">
        <v>33</v>
      </c>
      <c r="F592" s="27" t="str">
        <f t="shared" si="263"/>
        <v>Yes</v>
      </c>
      <c r="G592" s="27" t="s">
        <v>5</v>
      </c>
      <c r="J592" s="27" t="s">
        <v>208</v>
      </c>
      <c r="K592" s="27">
        <v>366</v>
      </c>
      <c r="L592" s="27" t="s">
        <v>12</v>
      </c>
      <c r="M592" s="27" t="s">
        <v>223</v>
      </c>
      <c r="N592" s="27" t="str">
        <f>IF(K592="N/A","No", IF(K592&gt;20,"Yes","No"))</f>
        <v>Yes</v>
      </c>
      <c r="O592" s="27" t="str">
        <f>IF(K592="Not","No",IF(K592="n/a","N/A",IF(K592&gt;$Y$7,"Yes","No")))</f>
        <v>No</v>
      </c>
      <c r="U592" s="27" t="s">
        <v>121</v>
      </c>
      <c r="V592" s="27" t="str">
        <f>R587</f>
        <v>Yes</v>
      </c>
      <c r="W592" s="27" t="str">
        <f>S587</f>
        <v>Yes</v>
      </c>
      <c r="X592" s="27" t="str">
        <f>IF(V592="N/A","N/A",IF(W592="N/A", "N/A", IF(V592=W592, "Yes","No")))</f>
        <v>Yes</v>
      </c>
    </row>
    <row r="593" spans="1:38" x14ac:dyDescent="0.2">
      <c r="A593" s="27" t="s">
        <v>158</v>
      </c>
      <c r="B593" s="27" t="s">
        <v>54</v>
      </c>
      <c r="C593" s="27">
        <v>3438</v>
      </c>
      <c r="D593" s="27" t="s">
        <v>33</v>
      </c>
      <c r="F593" s="27" t="str">
        <f>IF(C593&gt;$W$5,"Yes","No")</f>
        <v>Yes</v>
      </c>
      <c r="G593" s="27" t="s">
        <v>5</v>
      </c>
    </row>
    <row r="596" spans="1:38" x14ac:dyDescent="0.2">
      <c r="A596" s="57">
        <v>1176</v>
      </c>
      <c r="B596" s="27" t="s">
        <v>111</v>
      </c>
      <c r="C596" s="27">
        <v>42</v>
      </c>
    </row>
    <row r="597" spans="1:38" x14ac:dyDescent="0.2">
      <c r="A597" s="59" t="s">
        <v>0</v>
      </c>
      <c r="E597" s="27" t="s">
        <v>274</v>
      </c>
      <c r="F597" s="27" t="s">
        <v>275</v>
      </c>
      <c r="G597" s="27" t="s">
        <v>119</v>
      </c>
      <c r="J597" s="59" t="s">
        <v>1</v>
      </c>
      <c r="N597" s="27" t="s">
        <v>277</v>
      </c>
      <c r="O597" s="27" t="s">
        <v>278</v>
      </c>
      <c r="Q597" s="59" t="s">
        <v>115</v>
      </c>
      <c r="R597" s="59" t="s">
        <v>0</v>
      </c>
      <c r="S597" s="59" t="s">
        <v>1</v>
      </c>
      <c r="U597" s="59" t="s">
        <v>115</v>
      </c>
      <c r="V597" s="59" t="s">
        <v>0</v>
      </c>
      <c r="W597" s="59" t="s">
        <v>1</v>
      </c>
      <c r="X597" s="59" t="s">
        <v>122</v>
      </c>
      <c r="AA597" s="27" t="str">
        <f>IF(R598="Yes","LRA-Soil","")</f>
        <v/>
      </c>
      <c r="AB597" s="27" t="str">
        <f>IF(R599="Yes","LRA-Paint","")</f>
        <v/>
      </c>
      <c r="AC597" s="27" t="str">
        <f>IF(R600="Yes","LRA-Dust","")</f>
        <v>LRA-Dust</v>
      </c>
      <c r="AD597" s="27" t="str">
        <f>IF(S598="Yes","LSK-Soil","")</f>
        <v/>
      </c>
      <c r="AE597" s="27" t="str">
        <f>IF(S599="Yes","LSK-Paint","")</f>
        <v/>
      </c>
      <c r="AF597" s="27" t="str">
        <f>IF(S600="Yes","LSK-Dust","")</f>
        <v/>
      </c>
      <c r="AI597" s="27" t="s">
        <v>46</v>
      </c>
      <c r="AJ597" s="27" t="s">
        <v>43</v>
      </c>
      <c r="AK597" s="27" t="s">
        <v>116</v>
      </c>
      <c r="AL597" s="27" t="s">
        <v>117</v>
      </c>
    </row>
    <row r="598" spans="1:38" x14ac:dyDescent="0.2">
      <c r="A598" s="27" t="s">
        <v>63</v>
      </c>
      <c r="B598" s="27" t="s">
        <v>77</v>
      </c>
      <c r="C598" s="27">
        <v>0</v>
      </c>
      <c r="D598" s="27" t="s">
        <v>4</v>
      </c>
      <c r="F598" s="27" t="str">
        <f t="shared" ref="F598" si="264">IF(C598&gt;=$W$2,"Yes","No")</f>
        <v>No</v>
      </c>
      <c r="G598" s="27" t="s">
        <v>9</v>
      </c>
      <c r="H598" s="27" t="s">
        <v>46</v>
      </c>
      <c r="J598" s="27" t="s">
        <v>6</v>
      </c>
      <c r="K598" s="27">
        <v>32.799999999999997</v>
      </c>
      <c r="L598" s="27" t="s">
        <v>12</v>
      </c>
      <c r="M598" s="27" t="s">
        <v>114</v>
      </c>
      <c r="N598" s="27" t="str">
        <f>IF(K598="N/A","No", IF(K598&gt;1200,"Yes","No"))</f>
        <v>No</v>
      </c>
      <c r="O598" s="27" t="str">
        <f t="shared" ref="O598:O600" si="265">IF(K598="Not","No",IF(K598="n/a","N/A",IF(K598&gt;$Y$3,"Yes","No")))</f>
        <v>No</v>
      </c>
      <c r="Q598" s="27" t="s">
        <v>116</v>
      </c>
      <c r="R598" s="27" t="str">
        <f>_xlfn.XLOOKUP("ppm",D598:D602,F598:F602,"N/A")</f>
        <v>No</v>
      </c>
      <c r="S598" s="27" t="str">
        <f>IF(COUNTIF(O598:O600,"Yes"),"Yes","No")</f>
        <v>No</v>
      </c>
      <c r="U598" s="27" t="s">
        <v>92</v>
      </c>
      <c r="V598" s="27" t="s">
        <v>120</v>
      </c>
      <c r="W598" s="27" t="s">
        <v>120</v>
      </c>
      <c r="X598" s="27" t="str">
        <f>IF(V598="N/A","N/A",IF(W598="N/A", "N/A", IF(V598=W598, "Yes","No")))</f>
        <v>N/A</v>
      </c>
      <c r="AI598" s="27">
        <f>COUNTIF(H597:H602,"Exterior")</f>
        <v>1</v>
      </c>
      <c r="AJ598" s="27">
        <f>COUNTIF(H597:H602, "Interior")</f>
        <v>1</v>
      </c>
      <c r="AK598" s="27">
        <f>COUNTIFS(D597:D602,"ppm")+COUNTIFS(D597:D602,"mg/Kg")</f>
        <v>1</v>
      </c>
      <c r="AL598" s="27">
        <f>COUNTIF(D597:D602,"ug/ft2")</f>
        <v>2</v>
      </c>
    </row>
    <row r="599" spans="1:38" x14ac:dyDescent="0.2">
      <c r="A599" s="27" t="s">
        <v>68</v>
      </c>
      <c r="B599" s="27" t="s">
        <v>301</v>
      </c>
      <c r="C599" s="27">
        <v>24.4</v>
      </c>
      <c r="D599" s="27" t="s">
        <v>12</v>
      </c>
      <c r="F599" s="27" t="str">
        <f>IF(C599&gt;$W$3,"Yes","No")</f>
        <v>No</v>
      </c>
      <c r="G599" s="27" t="s">
        <v>9</v>
      </c>
      <c r="J599" s="27" t="s">
        <v>11</v>
      </c>
      <c r="K599" s="27">
        <v>26.2</v>
      </c>
      <c r="L599" s="27" t="s">
        <v>12</v>
      </c>
      <c r="M599" s="27" t="s">
        <v>67</v>
      </c>
      <c r="N599" s="27" t="str">
        <f t="shared" ref="N599:N600" si="266">IF(K599="N/A","No", IF(K599&gt;1200,"Yes","No"))</f>
        <v>No</v>
      </c>
      <c r="O599" s="27" t="str">
        <f t="shared" si="265"/>
        <v>No</v>
      </c>
      <c r="Q599" s="27" t="s">
        <v>98</v>
      </c>
      <c r="R599" s="27" t="str">
        <f>_xlfn.XLOOKUP("mg/cm2",D598:D602,G598:G602,"N/A")</f>
        <v>No</v>
      </c>
      <c r="S599" s="27" t="str">
        <f>IF(COUNTIF(O601:O602,"Yes"),"Yes","No")</f>
        <v>No</v>
      </c>
      <c r="U599" s="27" t="s">
        <v>95</v>
      </c>
      <c r="V599" s="27" t="str">
        <f>R598</f>
        <v>No</v>
      </c>
      <c r="W599" s="27" t="str">
        <f>S598</f>
        <v>No</v>
      </c>
      <c r="X599" s="27" t="str">
        <f t="shared" ref="X599:X602" si="267">IF(V599="N/A","N/A",IF(W599="N/A", "N/A", IF(V599=W599, "Yes","No")))</f>
        <v>Yes</v>
      </c>
    </row>
    <row r="600" spans="1:38" x14ac:dyDescent="0.2">
      <c r="A600" s="27" t="s">
        <v>109</v>
      </c>
      <c r="B600" s="27" t="s">
        <v>24</v>
      </c>
      <c r="C600" s="27">
        <v>0.02</v>
      </c>
      <c r="D600" s="27" t="s">
        <v>4</v>
      </c>
      <c r="F600" s="27" t="str">
        <f t="shared" ref="F600" si="268">IF(C600&gt;=$W$2,"Yes","No")</f>
        <v>No</v>
      </c>
      <c r="G600" s="27" t="s">
        <v>9</v>
      </c>
      <c r="H600" s="27" t="s">
        <v>43</v>
      </c>
      <c r="J600" s="27" t="s">
        <v>15</v>
      </c>
      <c r="K600" s="27">
        <v>20.399999999999999</v>
      </c>
      <c r="L600" s="27" t="s">
        <v>12</v>
      </c>
      <c r="M600" s="27" t="s">
        <v>112</v>
      </c>
      <c r="N600" s="27" t="str">
        <f t="shared" si="266"/>
        <v>No</v>
      </c>
      <c r="O600" s="27" t="str">
        <f t="shared" si="265"/>
        <v>No</v>
      </c>
      <c r="Q600" s="27" t="s">
        <v>117</v>
      </c>
      <c r="R600" s="63" t="s">
        <v>5</v>
      </c>
      <c r="S600" s="27" t="str">
        <f>IF(COUNTIF(O603:O606,"Yes"),"Yes","No")</f>
        <v>No</v>
      </c>
      <c r="U600" s="27" t="s">
        <v>163</v>
      </c>
      <c r="V600" s="27" t="s">
        <v>9</v>
      </c>
      <c r="W600" s="27" t="str">
        <f>O602</f>
        <v>No</v>
      </c>
      <c r="X600" s="27" t="str">
        <f t="shared" si="267"/>
        <v>Yes</v>
      </c>
    </row>
    <row r="601" spans="1:38" x14ac:dyDescent="0.2">
      <c r="A601" s="27" t="s">
        <v>113</v>
      </c>
      <c r="B601" s="27" t="s">
        <v>32</v>
      </c>
      <c r="C601" s="27">
        <v>1.6</v>
      </c>
      <c r="D601" s="27" t="s">
        <v>33</v>
      </c>
      <c r="F601" s="27" t="str">
        <f t="shared" ref="F601" si="269">IF(C601&gt;$W$6,"Yes","No")</f>
        <v>No</v>
      </c>
      <c r="G601" s="27" t="s">
        <v>9</v>
      </c>
      <c r="J601" s="27" t="s">
        <v>19</v>
      </c>
      <c r="K601" s="27">
        <v>16</v>
      </c>
      <c r="L601" s="27" t="s">
        <v>12</v>
      </c>
      <c r="M601" s="27" t="s">
        <v>46</v>
      </c>
      <c r="N601" s="27" t="str">
        <f>IF(K601="N/A","No", IF(K601&gt;5000,"Yes","No"))</f>
        <v>No</v>
      </c>
      <c r="O601" s="27" t="str">
        <f>IF(K601="Not","No",IF(K601="n/a","N/A",IF(K601&gt;$Y$2,"Yes","No")))</f>
        <v>No</v>
      </c>
      <c r="Q601" s="27" t="s">
        <v>118</v>
      </c>
      <c r="R601" s="27" t="str">
        <f>IF(COUNTIF(R598:R600,"Yes"),"Yes","No")</f>
        <v>Yes</v>
      </c>
      <c r="S601" s="27" t="str">
        <f>IF(COUNTIF(S598:S600,"Yes"),"Yes","No")</f>
        <v>No</v>
      </c>
      <c r="U601" s="27" t="s">
        <v>164</v>
      </c>
      <c r="V601" s="27" t="s">
        <v>9</v>
      </c>
      <c r="W601" s="27" t="str">
        <f>O601</f>
        <v>No</v>
      </c>
      <c r="X601" s="27" t="str">
        <f t="shared" si="267"/>
        <v>Yes</v>
      </c>
    </row>
    <row r="602" spans="1:38" x14ac:dyDescent="0.2">
      <c r="A602" s="27" t="s">
        <v>293</v>
      </c>
      <c r="B602" s="27" t="s">
        <v>54</v>
      </c>
      <c r="C602" s="27">
        <v>114.6</v>
      </c>
      <c r="D602" s="27" t="s">
        <v>33</v>
      </c>
      <c r="F602" s="27" t="str">
        <f>IF(C602&gt;$W$5,"Yes","No")</f>
        <v>Yes</v>
      </c>
      <c r="G602" s="27" t="s">
        <v>5</v>
      </c>
      <c r="J602" s="27" t="s">
        <v>22</v>
      </c>
      <c r="K602" s="27">
        <v>12</v>
      </c>
      <c r="L602" s="27" t="s">
        <v>12</v>
      </c>
      <c r="M602" s="27" t="s">
        <v>43</v>
      </c>
      <c r="N602" s="27" t="str">
        <f>IF(K602="N/A","No", IF(K602&gt;5000,"Yes","No"))</f>
        <v>No</v>
      </c>
      <c r="O602" s="27" t="str">
        <f>IF(K602="Not","No",IF(K602="n/a","N/A",IF(K602&gt;$Y$2,"Yes","No")))</f>
        <v>No</v>
      </c>
      <c r="U602" s="27" t="s">
        <v>162</v>
      </c>
      <c r="V602" s="27" t="str">
        <f>R599</f>
        <v>No</v>
      </c>
      <c r="W602" s="27" t="str">
        <f>S599</f>
        <v>No</v>
      </c>
      <c r="X602" s="27" t="str">
        <f t="shared" si="267"/>
        <v>Yes</v>
      </c>
    </row>
    <row r="603" spans="1:38" x14ac:dyDescent="0.2">
      <c r="J603" s="27" t="s">
        <v>25</v>
      </c>
      <c r="K603" s="27">
        <v>2.5</v>
      </c>
      <c r="L603" s="27" t="s">
        <v>12</v>
      </c>
      <c r="M603" s="27" t="s">
        <v>126</v>
      </c>
      <c r="N603" s="27" t="str">
        <f>IF(K603="N/A","No", IF(K603&gt;20,"Yes","No"))</f>
        <v>No</v>
      </c>
      <c r="O603" s="27" t="str">
        <f t="shared" ref="O603:O604" si="270">IF(K603="Not","No",IF(K603="n/a","N/A",IF(K603&gt;$Y$6,"Yes","No")))</f>
        <v>No</v>
      </c>
      <c r="U603" s="27" t="s">
        <v>101</v>
      </c>
      <c r="V603" s="27" t="s">
        <v>9</v>
      </c>
      <c r="W603" s="27" t="s">
        <v>9</v>
      </c>
      <c r="X603" s="27" t="str">
        <f>IF(V603="N/A","N/A",IF(W603="N/A", "N/A", IF(V603=W603, "Yes","No")))</f>
        <v>Yes</v>
      </c>
    </row>
    <row r="604" spans="1:38" x14ac:dyDescent="0.2">
      <c r="J604" s="27" t="s">
        <v>29</v>
      </c>
      <c r="K604" s="27">
        <v>2.5</v>
      </c>
      <c r="L604" s="27" t="s">
        <v>12</v>
      </c>
      <c r="M604" s="27" t="s">
        <v>222</v>
      </c>
      <c r="N604" s="27" t="str">
        <f>IF(K604="N/A","No", IF(K604&gt;20,"Yes","No"))</f>
        <v>No</v>
      </c>
      <c r="O604" s="27" t="str">
        <f t="shared" si="270"/>
        <v>No</v>
      </c>
      <c r="U604" s="27" t="s">
        <v>104</v>
      </c>
      <c r="V604" s="27" t="s">
        <v>5</v>
      </c>
      <c r="W604" s="27" t="str">
        <f>O605</f>
        <v>No</v>
      </c>
      <c r="X604" s="27" t="str">
        <f>IF(V604="N/A","N/A",IF(W604="N/A", "N/A", IF(V604=W604, "Yes","No")))</f>
        <v>No</v>
      </c>
    </row>
    <row r="605" spans="1:38" x14ac:dyDescent="0.2">
      <c r="J605" s="27" t="s">
        <v>34</v>
      </c>
      <c r="K605" s="27">
        <v>5</v>
      </c>
      <c r="L605" s="27" t="s">
        <v>12</v>
      </c>
      <c r="M605" s="27" t="s">
        <v>210</v>
      </c>
      <c r="N605" s="27" t="str">
        <f>IF(K605="N/A","No", IF(K605&gt;230,"Yes","No"))</f>
        <v>No</v>
      </c>
      <c r="O605" s="27" t="str">
        <f>IF(K605="Not","No",IF(K605="n/a","N/A",IF(K605&gt;$Y$5,"Yes","No")))</f>
        <v>No</v>
      </c>
      <c r="U605" s="27" t="s">
        <v>106</v>
      </c>
      <c r="V605" s="27" t="str">
        <f>R600</f>
        <v>Yes</v>
      </c>
      <c r="W605" s="27" t="str">
        <f>S600</f>
        <v>No</v>
      </c>
      <c r="X605" s="27" t="str">
        <f>IF(V605="N/A","N/A",IF(W605="N/A", "N/A", IF(V605=W605, "Yes","No")))</f>
        <v>No</v>
      </c>
    </row>
    <row r="606" spans="1:38" x14ac:dyDescent="0.2">
      <c r="J606" s="69" t="s">
        <v>208</v>
      </c>
      <c r="K606" s="27">
        <v>2.5</v>
      </c>
      <c r="L606" s="27" t="s">
        <v>12</v>
      </c>
      <c r="M606" s="27" t="s">
        <v>223</v>
      </c>
      <c r="N606" s="27" t="str">
        <f>IF(K606="N/A","No", IF(K606&gt;20,"Yes","No"))</f>
        <v>No</v>
      </c>
      <c r="O606" s="27" t="str">
        <f>IF(K606="Not","No",IF(K606="n/a","N/A",IF(K606&gt;$Y$7,"Yes","No")))</f>
        <v>No</v>
      </c>
      <c r="U606" s="27" t="s">
        <v>121</v>
      </c>
      <c r="V606" s="27" t="str">
        <f>R601</f>
        <v>Yes</v>
      </c>
      <c r="W606" s="27" t="str">
        <f>S601</f>
        <v>No</v>
      </c>
      <c r="X606" s="27" t="str">
        <f>IF(V606="N/A","N/A",IF(W606="N/A", "N/A", IF(V606=W606, "Yes","No")))</f>
        <v>No</v>
      </c>
    </row>
    <row r="608" spans="1:38" x14ac:dyDescent="0.2">
      <c r="A608" s="27">
        <v>1179</v>
      </c>
      <c r="B608" s="27" t="s">
        <v>111</v>
      </c>
      <c r="C608" s="27">
        <v>43</v>
      </c>
    </row>
    <row r="609" spans="1:38" x14ac:dyDescent="0.2">
      <c r="A609" s="59" t="s">
        <v>0</v>
      </c>
      <c r="E609" s="27" t="s">
        <v>274</v>
      </c>
      <c r="F609" s="27" t="s">
        <v>275</v>
      </c>
      <c r="G609" s="27" t="s">
        <v>119</v>
      </c>
      <c r="J609" s="59" t="s">
        <v>1</v>
      </c>
      <c r="N609" s="27" t="s">
        <v>277</v>
      </c>
      <c r="O609" s="27" t="s">
        <v>278</v>
      </c>
      <c r="Q609" s="59" t="s">
        <v>115</v>
      </c>
      <c r="R609" s="59" t="s">
        <v>0</v>
      </c>
      <c r="S609" s="59" t="s">
        <v>1</v>
      </c>
      <c r="U609" s="59" t="s">
        <v>115</v>
      </c>
      <c r="V609" s="59" t="s">
        <v>0</v>
      </c>
      <c r="W609" s="59" t="s">
        <v>1</v>
      </c>
      <c r="X609" s="59" t="s">
        <v>122</v>
      </c>
      <c r="AA609" s="27" t="str">
        <f>IF(R610="Yes","LRA-Soil","")</f>
        <v>LRA-Soil</v>
      </c>
      <c r="AB609" s="27" t="str">
        <f>IF(R611="Yes","LRA-Paint","")</f>
        <v>LRA-Paint</v>
      </c>
      <c r="AC609" s="27" t="str">
        <f>IF(R612="Yes","LRA-Dust","")</f>
        <v>LRA-Dust</v>
      </c>
      <c r="AD609" s="27" t="str">
        <f>IF(S610="Yes","LSK-Soil","")</f>
        <v>LSK-Soil</v>
      </c>
      <c r="AE609" s="27" t="str">
        <f>IF(S611="Yes","LSK-Paint","")</f>
        <v/>
      </c>
      <c r="AF609" s="27" t="str">
        <f>IF(S612="Yes","LSK-Dust","")</f>
        <v/>
      </c>
      <c r="AI609" s="27" t="s">
        <v>46</v>
      </c>
      <c r="AJ609" s="27" t="s">
        <v>43</v>
      </c>
      <c r="AK609" s="27" t="s">
        <v>116</v>
      </c>
      <c r="AL609" s="27" t="s">
        <v>117</v>
      </c>
    </row>
    <row r="610" spans="1:38" x14ac:dyDescent="0.2">
      <c r="A610" s="27" t="s">
        <v>154</v>
      </c>
      <c r="B610" s="27" t="s">
        <v>204</v>
      </c>
      <c r="C610" s="27">
        <v>0.12</v>
      </c>
      <c r="D610" s="27" t="s">
        <v>4</v>
      </c>
      <c r="F610" s="27" t="str">
        <f t="shared" ref="F610" si="271">IF(C610&gt;=$W$2,"Yes","No")</f>
        <v>No</v>
      </c>
      <c r="G610" s="57" t="s">
        <v>5</v>
      </c>
      <c r="H610" s="27" t="s">
        <v>46</v>
      </c>
      <c r="J610" s="27" t="s">
        <v>6</v>
      </c>
      <c r="K610" s="27">
        <v>202</v>
      </c>
      <c r="L610" s="27" t="s">
        <v>12</v>
      </c>
      <c r="M610" s="27" t="s">
        <v>114</v>
      </c>
      <c r="N610" s="27" t="str">
        <f>IF(K610="N/A","No", IF(K610&gt;1200,"Yes","No"))</f>
        <v>No</v>
      </c>
      <c r="O610" s="27" t="str">
        <f t="shared" ref="O610:O612" si="272">IF(K610="Not","No",IF(K610="n/a","N/A",IF(K610&gt;$Y$3,"Yes","No")))</f>
        <v>No</v>
      </c>
      <c r="Q610" s="27" t="s">
        <v>116</v>
      </c>
      <c r="R610" s="27" t="str">
        <f>_xlfn.XLOOKUP("ppm",D610:D618,F610:F618,"N/A")</f>
        <v>Yes</v>
      </c>
      <c r="S610" s="27" t="str">
        <f>IF(COUNTIF(O610:O612,"Yes"),"Yes","No")</f>
        <v>Yes</v>
      </c>
      <c r="U610" s="27" t="s">
        <v>92</v>
      </c>
      <c r="V610" s="27" t="s">
        <v>120</v>
      </c>
      <c r="W610" s="27" t="s">
        <v>120</v>
      </c>
      <c r="X610" s="27" t="str">
        <f>IF(V610="N/A","N/A",IF(W610="N/A", "N/A", IF(V610=W610, "Yes","No")))</f>
        <v>N/A</v>
      </c>
      <c r="AI610" s="27">
        <f>COUNTIF(H609:H618,"Exterior")</f>
        <v>1</v>
      </c>
      <c r="AJ610" s="27">
        <f>COUNTIF(H609:H618, "Interior")</f>
        <v>1</v>
      </c>
      <c r="AK610" s="27">
        <f>COUNTIFS(D609:D618,"ppm")+COUNTIFS(D609:D618,"mg/Kg")</f>
        <v>1</v>
      </c>
      <c r="AL610" s="27">
        <f>COUNTIF(D609:D618,"ug/ft2")</f>
        <v>6</v>
      </c>
    </row>
    <row r="611" spans="1:38" x14ac:dyDescent="0.2">
      <c r="A611" s="27" t="s">
        <v>68</v>
      </c>
      <c r="B611" s="27" t="s">
        <v>69</v>
      </c>
      <c r="C611" s="27">
        <v>608</v>
      </c>
      <c r="D611" s="27" t="s">
        <v>12</v>
      </c>
      <c r="F611" s="27" t="str">
        <f>IF(C611&gt;$W$3,"Yes","No")</f>
        <v>Yes</v>
      </c>
      <c r="G611" s="27" t="s">
        <v>9</v>
      </c>
      <c r="J611" s="27" t="s">
        <v>11</v>
      </c>
      <c r="K611" s="27">
        <v>933</v>
      </c>
      <c r="L611" s="27" t="s">
        <v>12</v>
      </c>
      <c r="M611" s="27" t="s">
        <v>67</v>
      </c>
      <c r="N611" s="27" t="str">
        <f t="shared" ref="N611:N612" si="273">IF(K611="N/A","No", IF(K611&gt;1200,"Yes","No"))</f>
        <v>No</v>
      </c>
      <c r="O611" s="27" t="str">
        <f t="shared" si="272"/>
        <v>Yes</v>
      </c>
      <c r="Q611" s="27" t="s">
        <v>98</v>
      </c>
      <c r="R611" s="57" t="str">
        <f>_xlfn.XLOOKUP("mg/cm2",D610:D618,G610:G618,"N/A")</f>
        <v>Yes</v>
      </c>
      <c r="S611" s="27" t="str">
        <f>IF(COUNTIF(O613:O614,"Yes"),"Yes","No")</f>
        <v>No</v>
      </c>
      <c r="U611" s="27" t="s">
        <v>95</v>
      </c>
      <c r="V611" s="27" t="str">
        <f>R610</f>
        <v>Yes</v>
      </c>
      <c r="W611" s="27" t="str">
        <f>S610</f>
        <v>Yes</v>
      </c>
      <c r="X611" s="27" t="str">
        <f t="shared" ref="X611:X614" si="274">IF(V611="N/A","N/A",IF(W611="N/A", "N/A", IF(V611=W611, "Yes","No")))</f>
        <v>Yes</v>
      </c>
    </row>
    <row r="612" spans="1:38" x14ac:dyDescent="0.2">
      <c r="A612" s="27" t="s">
        <v>113</v>
      </c>
      <c r="B612" s="27" t="s">
        <v>304</v>
      </c>
      <c r="C612" s="27">
        <v>0.9</v>
      </c>
      <c r="D612" s="27" t="s">
        <v>4</v>
      </c>
      <c r="F612" s="27" t="str">
        <f t="shared" ref="F612" si="275">IF(C612&gt;=$W$2,"Yes","No")</f>
        <v>No</v>
      </c>
      <c r="G612" s="27" t="s">
        <v>9</v>
      </c>
      <c r="H612" s="27" t="s">
        <v>43</v>
      </c>
      <c r="J612" s="27" t="s">
        <v>15</v>
      </c>
      <c r="K612" s="27">
        <v>845</v>
      </c>
      <c r="L612" s="27" t="s">
        <v>12</v>
      </c>
      <c r="M612" s="27" t="s">
        <v>112</v>
      </c>
      <c r="N612" s="27" t="str">
        <f t="shared" si="273"/>
        <v>No</v>
      </c>
      <c r="O612" s="27" t="str">
        <f t="shared" si="272"/>
        <v>Yes</v>
      </c>
      <c r="Q612" s="27" t="s">
        <v>117</v>
      </c>
      <c r="R612" s="63" t="s">
        <v>5</v>
      </c>
      <c r="S612" s="27" t="str">
        <f>IF(COUNTIF(O615:O618,"Yes"),"Yes","No")</f>
        <v>No</v>
      </c>
      <c r="U612" s="27" t="s">
        <v>163</v>
      </c>
      <c r="V612" s="27" t="s">
        <v>9</v>
      </c>
      <c r="W612" s="27" t="str">
        <f>O614</f>
        <v>No</v>
      </c>
      <c r="X612" s="27" t="str">
        <f t="shared" si="274"/>
        <v>Yes</v>
      </c>
    </row>
    <row r="613" spans="1:38" x14ac:dyDescent="0.2">
      <c r="A613" s="27" t="s">
        <v>109</v>
      </c>
      <c r="B613" s="27" t="s">
        <v>32</v>
      </c>
      <c r="C613" s="27">
        <v>1.8</v>
      </c>
      <c r="D613" s="27" t="s">
        <v>33</v>
      </c>
      <c r="F613" s="27" t="str">
        <f t="shared" ref="F613:F614" si="276">IF(C613&gt;$W$6,"Yes","No")</f>
        <v>No</v>
      </c>
      <c r="G613" s="27" t="s">
        <v>9</v>
      </c>
      <c r="J613" s="27" t="s">
        <v>19</v>
      </c>
      <c r="K613" s="27">
        <v>15</v>
      </c>
      <c r="L613" s="27" t="s">
        <v>12</v>
      </c>
      <c r="M613" s="27" t="s">
        <v>46</v>
      </c>
      <c r="N613" s="27" t="str">
        <f>IF(K613="N/A","No", IF(K613&gt;5000,"Yes","No"))</f>
        <v>No</v>
      </c>
      <c r="O613" s="27" t="str">
        <f>IF(K613="Not","No",IF(K613="n/a","N/A",IF(K613&gt;$Y$2,"Yes","No")))</f>
        <v>No</v>
      </c>
      <c r="Q613" s="27" t="s">
        <v>118</v>
      </c>
      <c r="R613" s="27" t="str">
        <f>IF(COUNTIF(R610:R612,"Yes"),"Yes","No")</f>
        <v>Yes</v>
      </c>
      <c r="S613" s="27" t="str">
        <f>IF(COUNTIF(S610:S612,"Yes"),"Yes","No")</f>
        <v>Yes</v>
      </c>
      <c r="U613" s="27" t="s">
        <v>164</v>
      </c>
      <c r="V613" s="27" t="s">
        <v>9</v>
      </c>
      <c r="W613" s="27" t="str">
        <f>O613</f>
        <v>No</v>
      </c>
      <c r="X613" s="27" t="str">
        <f t="shared" si="274"/>
        <v>Yes</v>
      </c>
    </row>
    <row r="614" spans="1:38" x14ac:dyDescent="0.2">
      <c r="A614" s="27" t="s">
        <v>109</v>
      </c>
      <c r="B614" s="27" t="s">
        <v>32</v>
      </c>
      <c r="C614" s="27">
        <v>1.9</v>
      </c>
      <c r="D614" s="27" t="s">
        <v>33</v>
      </c>
      <c r="F614" s="27" t="str">
        <f t="shared" si="276"/>
        <v>No</v>
      </c>
      <c r="G614" s="27" t="s">
        <v>9</v>
      </c>
      <c r="J614" s="27" t="s">
        <v>22</v>
      </c>
      <c r="K614" s="27">
        <v>2.5</v>
      </c>
      <c r="L614" s="27" t="s">
        <v>12</v>
      </c>
      <c r="M614" s="27" t="s">
        <v>43</v>
      </c>
      <c r="N614" s="27" t="str">
        <f>IF(K614="N/A","No", IF(K614&gt;5000,"Yes","No"))</f>
        <v>No</v>
      </c>
      <c r="O614" s="27" t="str">
        <f>IF(K614="Not","No",IF(K614="n/a","N/A",IF(K614&gt;$Y$2,"Yes","No")))</f>
        <v>No</v>
      </c>
      <c r="U614" s="27" t="s">
        <v>162</v>
      </c>
      <c r="V614" s="57" t="str">
        <f>R611</f>
        <v>Yes</v>
      </c>
      <c r="W614" s="27" t="str">
        <f>S611</f>
        <v>No</v>
      </c>
      <c r="X614" s="27" t="str">
        <f t="shared" si="274"/>
        <v>No</v>
      </c>
    </row>
    <row r="615" spans="1:38" x14ac:dyDescent="0.2">
      <c r="A615" s="27" t="s">
        <v>109</v>
      </c>
      <c r="B615" s="27" t="s">
        <v>54</v>
      </c>
      <c r="C615" s="27">
        <v>61.8</v>
      </c>
      <c r="D615" s="27" t="s">
        <v>33</v>
      </c>
      <c r="F615" s="27" t="str">
        <f>IF(C615&gt;$W$5,"Yes","No")</f>
        <v>No</v>
      </c>
      <c r="G615" s="27" t="s">
        <v>9</v>
      </c>
      <c r="J615" s="27" t="s">
        <v>25</v>
      </c>
      <c r="K615" s="27">
        <v>2.5</v>
      </c>
      <c r="L615" s="27" t="s">
        <v>12</v>
      </c>
      <c r="M615" s="27" t="s">
        <v>126</v>
      </c>
      <c r="N615" s="27" t="str">
        <f>IF(K615="N/A","No", IF(K615&gt;20,"Yes","No"))</f>
        <v>No</v>
      </c>
      <c r="O615" s="27" t="str">
        <f t="shared" ref="O615:O616" si="277">IF(K615="Not","No",IF(K615="n/a","N/A",IF(K615&gt;$Y$6,"Yes","No")))</f>
        <v>No</v>
      </c>
      <c r="U615" s="27" t="s">
        <v>101</v>
      </c>
      <c r="V615" s="27" t="s">
        <v>5</v>
      </c>
      <c r="W615" s="27" t="s">
        <v>9</v>
      </c>
      <c r="X615" s="27" t="str">
        <f>IF(V615="N/A","N/A",IF(W615="N/A", "N/A", IF(V615=W615, "Yes","No")))</f>
        <v>No</v>
      </c>
    </row>
    <row r="616" spans="1:38" x14ac:dyDescent="0.2">
      <c r="A616" s="27" t="s">
        <v>71</v>
      </c>
      <c r="B616" s="27" t="s">
        <v>32</v>
      </c>
      <c r="C616" s="27">
        <v>25.7</v>
      </c>
      <c r="D616" s="27" t="s">
        <v>33</v>
      </c>
      <c r="F616" s="27" t="str">
        <f t="shared" ref="F616:F617" si="278">IF(C616&gt;$W$6,"Yes","No")</f>
        <v>Yes</v>
      </c>
      <c r="G616" s="27" t="s">
        <v>5</v>
      </c>
      <c r="J616" s="27" t="s">
        <v>29</v>
      </c>
      <c r="K616" s="27">
        <v>2.5</v>
      </c>
      <c r="L616" s="27" t="s">
        <v>12</v>
      </c>
      <c r="M616" s="27" t="s">
        <v>222</v>
      </c>
      <c r="N616" s="27" t="str">
        <f>IF(K616="N/A","No", IF(K616&gt;20,"Yes","No"))</f>
        <v>No</v>
      </c>
      <c r="O616" s="27" t="str">
        <f t="shared" si="277"/>
        <v>No</v>
      </c>
      <c r="U616" s="27" t="s">
        <v>104</v>
      </c>
      <c r="V616" s="27" t="s">
        <v>5</v>
      </c>
      <c r="W616" s="27" t="str">
        <f>O617</f>
        <v>No</v>
      </c>
      <c r="X616" s="27" t="str">
        <f>IF(V616="N/A","N/A",IF(W616="N/A", "N/A", IF(V616=W616, "Yes","No")))</f>
        <v>No</v>
      </c>
    </row>
    <row r="617" spans="1:38" x14ac:dyDescent="0.2">
      <c r="A617" s="27" t="s">
        <v>71</v>
      </c>
      <c r="B617" s="27" t="s">
        <v>32</v>
      </c>
      <c r="C617" s="27">
        <v>3</v>
      </c>
      <c r="D617" s="27" t="s">
        <v>33</v>
      </c>
      <c r="F617" s="27" t="str">
        <f t="shared" si="278"/>
        <v>No</v>
      </c>
      <c r="G617" s="27" t="s">
        <v>9</v>
      </c>
      <c r="J617" s="27" t="s">
        <v>34</v>
      </c>
      <c r="K617" s="27">
        <v>5</v>
      </c>
      <c r="L617" s="27" t="s">
        <v>12</v>
      </c>
      <c r="M617" s="27" t="s">
        <v>210</v>
      </c>
      <c r="N617" s="27" t="str">
        <f>IF(K617="N/A","No", IF(K617&gt;230,"Yes","No"))</f>
        <v>No</v>
      </c>
      <c r="O617" s="27" t="str">
        <f>IF(K617="Not","No",IF(K617="n/a","N/A",IF(K617&gt;$Y$5,"Yes","No")))</f>
        <v>No</v>
      </c>
      <c r="U617" s="27" t="s">
        <v>106</v>
      </c>
      <c r="V617" s="27" t="str">
        <f>R612</f>
        <v>Yes</v>
      </c>
      <c r="W617" s="27" t="str">
        <f>S612</f>
        <v>No</v>
      </c>
      <c r="X617" s="27" t="str">
        <f>IF(V617="N/A","N/A",IF(W617="N/A", "N/A", IF(V617=W617, "Yes","No")))</f>
        <v>No</v>
      </c>
    </row>
    <row r="618" spans="1:38" x14ac:dyDescent="0.2">
      <c r="A618" s="27" t="s">
        <v>158</v>
      </c>
      <c r="B618" s="27" t="s">
        <v>54</v>
      </c>
      <c r="C618" s="27">
        <v>184.8</v>
      </c>
      <c r="D618" s="27" t="s">
        <v>33</v>
      </c>
      <c r="F618" s="27" t="str">
        <f>IF(C618&gt;$W$5,"Yes","No")</f>
        <v>Yes</v>
      </c>
      <c r="G618" s="27" t="s">
        <v>5</v>
      </c>
      <c r="J618" s="27" t="s">
        <v>208</v>
      </c>
      <c r="K618" s="27">
        <v>2.5</v>
      </c>
      <c r="L618" s="27" t="s">
        <v>12</v>
      </c>
      <c r="M618" s="27" t="s">
        <v>223</v>
      </c>
      <c r="N618" s="27" t="str">
        <f>IF(K618="N/A","No", IF(K618&gt;20,"Yes","No"))</f>
        <v>No</v>
      </c>
      <c r="O618" s="27" t="str">
        <f>IF(K618="Not","No",IF(K618="n/a","N/A",IF(K618&gt;$Y$7,"Yes","No")))</f>
        <v>No</v>
      </c>
      <c r="U618" s="27" t="s">
        <v>121</v>
      </c>
      <c r="V618" s="27" t="str">
        <f>R613</f>
        <v>Yes</v>
      </c>
      <c r="W618" s="27" t="str">
        <f>S613</f>
        <v>Yes</v>
      </c>
      <c r="X618" s="27" t="str">
        <f>IF(V618="N/A","N/A",IF(W618="N/A", "N/A", IF(V618=W618, "Yes","No")))</f>
        <v>Yes</v>
      </c>
    </row>
    <row r="621" spans="1:38" x14ac:dyDescent="0.2">
      <c r="A621" s="27">
        <v>1209</v>
      </c>
      <c r="B621" s="27" t="s">
        <v>111</v>
      </c>
      <c r="C621" s="27">
        <v>44</v>
      </c>
    </row>
    <row r="622" spans="1:38" x14ac:dyDescent="0.2">
      <c r="A622" s="59" t="s">
        <v>0</v>
      </c>
      <c r="E622" s="27" t="s">
        <v>274</v>
      </c>
      <c r="F622" s="27" t="s">
        <v>275</v>
      </c>
      <c r="G622" s="27" t="s">
        <v>119</v>
      </c>
      <c r="J622" s="59" t="s">
        <v>1</v>
      </c>
      <c r="N622" s="27" t="s">
        <v>277</v>
      </c>
      <c r="O622" s="27" t="s">
        <v>278</v>
      </c>
      <c r="Q622" s="59" t="s">
        <v>115</v>
      </c>
      <c r="R622" s="59" t="s">
        <v>0</v>
      </c>
      <c r="S622" s="59" t="s">
        <v>1</v>
      </c>
      <c r="U622" s="59" t="s">
        <v>115</v>
      </c>
      <c r="V622" s="59" t="s">
        <v>0</v>
      </c>
      <c r="W622" s="59" t="s">
        <v>1</v>
      </c>
      <c r="X622" s="59" t="s">
        <v>122</v>
      </c>
      <c r="AA622" s="27" t="str">
        <f>IF(R623="Yes","LRA-Soil","")</f>
        <v/>
      </c>
      <c r="AB622" s="27" t="str">
        <f>IF(R624="Yes","LRA-Paint","")</f>
        <v>LRA-Paint</v>
      </c>
      <c r="AC622" s="27" t="str">
        <f>IF(R625="Yes","LRA-Dust","")</f>
        <v>LRA-Dust</v>
      </c>
      <c r="AD622" s="27" t="str">
        <f>IF(S623="Yes","LSK-Soil","")</f>
        <v>LSK-Soil</v>
      </c>
      <c r="AE622" s="27" t="str">
        <f>IF(S624="Yes","LSK-Paint","")</f>
        <v/>
      </c>
      <c r="AF622" s="27" t="str">
        <f>IF(S625="Yes","LSK-Dust","")</f>
        <v/>
      </c>
      <c r="AI622" s="27" t="s">
        <v>46</v>
      </c>
      <c r="AJ622" s="27" t="s">
        <v>43</v>
      </c>
      <c r="AK622" s="27" t="s">
        <v>116</v>
      </c>
      <c r="AL622" s="27" t="s">
        <v>117</v>
      </c>
    </row>
    <row r="623" spans="1:38" x14ac:dyDescent="0.2">
      <c r="A623" s="27" t="s">
        <v>63</v>
      </c>
      <c r="B623" s="27" t="s">
        <v>10</v>
      </c>
      <c r="C623" s="27">
        <v>0.25</v>
      </c>
      <c r="D623" s="27" t="s">
        <v>4</v>
      </c>
      <c r="F623" s="27" t="str">
        <f t="shared" ref="F623:F634" si="279">IF(C623&gt;=$W$2,"Yes","No")</f>
        <v>No</v>
      </c>
      <c r="G623" s="27" t="s">
        <v>9</v>
      </c>
      <c r="H623" s="27" t="s">
        <v>46</v>
      </c>
      <c r="J623" s="27" t="s">
        <v>6</v>
      </c>
      <c r="K623" s="27">
        <v>106</v>
      </c>
      <c r="L623" s="27" t="s">
        <v>12</v>
      </c>
      <c r="M623" s="27" t="s">
        <v>114</v>
      </c>
      <c r="N623" s="27" t="str">
        <f>IF(K623="N/A","No", IF(K623&gt;1200,"Yes","No"))</f>
        <v>No</v>
      </c>
      <c r="O623" s="27" t="str">
        <f t="shared" ref="O623:O625" si="280">IF(K623="Not","No",IF(K623="n/a","N/A",IF(K623&gt;$Y$3,"Yes","No")))</f>
        <v>No</v>
      </c>
      <c r="Q623" s="27" t="s">
        <v>116</v>
      </c>
      <c r="R623" s="27" t="str">
        <f>_xlfn.XLOOKUP("ppm",D623:D649,F623:F649,"N/A")</f>
        <v>No</v>
      </c>
      <c r="S623" s="27" t="str">
        <f>IF(COUNTIF(O623:O625,"Yes"),"Yes","No")</f>
        <v>Yes</v>
      </c>
      <c r="U623" s="27" t="s">
        <v>92</v>
      </c>
      <c r="V623" s="27" t="s">
        <v>120</v>
      </c>
      <c r="W623" s="27" t="s">
        <v>120</v>
      </c>
      <c r="X623" s="27" t="str">
        <f>IF(V623="N/A","N/A",IF(W623="N/A", "N/A", IF(V623=W623, "Yes","No")))</f>
        <v>N/A</v>
      </c>
      <c r="AI623" s="27">
        <f>COUNTIF(H622:H649,"Exterior")</f>
        <v>12</v>
      </c>
      <c r="AJ623" s="27">
        <f>COUNTIF(H622:H649, "Interior")</f>
        <v>6</v>
      </c>
      <c r="AK623" s="27">
        <f>COUNTIFS(D622:D649,"ppm")+COUNTIFS(D622:D649,"mg/Kg")</f>
        <v>1</v>
      </c>
      <c r="AL623" s="27">
        <f>COUNTIF(D622:D649,"ug/ft2")</f>
        <v>8</v>
      </c>
    </row>
    <row r="624" spans="1:38" x14ac:dyDescent="0.2">
      <c r="A624" s="27" t="s">
        <v>63</v>
      </c>
      <c r="B624" s="27" t="s">
        <v>10</v>
      </c>
      <c r="C624" s="27">
        <v>3.4</v>
      </c>
      <c r="D624" s="27" t="s">
        <v>4</v>
      </c>
      <c r="F624" s="27" t="str">
        <f t="shared" si="279"/>
        <v>Yes</v>
      </c>
      <c r="G624" s="27" t="s">
        <v>5</v>
      </c>
      <c r="H624" s="27" t="s">
        <v>46</v>
      </c>
      <c r="J624" s="27" t="s">
        <v>11</v>
      </c>
      <c r="K624" s="27">
        <v>346</v>
      </c>
      <c r="L624" s="27" t="s">
        <v>12</v>
      </c>
      <c r="M624" s="27" t="s">
        <v>67</v>
      </c>
      <c r="N624" s="27" t="str">
        <f t="shared" ref="N624:N625" si="281">IF(K624="N/A","No", IF(K624&gt;1200,"Yes","No"))</f>
        <v>No</v>
      </c>
      <c r="O624" s="27" t="str">
        <f t="shared" si="280"/>
        <v>No</v>
      </c>
      <c r="Q624" s="27" t="s">
        <v>98</v>
      </c>
      <c r="R624" s="27" t="str">
        <f>_xlfn.XLOOKUP("mg/cm2",D623:D649,G623:G649,"N/A",1,-1)</f>
        <v>Yes</v>
      </c>
      <c r="S624" s="27" t="str">
        <f>IF(COUNTIF(O626:O627,"Yes"),"Yes","No")</f>
        <v>No</v>
      </c>
      <c r="U624" s="27" t="s">
        <v>95</v>
      </c>
      <c r="V624" s="27" t="str">
        <f>R623</f>
        <v>No</v>
      </c>
      <c r="W624" s="27" t="str">
        <f>S623</f>
        <v>Yes</v>
      </c>
      <c r="X624" s="27" t="str">
        <f t="shared" ref="X624:X627" si="282">IF(V624="N/A","N/A",IF(W624="N/A", "N/A", IF(V624=W624, "Yes","No")))</f>
        <v>No</v>
      </c>
    </row>
    <row r="625" spans="1:24" x14ac:dyDescent="0.2">
      <c r="A625" s="27" t="s">
        <v>63</v>
      </c>
      <c r="B625" s="27" t="s">
        <v>10</v>
      </c>
      <c r="C625" s="27">
        <v>1.5</v>
      </c>
      <c r="D625" s="27" t="s">
        <v>4</v>
      </c>
      <c r="F625" s="27" t="str">
        <f t="shared" si="279"/>
        <v>Yes</v>
      </c>
      <c r="G625" s="27" t="s">
        <v>9</v>
      </c>
      <c r="H625" s="27" t="s">
        <v>46</v>
      </c>
      <c r="J625" s="27" t="s">
        <v>15</v>
      </c>
      <c r="K625" s="27">
        <v>2333</v>
      </c>
      <c r="L625" s="27" t="s">
        <v>12</v>
      </c>
      <c r="M625" s="27" t="s">
        <v>112</v>
      </c>
      <c r="N625" s="27" t="str">
        <f t="shared" si="281"/>
        <v>Yes</v>
      </c>
      <c r="O625" s="27" t="str">
        <f t="shared" si="280"/>
        <v>Yes</v>
      </c>
      <c r="Q625" s="27" t="s">
        <v>117</v>
      </c>
      <c r="R625" s="27" t="str">
        <f>_xlfn.XLOOKUP("ug/ft2",D623:D649,F623:F649,"N/A")</f>
        <v>Yes</v>
      </c>
      <c r="S625" s="27" t="str">
        <f>IF(COUNTIF(O628:O631,"Yes"),"Yes","No")</f>
        <v>No</v>
      </c>
      <c r="U625" s="27" t="s">
        <v>163</v>
      </c>
      <c r="V625" s="27" t="s">
        <v>5</v>
      </c>
      <c r="W625" s="27" t="str">
        <f>O627</f>
        <v>No</v>
      </c>
      <c r="X625" s="27" t="str">
        <f t="shared" si="282"/>
        <v>No</v>
      </c>
    </row>
    <row r="626" spans="1:24" x14ac:dyDescent="0.2">
      <c r="A626" s="27" t="s">
        <v>63</v>
      </c>
      <c r="B626" s="27" t="s">
        <v>10</v>
      </c>
      <c r="C626" s="27">
        <v>7.9</v>
      </c>
      <c r="D626" s="27" t="s">
        <v>4</v>
      </c>
      <c r="F626" s="27" t="str">
        <f t="shared" si="279"/>
        <v>Yes</v>
      </c>
      <c r="G626" s="27" t="s">
        <v>5</v>
      </c>
      <c r="H626" s="27" t="s">
        <v>46</v>
      </c>
      <c r="J626" s="27" t="s">
        <v>19</v>
      </c>
      <c r="K626" s="27">
        <v>23</v>
      </c>
      <c r="L626" s="27" t="s">
        <v>12</v>
      </c>
      <c r="M626" s="27" t="s">
        <v>46</v>
      </c>
      <c r="N626" s="27" t="str">
        <f>IF(K626="N/A","No", IF(K626&gt;5000,"Yes","No"))</f>
        <v>No</v>
      </c>
      <c r="O626" s="27" t="str">
        <f>IF(K626="Not","No",IF(K626="n/a","N/A",IF(K626&gt;$Y$2,"Yes","No")))</f>
        <v>No</v>
      </c>
      <c r="Q626" s="27" t="s">
        <v>118</v>
      </c>
      <c r="R626" s="27" t="str">
        <f>IF(COUNTIF(R623:R625,"Yes"),"Yes","No")</f>
        <v>Yes</v>
      </c>
      <c r="S626" s="27" t="str">
        <f>IF(COUNTIF(S623:S625,"Yes"),"Yes","No")</f>
        <v>Yes</v>
      </c>
      <c r="U626" s="27" t="s">
        <v>164</v>
      </c>
      <c r="V626" s="27" t="s">
        <v>5</v>
      </c>
      <c r="W626" s="27" t="str">
        <f>O626</f>
        <v>No</v>
      </c>
      <c r="X626" s="27" t="str">
        <f t="shared" si="282"/>
        <v>No</v>
      </c>
    </row>
    <row r="627" spans="1:24" x14ac:dyDescent="0.2">
      <c r="A627" s="27" t="s">
        <v>63</v>
      </c>
      <c r="B627" s="27" t="s">
        <v>77</v>
      </c>
      <c r="C627" s="27">
        <v>3.7</v>
      </c>
      <c r="D627" s="27" t="s">
        <v>4</v>
      </c>
      <c r="F627" s="27" t="str">
        <f t="shared" si="279"/>
        <v>Yes</v>
      </c>
      <c r="G627" s="27" t="s">
        <v>5</v>
      </c>
      <c r="H627" s="27" t="s">
        <v>46</v>
      </c>
      <c r="J627" s="27" t="s">
        <v>22</v>
      </c>
      <c r="K627" s="27">
        <v>188</v>
      </c>
      <c r="L627" s="27" t="s">
        <v>12</v>
      </c>
      <c r="M627" s="27" t="s">
        <v>43</v>
      </c>
      <c r="N627" s="27" t="str">
        <f>IF(K627="N/A","No", IF(K627&gt;5000,"Yes","No"))</f>
        <v>No</v>
      </c>
      <c r="O627" s="27" t="str">
        <f>IF(K627="Not","No",IF(K627="n/a","N/A",IF(K627&gt;$Y$2,"Yes","No")))</f>
        <v>No</v>
      </c>
      <c r="U627" s="27" t="s">
        <v>162</v>
      </c>
      <c r="V627" s="27" t="str">
        <f>R624</f>
        <v>Yes</v>
      </c>
      <c r="W627" s="27" t="str">
        <f>S624</f>
        <v>No</v>
      </c>
      <c r="X627" s="27" t="str">
        <f t="shared" si="282"/>
        <v>No</v>
      </c>
    </row>
    <row r="628" spans="1:24" x14ac:dyDescent="0.2">
      <c r="A628" s="27" t="s">
        <v>63</v>
      </c>
      <c r="B628" s="27" t="s">
        <v>77</v>
      </c>
      <c r="C628" s="27">
        <v>10.5</v>
      </c>
      <c r="D628" s="27" t="s">
        <v>4</v>
      </c>
      <c r="F628" s="27" t="str">
        <f t="shared" si="279"/>
        <v>Yes</v>
      </c>
      <c r="G628" s="27" t="s">
        <v>5</v>
      </c>
      <c r="H628" s="27" t="s">
        <v>46</v>
      </c>
      <c r="J628" s="27" t="s">
        <v>25</v>
      </c>
      <c r="K628" s="27">
        <v>4</v>
      </c>
      <c r="L628" s="27" t="s">
        <v>12</v>
      </c>
      <c r="M628" s="27" t="s">
        <v>126</v>
      </c>
      <c r="N628" s="27" t="str">
        <f>IF(K628="N/A","No", IF(K628&gt;20,"Yes","No"))</f>
        <v>No</v>
      </c>
      <c r="O628" s="27" t="str">
        <f t="shared" ref="O628:O629" si="283">IF(K628="Not","No",IF(K628="n/a","N/A",IF(K628&gt;$Y$6,"Yes","No")))</f>
        <v>No</v>
      </c>
      <c r="U628" s="27" t="s">
        <v>101</v>
      </c>
      <c r="V628" s="27" t="s">
        <v>5</v>
      </c>
      <c r="W628" s="27" t="s">
        <v>9</v>
      </c>
      <c r="X628" s="27" t="str">
        <f>IF(V628="N/A","N/A",IF(W628="N/A", "N/A", IF(V628=W628, "Yes","No")))</f>
        <v>No</v>
      </c>
    </row>
    <row r="629" spans="1:24" x14ac:dyDescent="0.2">
      <c r="A629" s="27" t="s">
        <v>63</v>
      </c>
      <c r="B629" s="27" t="s">
        <v>24</v>
      </c>
      <c r="C629" s="27">
        <v>3.9</v>
      </c>
      <c r="D629" s="27" t="s">
        <v>4</v>
      </c>
      <c r="F629" s="27" t="str">
        <f t="shared" si="279"/>
        <v>Yes</v>
      </c>
      <c r="G629" s="27" t="s">
        <v>5</v>
      </c>
      <c r="H629" s="27" t="s">
        <v>46</v>
      </c>
      <c r="J629" s="27" t="s">
        <v>29</v>
      </c>
      <c r="K629" s="27">
        <v>5</v>
      </c>
      <c r="L629" s="27" t="s">
        <v>12</v>
      </c>
      <c r="M629" s="27" t="s">
        <v>222</v>
      </c>
      <c r="N629" s="27" t="str">
        <f>IF(K629="N/A","No", IF(K629&gt;20,"Yes","No"))</f>
        <v>No</v>
      </c>
      <c r="O629" s="27" t="str">
        <f t="shared" si="283"/>
        <v>No</v>
      </c>
      <c r="U629" s="27" t="s">
        <v>104</v>
      </c>
      <c r="V629" s="27" t="s">
        <v>5</v>
      </c>
      <c r="W629" s="27" t="str">
        <f>O630</f>
        <v>No</v>
      </c>
      <c r="X629" s="27" t="str">
        <f>IF(V629="N/A","N/A",IF(W629="N/A", "N/A", IF(V629=W629, "Yes","No")))</f>
        <v>No</v>
      </c>
    </row>
    <row r="630" spans="1:24" x14ac:dyDescent="0.2">
      <c r="A630" s="27" t="s">
        <v>63</v>
      </c>
      <c r="B630" s="27" t="s">
        <v>24</v>
      </c>
      <c r="C630" s="27">
        <v>4.5</v>
      </c>
      <c r="D630" s="27" t="s">
        <v>4</v>
      </c>
      <c r="F630" s="27" t="str">
        <f t="shared" si="279"/>
        <v>Yes</v>
      </c>
      <c r="G630" s="27" t="s">
        <v>5</v>
      </c>
      <c r="H630" s="27" t="s">
        <v>46</v>
      </c>
      <c r="J630" s="27" t="s">
        <v>34</v>
      </c>
      <c r="K630" s="27">
        <v>11</v>
      </c>
      <c r="L630" s="27" t="s">
        <v>12</v>
      </c>
      <c r="M630" s="27" t="s">
        <v>210</v>
      </c>
      <c r="N630" s="27" t="str">
        <f>IF(K630="N/A","No", IF(K630&gt;230,"Yes","No"))</f>
        <v>No</v>
      </c>
      <c r="O630" s="27" t="str">
        <f>IF(K630="Not","No",IF(K630="n/a","N/A",IF(K630&gt;$Y$5,"Yes","No")))</f>
        <v>No</v>
      </c>
      <c r="U630" s="27" t="s">
        <v>106</v>
      </c>
      <c r="V630" s="27" t="str">
        <f>R625</f>
        <v>Yes</v>
      </c>
      <c r="W630" s="27" t="str">
        <f>S625</f>
        <v>No</v>
      </c>
      <c r="X630" s="27" t="str">
        <f>IF(V630="N/A","N/A",IF(W630="N/A", "N/A", IF(V630=W630, "Yes","No")))</f>
        <v>No</v>
      </c>
    </row>
    <row r="631" spans="1:24" x14ac:dyDescent="0.2">
      <c r="A631" s="27" t="s">
        <v>63</v>
      </c>
      <c r="B631" s="27" t="s">
        <v>24</v>
      </c>
      <c r="C631" s="27">
        <v>0.1</v>
      </c>
      <c r="D631" s="27" t="s">
        <v>4</v>
      </c>
      <c r="F631" s="27" t="str">
        <f t="shared" si="279"/>
        <v>No</v>
      </c>
      <c r="G631" s="27" t="s">
        <v>9</v>
      </c>
      <c r="H631" s="27" t="s">
        <v>46</v>
      </c>
      <c r="J631" s="27" t="s">
        <v>208</v>
      </c>
      <c r="K631" s="27">
        <v>363</v>
      </c>
      <c r="L631" s="27" t="s">
        <v>12</v>
      </c>
      <c r="M631" s="27" t="s">
        <v>223</v>
      </c>
      <c r="N631" s="27" t="str">
        <f>IF(K631="N/A","No", IF(K631&gt;20,"Yes","No"))</f>
        <v>Yes</v>
      </c>
      <c r="O631" s="27" t="str">
        <f>IF(K631="Not","No",IF(K631="n/a","N/A",IF(K631&gt;$Y$7,"Yes","No")))</f>
        <v>No</v>
      </c>
      <c r="U631" s="27" t="s">
        <v>121</v>
      </c>
      <c r="V631" s="27" t="str">
        <f>R626</f>
        <v>Yes</v>
      </c>
      <c r="W631" s="27" t="str">
        <f>S626</f>
        <v>Yes</v>
      </c>
      <c r="X631" s="27" t="str">
        <f>IF(V631="N/A","N/A",IF(W631="N/A", "N/A", IF(V631=W631, "Yes","No")))</f>
        <v>Yes</v>
      </c>
    </row>
    <row r="632" spans="1:24" x14ac:dyDescent="0.2">
      <c r="A632" s="27" t="s">
        <v>63</v>
      </c>
      <c r="B632" s="27" t="s">
        <v>24</v>
      </c>
      <c r="C632" s="27">
        <v>0.28000000000000003</v>
      </c>
      <c r="D632" s="27" t="s">
        <v>4</v>
      </c>
      <c r="F632" s="27" t="str">
        <f t="shared" si="279"/>
        <v>No</v>
      </c>
      <c r="G632" s="27" t="s">
        <v>9</v>
      </c>
      <c r="H632" s="27" t="s">
        <v>46</v>
      </c>
    </row>
    <row r="633" spans="1:24" x14ac:dyDescent="0.2">
      <c r="A633" s="27" t="s">
        <v>63</v>
      </c>
      <c r="B633" s="27" t="s">
        <v>24</v>
      </c>
      <c r="C633" s="27">
        <v>6.2</v>
      </c>
      <c r="D633" s="27" t="s">
        <v>4</v>
      </c>
      <c r="F633" s="27" t="str">
        <f t="shared" si="279"/>
        <v>Yes</v>
      </c>
      <c r="G633" s="27" t="s">
        <v>5</v>
      </c>
      <c r="H633" s="27" t="s">
        <v>46</v>
      </c>
    </row>
    <row r="634" spans="1:24" x14ac:dyDescent="0.2">
      <c r="A634" s="27" t="s">
        <v>63</v>
      </c>
      <c r="B634" s="27" t="s">
        <v>24</v>
      </c>
      <c r="C634" s="27">
        <v>1.1000000000000001</v>
      </c>
      <c r="D634" s="27" t="s">
        <v>4</v>
      </c>
      <c r="F634" s="27" t="str">
        <f t="shared" si="279"/>
        <v>Yes</v>
      </c>
      <c r="G634" s="27" t="s">
        <v>5</v>
      </c>
      <c r="H634" s="27" t="s">
        <v>46</v>
      </c>
    </row>
    <row r="635" spans="1:24" x14ac:dyDescent="0.2">
      <c r="A635" s="27" t="s">
        <v>68</v>
      </c>
      <c r="B635" s="27" t="s">
        <v>69</v>
      </c>
      <c r="C635" s="27">
        <v>252</v>
      </c>
      <c r="D635" s="27" t="s">
        <v>12</v>
      </c>
      <c r="F635" s="27" t="str">
        <f>IF(C635&gt;$W$3,"Yes","No")</f>
        <v>No</v>
      </c>
      <c r="G635" s="27" t="s">
        <v>9</v>
      </c>
    </row>
    <row r="636" spans="1:24" x14ac:dyDescent="0.2">
      <c r="A636" s="27" t="s">
        <v>245</v>
      </c>
      <c r="B636" s="27" t="s">
        <v>24</v>
      </c>
      <c r="C636" s="27">
        <v>3.9</v>
      </c>
      <c r="D636" s="27" t="s">
        <v>4</v>
      </c>
      <c r="F636" s="27" t="str">
        <f t="shared" ref="F636:F641" si="284">IF(C636&gt;=$W$2,"Yes","No")</f>
        <v>Yes</v>
      </c>
      <c r="G636" s="27" t="s">
        <v>5</v>
      </c>
      <c r="H636" s="27" t="s">
        <v>43</v>
      </c>
    </row>
    <row r="637" spans="1:24" x14ac:dyDescent="0.2">
      <c r="A637" s="27" t="s">
        <v>64</v>
      </c>
      <c r="B637" s="27" t="s">
        <v>174</v>
      </c>
      <c r="C637" s="27">
        <v>8.6999999999999993</v>
      </c>
      <c r="D637" s="27" t="s">
        <v>4</v>
      </c>
      <c r="F637" s="27" t="str">
        <f t="shared" si="284"/>
        <v>Yes</v>
      </c>
      <c r="G637" s="27" t="s">
        <v>5</v>
      </c>
      <c r="H637" s="27" t="s">
        <v>43</v>
      </c>
    </row>
    <row r="638" spans="1:24" x14ac:dyDescent="0.2">
      <c r="A638" s="27" t="s">
        <v>64</v>
      </c>
      <c r="B638" s="27" t="s">
        <v>174</v>
      </c>
      <c r="C638" s="27">
        <v>9.1999999999999993</v>
      </c>
      <c r="D638" s="27" t="s">
        <v>4</v>
      </c>
      <c r="F638" s="27" t="str">
        <f t="shared" si="284"/>
        <v>Yes</v>
      </c>
      <c r="G638" s="27" t="s">
        <v>5</v>
      </c>
      <c r="H638" s="27" t="s">
        <v>43</v>
      </c>
    </row>
    <row r="639" spans="1:24" x14ac:dyDescent="0.2">
      <c r="A639" s="27" t="s">
        <v>64</v>
      </c>
      <c r="B639" s="27" t="s">
        <v>3</v>
      </c>
      <c r="C639" s="27">
        <v>5.8</v>
      </c>
      <c r="D639" s="27" t="s">
        <v>4</v>
      </c>
      <c r="F639" s="27" t="str">
        <f t="shared" si="284"/>
        <v>Yes</v>
      </c>
      <c r="G639" s="27" t="s">
        <v>5</v>
      </c>
      <c r="H639" s="27" t="s">
        <v>43</v>
      </c>
    </row>
    <row r="640" spans="1:24" x14ac:dyDescent="0.2">
      <c r="A640" s="27" t="s">
        <v>64</v>
      </c>
      <c r="B640" s="27" t="s">
        <v>40</v>
      </c>
      <c r="C640" s="27">
        <v>10.1</v>
      </c>
      <c r="D640" s="27" t="s">
        <v>4</v>
      </c>
      <c r="F640" s="27" t="str">
        <f t="shared" si="284"/>
        <v>Yes</v>
      </c>
      <c r="G640" s="27" t="s">
        <v>5</v>
      </c>
      <c r="H640" s="27" t="s">
        <v>43</v>
      </c>
    </row>
    <row r="641" spans="1:38" x14ac:dyDescent="0.2">
      <c r="A641" s="27" t="s">
        <v>64</v>
      </c>
      <c r="B641" s="27" t="s">
        <v>40</v>
      </c>
      <c r="C641" s="27">
        <v>6.6</v>
      </c>
      <c r="D641" s="27" t="s">
        <v>4</v>
      </c>
      <c r="F641" s="27" t="str">
        <f t="shared" si="284"/>
        <v>Yes</v>
      </c>
      <c r="G641" s="27" t="s">
        <v>5</v>
      </c>
      <c r="H641" s="27" t="s">
        <v>43</v>
      </c>
    </row>
    <row r="642" spans="1:38" x14ac:dyDescent="0.2">
      <c r="A642" s="27" t="s">
        <v>113</v>
      </c>
      <c r="B642" s="27" t="s">
        <v>32</v>
      </c>
      <c r="C642" s="27">
        <v>15.5</v>
      </c>
      <c r="D642" s="27" t="s">
        <v>33</v>
      </c>
      <c r="F642" s="27" t="str">
        <f t="shared" ref="F642:F643" si="285">IF(C642&gt;$W$6,"Yes","No")</f>
        <v>Yes</v>
      </c>
      <c r="G642" s="27" t="s">
        <v>5</v>
      </c>
    </row>
    <row r="643" spans="1:38" x14ac:dyDescent="0.2">
      <c r="A643" s="27" t="s">
        <v>109</v>
      </c>
      <c r="B643" s="27" t="s">
        <v>32</v>
      </c>
      <c r="C643" s="27">
        <v>4.8</v>
      </c>
      <c r="D643" s="27" t="s">
        <v>33</v>
      </c>
      <c r="F643" s="27" t="str">
        <f t="shared" si="285"/>
        <v>No</v>
      </c>
      <c r="G643" s="27" t="s">
        <v>9</v>
      </c>
    </row>
    <row r="644" spans="1:38" x14ac:dyDescent="0.2">
      <c r="A644" s="27" t="s">
        <v>109</v>
      </c>
      <c r="B644" s="27" t="s">
        <v>54</v>
      </c>
      <c r="C644" s="27">
        <v>119.4</v>
      </c>
      <c r="D644" s="27" t="s">
        <v>33</v>
      </c>
      <c r="F644" s="27" t="str">
        <f>IF(C644&gt;$W$5,"Yes","No")</f>
        <v>Yes</v>
      </c>
      <c r="G644" s="27" t="s">
        <v>5</v>
      </c>
    </row>
    <row r="645" spans="1:38" x14ac:dyDescent="0.2">
      <c r="A645" s="27" t="s">
        <v>293</v>
      </c>
      <c r="B645" s="27" t="s">
        <v>32</v>
      </c>
      <c r="C645" s="27">
        <v>29.3</v>
      </c>
      <c r="D645" s="27" t="s">
        <v>33</v>
      </c>
      <c r="F645" s="27" t="str">
        <f t="shared" ref="F645:F648" si="286">IF(C645&gt;$W$6,"Yes","No")</f>
        <v>Yes</v>
      </c>
      <c r="G645" s="27" t="s">
        <v>5</v>
      </c>
    </row>
    <row r="646" spans="1:38" x14ac:dyDescent="0.2">
      <c r="A646" s="27" t="s">
        <v>71</v>
      </c>
      <c r="B646" s="27" t="s">
        <v>32</v>
      </c>
      <c r="C646" s="27">
        <v>1240</v>
      </c>
      <c r="D646" s="27" t="s">
        <v>33</v>
      </c>
      <c r="F646" s="27" t="str">
        <f t="shared" si="286"/>
        <v>Yes</v>
      </c>
      <c r="G646" s="27" t="s">
        <v>5</v>
      </c>
    </row>
    <row r="647" spans="1:38" x14ac:dyDescent="0.2">
      <c r="A647" s="27" t="s">
        <v>71</v>
      </c>
      <c r="B647" s="27" t="s">
        <v>32</v>
      </c>
      <c r="C647" s="27">
        <v>33.9</v>
      </c>
      <c r="D647" s="27" t="s">
        <v>33</v>
      </c>
      <c r="F647" s="27" t="str">
        <f t="shared" si="286"/>
        <v>Yes</v>
      </c>
      <c r="G647" s="27" t="s">
        <v>5</v>
      </c>
    </row>
    <row r="648" spans="1:38" x14ac:dyDescent="0.2">
      <c r="A648" s="27" t="s">
        <v>70</v>
      </c>
      <c r="B648" s="27" t="s">
        <v>32</v>
      </c>
      <c r="C648" s="27">
        <v>69.3</v>
      </c>
      <c r="D648" s="27" t="s">
        <v>33</v>
      </c>
      <c r="F648" s="27" t="str">
        <f t="shared" si="286"/>
        <v>Yes</v>
      </c>
      <c r="G648" s="27" t="s">
        <v>5</v>
      </c>
    </row>
    <row r="649" spans="1:38" x14ac:dyDescent="0.2">
      <c r="A649" s="27" t="s">
        <v>158</v>
      </c>
      <c r="B649" s="27" t="s">
        <v>54</v>
      </c>
      <c r="C649" s="27">
        <v>268.8</v>
      </c>
      <c r="D649" s="27" t="s">
        <v>33</v>
      </c>
      <c r="F649" s="27" t="str">
        <f>IF(C649&gt;$W$5,"Yes","No")</f>
        <v>Yes</v>
      </c>
      <c r="G649" s="27" t="s">
        <v>5</v>
      </c>
    </row>
    <row r="651" spans="1:38" x14ac:dyDescent="0.2">
      <c r="A651" s="12"/>
    </row>
    <row r="652" spans="1:38" x14ac:dyDescent="0.2">
      <c r="A652" s="62">
        <v>1210</v>
      </c>
      <c r="B652" s="27" t="s">
        <v>111</v>
      </c>
      <c r="C652" s="27">
        <v>45</v>
      </c>
    </row>
    <row r="653" spans="1:38" x14ac:dyDescent="0.2">
      <c r="A653" s="59" t="s">
        <v>0</v>
      </c>
      <c r="E653" s="27" t="s">
        <v>274</v>
      </c>
      <c r="F653" s="27" t="s">
        <v>275</v>
      </c>
      <c r="G653" s="27" t="s">
        <v>119</v>
      </c>
      <c r="J653" s="59" t="s">
        <v>1</v>
      </c>
      <c r="N653" s="27" t="s">
        <v>277</v>
      </c>
      <c r="O653" s="27" t="s">
        <v>278</v>
      </c>
      <c r="Q653" s="59" t="s">
        <v>115</v>
      </c>
      <c r="R653" s="59" t="s">
        <v>0</v>
      </c>
      <c r="S653" s="59" t="s">
        <v>1</v>
      </c>
      <c r="U653" s="59" t="s">
        <v>115</v>
      </c>
      <c r="V653" s="59" t="s">
        <v>0</v>
      </c>
      <c r="W653" s="59" t="s">
        <v>1</v>
      </c>
      <c r="X653" s="59" t="s">
        <v>122</v>
      </c>
      <c r="AA653" s="27" t="str">
        <f>IF(R654="Yes","LRA-Soil","")</f>
        <v/>
      </c>
      <c r="AB653" s="27" t="str">
        <f>IF(R655="Yes","LRA-Paint","")</f>
        <v/>
      </c>
      <c r="AC653" s="27" t="str">
        <f>IF(R656="Yes","LRA-Dust","")</f>
        <v>LRA-Dust</v>
      </c>
      <c r="AD653" s="27" t="str">
        <f>IF(S654="Yes","LSK-Soil","")</f>
        <v/>
      </c>
      <c r="AE653" s="27" t="str">
        <f>IF(S655="Yes","LSK-Paint","")</f>
        <v/>
      </c>
      <c r="AF653" s="27" t="str">
        <f>IF(S656="Yes","LSK-Dust","")</f>
        <v/>
      </c>
      <c r="AI653" s="27" t="s">
        <v>46</v>
      </c>
      <c r="AJ653" s="27" t="s">
        <v>43</v>
      </c>
      <c r="AK653" s="27" t="s">
        <v>116</v>
      </c>
      <c r="AL653" s="27" t="s">
        <v>117</v>
      </c>
    </row>
    <row r="654" spans="1:38" x14ac:dyDescent="0.2">
      <c r="A654" s="27" t="s">
        <v>185</v>
      </c>
      <c r="B654" s="27" t="s">
        <v>217</v>
      </c>
      <c r="C654" s="27">
        <v>0</v>
      </c>
      <c r="D654" s="27" t="s">
        <v>4</v>
      </c>
      <c r="E654" s="27" t="s">
        <v>9</v>
      </c>
      <c r="F654" s="27" t="str">
        <f t="shared" ref="F654" si="287">IF(C654&gt;=$W$2,"Yes","No")</f>
        <v>No</v>
      </c>
      <c r="G654" s="27" t="s">
        <v>9</v>
      </c>
      <c r="H654" s="27" t="s">
        <v>46</v>
      </c>
      <c r="J654" s="27" t="s">
        <v>6</v>
      </c>
      <c r="K654" s="27">
        <v>80</v>
      </c>
      <c r="L654" s="27" t="s">
        <v>12</v>
      </c>
      <c r="M654" s="27" t="s">
        <v>114</v>
      </c>
      <c r="N654" s="27" t="str">
        <f>IF(K654="N/A","No", IF(K654&gt;1200,"Yes","No"))</f>
        <v>No</v>
      </c>
      <c r="O654" s="27" t="str">
        <f>IF(K654="Not","No",IF(K654="n/a","N/A",IF(K654&gt;=$Y$3,"Yes","No")))</f>
        <v>No</v>
      </c>
      <c r="Q654" s="27" t="s">
        <v>116</v>
      </c>
      <c r="R654" s="27" t="str">
        <f>_xlfn.XLOOKUP("ppm",D654:D657,F654:F657,"N/A")</f>
        <v>No</v>
      </c>
      <c r="S654" s="27" t="str">
        <f>IF(COUNTIF(O654:O656,"Yes"),"Yes","No")</f>
        <v>No</v>
      </c>
      <c r="U654" s="27" t="s">
        <v>92</v>
      </c>
      <c r="V654" s="27" t="s">
        <v>120</v>
      </c>
      <c r="W654" s="27" t="s">
        <v>120</v>
      </c>
      <c r="X654" s="27" t="str">
        <f>IF(V654="N/A","N/A",IF(W654="N/A", "N/A", IF(V654=W654, "Yes","No")))</f>
        <v>N/A</v>
      </c>
      <c r="AI654" s="27">
        <f>COUNTIF(H653:H657,"Exterior")</f>
        <v>1</v>
      </c>
      <c r="AJ654" s="27">
        <f>COUNTIF(H653:H657, "Interior")</f>
        <v>1</v>
      </c>
      <c r="AK654" s="27">
        <f>COUNTIFS(D653:D657,"ppm")+COUNTIFS(D653:D657,"mg/Kg")</f>
        <v>1</v>
      </c>
      <c r="AL654" s="27">
        <f>COUNTIF(D653:D657,"ug/ft2")</f>
        <v>1</v>
      </c>
    </row>
    <row r="655" spans="1:38" x14ac:dyDescent="0.2">
      <c r="A655" s="27" t="s">
        <v>243</v>
      </c>
      <c r="B655" s="27" t="s">
        <v>294</v>
      </c>
      <c r="C655" s="27">
        <v>20.2</v>
      </c>
      <c r="D655" s="27" t="s">
        <v>12</v>
      </c>
      <c r="E655" s="27" t="s">
        <v>9</v>
      </c>
      <c r="F655" s="27" t="str">
        <f>IF(C655&gt;$W$3,"Yes","No")</f>
        <v>No</v>
      </c>
      <c r="G655" s="27" t="s">
        <v>9</v>
      </c>
      <c r="J655" s="27" t="s">
        <v>11</v>
      </c>
      <c r="K655" s="27">
        <v>26.6</v>
      </c>
      <c r="L655" s="27" t="s">
        <v>12</v>
      </c>
      <c r="M655" s="27" t="s">
        <v>67</v>
      </c>
      <c r="N655" s="27" t="str">
        <f t="shared" ref="N655:N656" si="288">IF(K655="N/A","No", IF(K655&gt;1200,"Yes","No"))</f>
        <v>No</v>
      </c>
      <c r="O655" s="27" t="str">
        <f t="shared" ref="O655:O656" si="289">IF(K655="Not","No",IF(K655="n/a","N/A",IF(K655&gt;$Y$3,"Yes","No")))</f>
        <v>No</v>
      </c>
      <c r="Q655" s="27" t="s">
        <v>98</v>
      </c>
      <c r="R655" s="27" t="str">
        <f>_xlfn.XLOOKUP("mg/cm2",D654:D680,G654:G680,"N/A",1,-1)</f>
        <v>No</v>
      </c>
      <c r="S655" s="27" t="str">
        <f>IF(COUNTIF(O657:O658,"Yes"),"Yes","No")</f>
        <v>No</v>
      </c>
      <c r="U655" s="27" t="s">
        <v>95</v>
      </c>
      <c r="V655" s="27" t="str">
        <f>R654</f>
        <v>No</v>
      </c>
      <c r="W655" s="27" t="str">
        <f>S654</f>
        <v>No</v>
      </c>
      <c r="X655" s="27" t="str">
        <f t="shared" ref="X655:X658" si="290">IF(V655="N/A","N/A",IF(W655="N/A", "N/A", IF(V655=W655, "Yes","No")))</f>
        <v>Yes</v>
      </c>
    </row>
    <row r="656" spans="1:38" x14ac:dyDescent="0.2">
      <c r="A656" s="27" t="s">
        <v>191</v>
      </c>
      <c r="B656" s="27" t="s">
        <v>189</v>
      </c>
      <c r="C656" s="27">
        <v>0</v>
      </c>
      <c r="D656" s="27" t="s">
        <v>4</v>
      </c>
      <c r="E656" s="27" t="s">
        <v>9</v>
      </c>
      <c r="F656" s="27" t="str">
        <f t="shared" ref="F656" si="291">IF(C656&gt;=$W$2,"Yes","No")</f>
        <v>No</v>
      </c>
      <c r="G656" s="27" t="s">
        <v>9</v>
      </c>
      <c r="H656" s="27" t="s">
        <v>43</v>
      </c>
      <c r="J656" s="27" t="s">
        <v>15</v>
      </c>
      <c r="K656" s="27">
        <v>24.7</v>
      </c>
      <c r="L656" s="27" t="s">
        <v>12</v>
      </c>
      <c r="M656" s="27" t="s">
        <v>112</v>
      </c>
      <c r="N656" s="27" t="str">
        <f t="shared" si="288"/>
        <v>No</v>
      </c>
      <c r="O656" s="27" t="str">
        <f t="shared" si="289"/>
        <v>No</v>
      </c>
      <c r="Q656" s="27" t="s">
        <v>117</v>
      </c>
      <c r="R656" s="27" t="str">
        <f>_xlfn.XLOOKUP("ug/ft2",D654:D657,F654:F657,"N/A")</f>
        <v>Yes</v>
      </c>
      <c r="S656" s="27" t="str">
        <f>IF(COUNTIF(O659:O662,"Yes"),"Yes","No")</f>
        <v>No</v>
      </c>
      <c r="U656" s="27" t="s">
        <v>163</v>
      </c>
      <c r="V656" s="27" t="s">
        <v>9</v>
      </c>
      <c r="W656" s="27" t="str">
        <f>O658</f>
        <v>No</v>
      </c>
      <c r="X656" s="27" t="str">
        <f t="shared" si="290"/>
        <v>Yes</v>
      </c>
    </row>
    <row r="657" spans="1:38" x14ac:dyDescent="0.2">
      <c r="A657" s="27" t="s">
        <v>201</v>
      </c>
      <c r="B657" s="27" t="s">
        <v>214</v>
      </c>
      <c r="C657" s="27">
        <v>28.1</v>
      </c>
      <c r="D657" s="27" t="s">
        <v>33</v>
      </c>
      <c r="E657" s="27" t="s">
        <v>5</v>
      </c>
      <c r="F657" s="27" t="str">
        <f t="shared" ref="F657" si="292">IF(C657&gt;$W$6,"Yes","No")</f>
        <v>Yes</v>
      </c>
      <c r="G657" s="27" t="s">
        <v>5</v>
      </c>
      <c r="J657" s="27" t="s">
        <v>19</v>
      </c>
      <c r="K657" s="27" t="s">
        <v>120</v>
      </c>
      <c r="L657" s="27" t="s">
        <v>12</v>
      </c>
      <c r="M657" s="27" t="s">
        <v>46</v>
      </c>
      <c r="N657" s="27" t="str">
        <f>IF(K657="N/A","No", IF(K657&gt;5000,"Yes","No"))</f>
        <v>No</v>
      </c>
      <c r="O657" s="27" t="str">
        <f>IF(K657="Not","No",IF(K657="n/a","N/A",IF(K657&gt;$Y$2,"Yes","No")))</f>
        <v>N/A</v>
      </c>
      <c r="Q657" s="27" t="s">
        <v>118</v>
      </c>
      <c r="R657" s="27" t="str">
        <f>IF(COUNTIF(R654:R656,"Yes"),"Yes","No")</f>
        <v>Yes</v>
      </c>
      <c r="S657" s="27" t="str">
        <f>IF(COUNTIF(S654:S656,"Yes"),"Yes","No")</f>
        <v>No</v>
      </c>
      <c r="U657" s="27" t="s">
        <v>164</v>
      </c>
      <c r="V657" s="27" t="s">
        <v>9</v>
      </c>
      <c r="W657" s="27" t="str">
        <f>O657</f>
        <v>N/A</v>
      </c>
      <c r="X657" s="27" t="str">
        <f t="shared" si="290"/>
        <v>N/A</v>
      </c>
    </row>
    <row r="658" spans="1:38" x14ac:dyDescent="0.2">
      <c r="J658" s="27" t="s">
        <v>22</v>
      </c>
      <c r="K658" s="27">
        <v>2.5</v>
      </c>
      <c r="L658" s="27" t="s">
        <v>12</v>
      </c>
      <c r="M658" s="27" t="s">
        <v>43</v>
      </c>
      <c r="N658" s="27" t="str">
        <f>IF(K658="N/A","No", IF(K658&gt;5000,"Yes","No"))</f>
        <v>No</v>
      </c>
      <c r="O658" s="27" t="str">
        <f>IF(K658="Not","No",IF(K658="n/a","N/A",IF(K658&gt;$Y$2,"Yes","No")))</f>
        <v>No</v>
      </c>
      <c r="U658" s="27" t="s">
        <v>162</v>
      </c>
      <c r="V658" s="27" t="str">
        <f>R655</f>
        <v>No</v>
      </c>
      <c r="W658" s="27" t="str">
        <f>S655</f>
        <v>No</v>
      </c>
      <c r="X658" s="27" t="str">
        <f t="shared" si="290"/>
        <v>Yes</v>
      </c>
    </row>
    <row r="659" spans="1:38" x14ac:dyDescent="0.2">
      <c r="J659" s="27" t="s">
        <v>25</v>
      </c>
      <c r="K659" s="27">
        <v>2.5</v>
      </c>
      <c r="L659" s="27" t="s">
        <v>12</v>
      </c>
      <c r="M659" s="27" t="s">
        <v>126</v>
      </c>
      <c r="N659" s="27" t="str">
        <f>IF(K659="N/A","No", IF(K659&gt;20,"Yes","No"))</f>
        <v>No</v>
      </c>
      <c r="O659" s="27" t="str">
        <f t="shared" ref="O659:O660" si="293">IF(K659="Not","No",IF(K659="n/a","N/A",IF(K659&gt;$Y$6,"Yes","No")))</f>
        <v>No</v>
      </c>
      <c r="U659" s="27" t="s">
        <v>101</v>
      </c>
      <c r="V659" s="27" t="s">
        <v>5</v>
      </c>
      <c r="W659" s="27" t="s">
        <v>9</v>
      </c>
      <c r="X659" s="27" t="str">
        <f>IF(V659="N/A","N/A",IF(W659="N/A", "N/A", IF(V659=W659, "Yes","No")))</f>
        <v>No</v>
      </c>
    </row>
    <row r="660" spans="1:38" x14ac:dyDescent="0.2">
      <c r="J660" s="27" t="s">
        <v>29</v>
      </c>
      <c r="K660" s="27">
        <v>2.5</v>
      </c>
      <c r="L660" s="27" t="s">
        <v>12</v>
      </c>
      <c r="M660" s="27" t="s">
        <v>222</v>
      </c>
      <c r="N660" s="27" t="str">
        <f>IF(K660="N/A","No", IF(K660&gt;20,"Yes","No"))</f>
        <v>No</v>
      </c>
      <c r="O660" s="27" t="str">
        <f t="shared" si="293"/>
        <v>No</v>
      </c>
      <c r="U660" s="27" t="s">
        <v>104</v>
      </c>
      <c r="V660" s="27" t="s">
        <v>120</v>
      </c>
      <c r="W660" s="27" t="str">
        <f>O661</f>
        <v>No</v>
      </c>
      <c r="X660" s="27" t="str">
        <f>IF(V660="N/A","N/A",IF(W660="N/A", "N/A", IF(V660=W660, "Yes","No")))</f>
        <v>N/A</v>
      </c>
    </row>
    <row r="661" spans="1:38" x14ac:dyDescent="0.2">
      <c r="J661" s="27" t="s">
        <v>34</v>
      </c>
      <c r="K661" s="27">
        <v>2.5</v>
      </c>
      <c r="L661" s="27" t="s">
        <v>12</v>
      </c>
      <c r="M661" s="27" t="s">
        <v>210</v>
      </c>
      <c r="N661" s="27" t="str">
        <f>IF(K661="N/A","No", IF(K661&gt;230,"Yes","No"))</f>
        <v>No</v>
      </c>
      <c r="O661" s="27" t="str">
        <f>IF(K661="Not","No",IF(K661="n/a","N/A",IF(K661&gt;$Y$5,"Yes","No")))</f>
        <v>No</v>
      </c>
      <c r="U661" s="27" t="s">
        <v>106</v>
      </c>
      <c r="V661" s="27" t="str">
        <f>R656</f>
        <v>Yes</v>
      </c>
      <c r="W661" s="27" t="str">
        <f>S656</f>
        <v>No</v>
      </c>
      <c r="X661" s="27" t="str">
        <f>IF(V661="N/A","N/A",IF(W661="N/A", "N/A", IF(V661=W661, "Yes","No")))</f>
        <v>No</v>
      </c>
    </row>
    <row r="662" spans="1:38" x14ac:dyDescent="0.2">
      <c r="J662" s="69" t="s">
        <v>208</v>
      </c>
      <c r="K662" s="27">
        <v>12.9</v>
      </c>
      <c r="L662" s="27" t="s">
        <v>12</v>
      </c>
      <c r="M662" s="27" t="s">
        <v>223</v>
      </c>
      <c r="N662" s="27" t="str">
        <f>IF(K662="N/A","No", IF(K662&gt;20,"Yes","No"))</f>
        <v>No</v>
      </c>
      <c r="O662" s="27" t="str">
        <f>IF(K662="Not","No",IF(K662="n/a","N/A",IF(K662&gt;$Y$7,"Yes","No")))</f>
        <v>No</v>
      </c>
      <c r="U662" s="27" t="s">
        <v>121</v>
      </c>
      <c r="V662" s="27" t="str">
        <f>R657</f>
        <v>Yes</v>
      </c>
      <c r="W662" s="27" t="str">
        <f>S657</f>
        <v>No</v>
      </c>
      <c r="X662" s="27" t="str">
        <f>IF(V662="N/A","N/A",IF(W662="N/A", "N/A", IF(V662=W662, "Yes","No")))</f>
        <v>No</v>
      </c>
    </row>
    <row r="664" spans="1:38" x14ac:dyDescent="0.2">
      <c r="A664" s="27">
        <v>1223</v>
      </c>
      <c r="B664" s="27" t="s">
        <v>111</v>
      </c>
      <c r="C664" s="27">
        <v>46</v>
      </c>
    </row>
    <row r="665" spans="1:38" x14ac:dyDescent="0.2">
      <c r="A665" s="59" t="s">
        <v>0</v>
      </c>
      <c r="E665" s="27" t="s">
        <v>274</v>
      </c>
      <c r="F665" s="27" t="s">
        <v>275</v>
      </c>
      <c r="G665" s="27" t="s">
        <v>119</v>
      </c>
      <c r="J665" s="59" t="s">
        <v>1</v>
      </c>
      <c r="N665" s="27" t="s">
        <v>277</v>
      </c>
      <c r="O665" s="27" t="s">
        <v>278</v>
      </c>
      <c r="Q665" s="59" t="s">
        <v>115</v>
      </c>
      <c r="R665" s="59" t="s">
        <v>0</v>
      </c>
      <c r="S665" s="59" t="s">
        <v>1</v>
      </c>
      <c r="U665" s="59" t="s">
        <v>115</v>
      </c>
      <c r="V665" s="59" t="s">
        <v>0</v>
      </c>
      <c r="W665" s="59" t="s">
        <v>1</v>
      </c>
      <c r="X665" s="59" t="s">
        <v>122</v>
      </c>
      <c r="AA665" s="27" t="str">
        <f>IF(R666="Yes","LRA-Soil","")</f>
        <v/>
      </c>
      <c r="AB665" s="27" t="str">
        <f>IF(R667="Yes","LRA-Paint","")</f>
        <v/>
      </c>
      <c r="AC665" s="27" t="str">
        <f>IF(R668="Yes","LRA-Dust","")</f>
        <v>LRA-Dust</v>
      </c>
      <c r="AD665" s="27" t="str">
        <f>IF(S666="Yes","LSK-Soil","")</f>
        <v>LSK-Soil</v>
      </c>
      <c r="AE665" s="27" t="str">
        <f>IF(S667="Yes","LSK-Paint","")</f>
        <v>LSK-Paint</v>
      </c>
      <c r="AF665" s="27" t="str">
        <f>IF(S668="Yes","LSK-Dust","")</f>
        <v/>
      </c>
      <c r="AI665" s="27" t="s">
        <v>46</v>
      </c>
      <c r="AJ665" s="27" t="s">
        <v>43</v>
      </c>
      <c r="AK665" s="27" t="s">
        <v>116</v>
      </c>
      <c r="AL665" s="27" t="s">
        <v>117</v>
      </c>
    </row>
    <row r="666" spans="1:38" x14ac:dyDescent="0.2">
      <c r="A666" s="27" t="s">
        <v>63</v>
      </c>
      <c r="B666" s="27" t="s">
        <v>18</v>
      </c>
      <c r="C666" s="27">
        <v>0</v>
      </c>
      <c r="D666" s="27" t="s">
        <v>4</v>
      </c>
      <c r="F666" s="27" t="str">
        <f t="shared" ref="F666:F667" si="294">IF(C666&gt;=$W$2,"Yes","No")</f>
        <v>No</v>
      </c>
      <c r="G666" s="27" t="s">
        <v>9</v>
      </c>
      <c r="H666" s="27" t="s">
        <v>46</v>
      </c>
      <c r="J666" s="27" t="s">
        <v>6</v>
      </c>
      <c r="K666" s="27">
        <v>30</v>
      </c>
      <c r="L666" s="27" t="s">
        <v>12</v>
      </c>
      <c r="M666" s="27" t="s">
        <v>114</v>
      </c>
      <c r="N666" s="27" t="str">
        <f>IF(K666="N/A","No", IF(K666&gt;1200,"Yes","No"))</f>
        <v>No</v>
      </c>
      <c r="O666" s="27" t="str">
        <f>IF(K666="Not","No",IF(K666="n/a","N/A",IF(K666&gt;=$Y$3,"Yes","No")))</f>
        <v>No</v>
      </c>
      <c r="Q666" s="27" t="s">
        <v>116</v>
      </c>
      <c r="R666" s="27" t="str">
        <f>_xlfn.XLOOKUP("ppm",D666:D676,F666:F676,"N/A")</f>
        <v>No</v>
      </c>
      <c r="S666" s="27" t="str">
        <f>IF(COUNTIF(O666:O668,"Yes"),"Yes","No")</f>
        <v>Yes</v>
      </c>
      <c r="U666" s="27" t="s">
        <v>92</v>
      </c>
      <c r="V666" s="27" t="s">
        <v>9</v>
      </c>
      <c r="W666" s="27" t="s">
        <v>120</v>
      </c>
      <c r="X666" s="27" t="str">
        <f>IF(V666="N/A","N/A",IF(W666="N/A", "N/A", IF(V666=W666, "Yes","No")))</f>
        <v>N/A</v>
      </c>
      <c r="AI666" s="27">
        <f>COUNTIF(H665:H676,"Exterior")</f>
        <v>2</v>
      </c>
      <c r="AJ666" s="27">
        <f>COUNTIF(H665:H676, "Interior")</f>
        <v>2</v>
      </c>
      <c r="AK666" s="27">
        <f>COUNTIFS(D665:D676,"ppm")+COUNTIFS(D665:D676,"mg/Kg")</f>
        <v>1</v>
      </c>
      <c r="AL666" s="27">
        <f>COUNTIF(D665:D676,"ug/ft2")</f>
        <v>6</v>
      </c>
    </row>
    <row r="667" spans="1:38" x14ac:dyDescent="0.2">
      <c r="A667" s="27" t="s">
        <v>63</v>
      </c>
      <c r="B667" s="27" t="s">
        <v>24</v>
      </c>
      <c r="C667" s="27">
        <v>0.02</v>
      </c>
      <c r="D667" s="27" t="s">
        <v>4</v>
      </c>
      <c r="F667" s="27" t="str">
        <f t="shared" si="294"/>
        <v>No</v>
      </c>
      <c r="G667" s="27" t="s">
        <v>9</v>
      </c>
      <c r="H667" s="27" t="s">
        <v>46</v>
      </c>
      <c r="J667" s="27" t="s">
        <v>11</v>
      </c>
      <c r="K667" s="27">
        <v>334</v>
      </c>
      <c r="L667" s="27" t="s">
        <v>12</v>
      </c>
      <c r="M667" s="27" t="s">
        <v>67</v>
      </c>
      <c r="N667" s="27" t="str">
        <f t="shared" ref="N667:N668" si="295">IF(K667="N/A","No", IF(K667&gt;1200,"Yes","No"))</f>
        <v>No</v>
      </c>
      <c r="O667" s="27" t="str">
        <f t="shared" ref="O667:O668" si="296">IF(K667="Not","No",IF(K667="n/a","N/A",IF(K667&gt;$Y$3,"Yes","No")))</f>
        <v>No</v>
      </c>
      <c r="Q667" s="27" t="s">
        <v>98</v>
      </c>
      <c r="R667" s="27" t="str">
        <f>_xlfn.XLOOKUP("mg/cm2",D666:D676,G666:G676,"N/A",1,-1)</f>
        <v>No</v>
      </c>
      <c r="S667" s="27" t="str">
        <f>IF(COUNTIF(O669:O670,"Yes"),"Yes","No")</f>
        <v>Yes</v>
      </c>
      <c r="U667" s="27" t="s">
        <v>95</v>
      </c>
      <c r="V667" s="27" t="str">
        <f>R666</f>
        <v>No</v>
      </c>
      <c r="W667" s="27" t="str">
        <f>S666</f>
        <v>Yes</v>
      </c>
      <c r="X667" s="27" t="str">
        <f t="shared" ref="X667:X670" si="297">IF(V667="N/A","N/A",IF(W667="N/A", "N/A", IF(V667=W667, "Yes","No")))</f>
        <v>No</v>
      </c>
    </row>
    <row r="668" spans="1:38" x14ac:dyDescent="0.2">
      <c r="A668" s="27" t="s">
        <v>161</v>
      </c>
      <c r="B668" s="27" t="s">
        <v>28</v>
      </c>
      <c r="C668" s="27">
        <v>266</v>
      </c>
      <c r="D668" s="27" t="s">
        <v>12</v>
      </c>
      <c r="F668" s="27" t="str">
        <f>IF(C668&gt;$W$3,"Yes","No")</f>
        <v>No</v>
      </c>
      <c r="G668" s="27" t="s">
        <v>9</v>
      </c>
      <c r="J668" s="27" t="s">
        <v>15</v>
      </c>
      <c r="K668" s="27">
        <v>494</v>
      </c>
      <c r="L668" s="27" t="s">
        <v>12</v>
      </c>
      <c r="M668" s="27" t="s">
        <v>112</v>
      </c>
      <c r="N668" s="27" t="str">
        <f t="shared" si="295"/>
        <v>No</v>
      </c>
      <c r="O668" s="27" t="str">
        <f t="shared" si="296"/>
        <v>Yes</v>
      </c>
      <c r="Q668" s="27" t="s">
        <v>117</v>
      </c>
      <c r="R668" s="63" t="s">
        <v>5</v>
      </c>
      <c r="S668" s="27" t="str">
        <f>IF(COUNTIF(O671:O674,"Yes"),"Yes","No")</f>
        <v>No</v>
      </c>
      <c r="U668" s="27" t="s">
        <v>163</v>
      </c>
      <c r="V668" s="27" t="s">
        <v>9</v>
      </c>
      <c r="W668" s="27" t="str">
        <f>O670</f>
        <v>No</v>
      </c>
      <c r="X668" s="27" t="str">
        <f t="shared" si="297"/>
        <v>Yes</v>
      </c>
    </row>
    <row r="669" spans="1:38" x14ac:dyDescent="0.2">
      <c r="A669" s="27" t="s">
        <v>307</v>
      </c>
      <c r="B669" s="27" t="s">
        <v>40</v>
      </c>
      <c r="C669" s="27">
        <v>0.2</v>
      </c>
      <c r="D669" s="27" t="s">
        <v>4</v>
      </c>
      <c r="F669" s="27" t="str">
        <f t="shared" ref="F669:F670" si="298">IF(C669&gt;=$W$2,"Yes","No")</f>
        <v>No</v>
      </c>
      <c r="G669" s="27" t="s">
        <v>9</v>
      </c>
      <c r="H669" s="27" t="s">
        <v>43</v>
      </c>
      <c r="J669" s="27" t="s">
        <v>19</v>
      </c>
      <c r="K669" s="27">
        <v>23593</v>
      </c>
      <c r="L669" s="27" t="s">
        <v>12</v>
      </c>
      <c r="M669" s="27" t="s">
        <v>46</v>
      </c>
      <c r="N669" s="27" t="str">
        <f>IF(K669="N/A","No", IF(K669&gt;5000,"Yes","No"))</f>
        <v>Yes</v>
      </c>
      <c r="O669" s="27" t="str">
        <f>IF(K669="Not","No",IF(K669="n/a","N/A",IF(K669&gt;$Y$2,"Yes","No")))</f>
        <v>Yes</v>
      </c>
      <c r="Q669" s="27" t="s">
        <v>118</v>
      </c>
      <c r="R669" s="27" t="str">
        <f>IF(COUNTIF(R666:R668,"Yes"),"Yes","No")</f>
        <v>Yes</v>
      </c>
      <c r="S669" s="27" t="str">
        <f>IF(COUNTIF(S666:S668,"Yes"),"Yes","No")</f>
        <v>Yes</v>
      </c>
      <c r="U669" s="27" t="s">
        <v>164</v>
      </c>
      <c r="V669" s="27" t="s">
        <v>9</v>
      </c>
      <c r="W669" s="27" t="str">
        <f>O669</f>
        <v>Yes</v>
      </c>
      <c r="X669" s="27" t="str">
        <f t="shared" si="297"/>
        <v>No</v>
      </c>
    </row>
    <row r="670" spans="1:38" x14ac:dyDescent="0.2">
      <c r="A670" s="27" t="s">
        <v>70</v>
      </c>
      <c r="B670" s="27" t="s">
        <v>40</v>
      </c>
      <c r="C670" s="27">
        <v>0.23</v>
      </c>
      <c r="D670" s="27" t="s">
        <v>4</v>
      </c>
      <c r="F670" s="27" t="str">
        <f t="shared" si="298"/>
        <v>No</v>
      </c>
      <c r="G670" s="27" t="s">
        <v>9</v>
      </c>
      <c r="H670" s="27" t="s">
        <v>43</v>
      </c>
      <c r="J670" s="27" t="s">
        <v>22</v>
      </c>
      <c r="K670" s="27">
        <v>180</v>
      </c>
      <c r="L670" s="27" t="s">
        <v>12</v>
      </c>
      <c r="M670" s="27" t="s">
        <v>43</v>
      </c>
      <c r="N670" s="27" t="str">
        <f>IF(K670="N/A","No", IF(K670&gt;5000,"Yes","No"))</f>
        <v>No</v>
      </c>
      <c r="O670" s="27" t="str">
        <f>IF(K670="Not","No",IF(K670="n/a","N/A",IF(K670&gt;$Y$2,"Yes","No")))</f>
        <v>No</v>
      </c>
      <c r="U670" s="27" t="s">
        <v>162</v>
      </c>
      <c r="V670" s="27" t="str">
        <f>R667</f>
        <v>No</v>
      </c>
      <c r="W670" s="27" t="str">
        <f>S667</f>
        <v>Yes</v>
      </c>
      <c r="X670" s="27" t="str">
        <f t="shared" si="297"/>
        <v>No</v>
      </c>
    </row>
    <row r="671" spans="1:38" x14ac:dyDescent="0.2">
      <c r="A671" s="27" t="s">
        <v>113</v>
      </c>
      <c r="B671" s="27" t="s">
        <v>32</v>
      </c>
      <c r="C671" s="27">
        <v>8.1999999999999993</v>
      </c>
      <c r="D671" s="27" t="s">
        <v>33</v>
      </c>
      <c r="F671" s="27" t="str">
        <f t="shared" ref="F671:F672" si="299">IF(C671&gt;$W$6,"Yes","No")</f>
        <v>No</v>
      </c>
      <c r="G671" s="27" t="s">
        <v>9</v>
      </c>
      <c r="J671" s="27" t="s">
        <v>25</v>
      </c>
      <c r="K671" s="27">
        <v>2.5</v>
      </c>
      <c r="L671" s="27" t="s">
        <v>12</v>
      </c>
      <c r="M671" s="27" t="s">
        <v>126</v>
      </c>
      <c r="N671" s="27" t="str">
        <f>IF(K671="N/A","No", IF(K671&gt;20,"Yes","No"))</f>
        <v>No</v>
      </c>
      <c r="O671" s="27" t="str">
        <f t="shared" ref="O671:O672" si="300">IF(K671="Not","No",IF(K671="n/a","N/A",IF(K671&gt;$Y$6,"Yes","No")))</f>
        <v>No</v>
      </c>
      <c r="U671" s="27" t="s">
        <v>101</v>
      </c>
      <c r="V671" s="27" t="s">
        <v>5</v>
      </c>
      <c r="W671" s="27" t="s">
        <v>9</v>
      </c>
      <c r="X671" s="27" t="str">
        <f>IF(V671="N/A","N/A",IF(W671="N/A", "N/A", IF(V671=W671, "Yes","No")))</f>
        <v>No</v>
      </c>
    </row>
    <row r="672" spans="1:38" x14ac:dyDescent="0.2">
      <c r="A672" s="27" t="s">
        <v>109</v>
      </c>
      <c r="B672" s="27" t="s">
        <v>32</v>
      </c>
      <c r="C672" s="27">
        <v>10.7</v>
      </c>
      <c r="D672" s="27" t="s">
        <v>33</v>
      </c>
      <c r="F672" s="27" t="str">
        <f t="shared" si="299"/>
        <v>Yes</v>
      </c>
      <c r="G672" s="27" t="s">
        <v>5</v>
      </c>
      <c r="J672" s="27" t="s">
        <v>29</v>
      </c>
      <c r="K672" s="27">
        <v>2.5</v>
      </c>
      <c r="L672" s="27" t="s">
        <v>12</v>
      </c>
      <c r="M672" s="27" t="s">
        <v>222</v>
      </c>
      <c r="N672" s="27" t="str">
        <f>IF(K672="N/A","No", IF(K672&gt;20,"Yes","No"))</f>
        <v>No</v>
      </c>
      <c r="O672" s="27" t="str">
        <f t="shared" si="300"/>
        <v>No</v>
      </c>
      <c r="U672" s="27" t="s">
        <v>104</v>
      </c>
      <c r="V672" s="27" t="s">
        <v>5</v>
      </c>
      <c r="W672" s="27" t="str">
        <f>O673</f>
        <v>No</v>
      </c>
      <c r="X672" s="27" t="str">
        <f>IF(V672="N/A","N/A",IF(W672="N/A", "N/A", IF(V672=W672, "Yes","No")))</f>
        <v>No</v>
      </c>
    </row>
    <row r="673" spans="1:38" x14ac:dyDescent="0.2">
      <c r="A673" s="27" t="s">
        <v>109</v>
      </c>
      <c r="B673" s="27" t="s">
        <v>54</v>
      </c>
      <c r="C673" s="27">
        <v>168</v>
      </c>
      <c r="D673" s="27" t="s">
        <v>33</v>
      </c>
      <c r="F673" s="27" t="str">
        <f>IF(C673&gt;$W$5,"Yes","No")</f>
        <v>Yes</v>
      </c>
      <c r="G673" s="27" t="s">
        <v>5</v>
      </c>
      <c r="J673" s="27" t="s">
        <v>34</v>
      </c>
      <c r="K673" s="27">
        <v>5</v>
      </c>
      <c r="L673" s="27" t="s">
        <v>12</v>
      </c>
      <c r="M673" s="27" t="s">
        <v>210</v>
      </c>
      <c r="N673" s="27" t="str">
        <f>IF(K673="N/A","No", IF(K673&gt;230,"Yes","No"))</f>
        <v>No</v>
      </c>
      <c r="O673" s="27" t="str">
        <f>IF(K673="Not","No",IF(K673="n/a","N/A",IF(K673&gt;$Y$5,"Yes","No")))</f>
        <v>No</v>
      </c>
      <c r="U673" s="27" t="s">
        <v>106</v>
      </c>
      <c r="V673" s="27" t="str">
        <f>R668</f>
        <v>Yes</v>
      </c>
      <c r="W673" s="27" t="str">
        <f>S668</f>
        <v>No</v>
      </c>
      <c r="X673" s="27" t="str">
        <f>IF(V673="N/A","N/A",IF(W673="N/A", "N/A", IF(V673=W673, "Yes","No")))</f>
        <v>No</v>
      </c>
    </row>
    <row r="674" spans="1:38" x14ac:dyDescent="0.2">
      <c r="A674" s="27" t="s">
        <v>71</v>
      </c>
      <c r="B674" s="27" t="s">
        <v>32</v>
      </c>
      <c r="C674" s="27">
        <v>51.1</v>
      </c>
      <c r="D674" s="27" t="s">
        <v>33</v>
      </c>
      <c r="F674" s="27" t="str">
        <f t="shared" ref="F674:F676" si="301">IF(C674&gt;$W$6,"Yes","No")</f>
        <v>Yes</v>
      </c>
      <c r="G674" s="27" t="s">
        <v>5</v>
      </c>
      <c r="J674" s="27" t="s">
        <v>208</v>
      </c>
      <c r="K674" s="27">
        <v>2.5</v>
      </c>
      <c r="L674" s="27" t="s">
        <v>12</v>
      </c>
      <c r="M674" s="27" t="s">
        <v>223</v>
      </c>
      <c r="N674" s="27" t="str">
        <f>IF(K674="N/A","No", IF(K674&gt;20,"Yes","No"))</f>
        <v>No</v>
      </c>
      <c r="O674" s="27" t="str">
        <f>IF(K674="Not","No",IF(K674="n/a","N/A",IF(K674&gt;$Y$7,"Yes","No")))</f>
        <v>No</v>
      </c>
      <c r="U674" s="27" t="s">
        <v>121</v>
      </c>
      <c r="V674" s="27" t="str">
        <f>R669</f>
        <v>Yes</v>
      </c>
      <c r="W674" s="27" t="str">
        <f>S669</f>
        <v>Yes</v>
      </c>
      <c r="X674" s="27" t="str">
        <f>IF(V674="N/A","N/A",IF(W674="N/A", "N/A", IF(V674=W674, "Yes","No")))</f>
        <v>Yes</v>
      </c>
    </row>
    <row r="675" spans="1:38" x14ac:dyDescent="0.2">
      <c r="A675" s="27" t="s">
        <v>71</v>
      </c>
      <c r="B675" s="27" t="s">
        <v>32</v>
      </c>
      <c r="C675" s="27">
        <v>24.7</v>
      </c>
      <c r="D675" s="27" t="s">
        <v>33</v>
      </c>
      <c r="F675" s="27" t="str">
        <f t="shared" si="301"/>
        <v>Yes</v>
      </c>
      <c r="G675" s="27" t="s">
        <v>5</v>
      </c>
    </row>
    <row r="676" spans="1:38" x14ac:dyDescent="0.2">
      <c r="A676" s="27" t="s">
        <v>70</v>
      </c>
      <c r="B676" s="27" t="s">
        <v>32</v>
      </c>
      <c r="C676" s="27">
        <v>6.8</v>
      </c>
      <c r="D676" s="27" t="s">
        <v>33</v>
      </c>
      <c r="F676" s="27" t="str">
        <f t="shared" si="301"/>
        <v>No</v>
      </c>
      <c r="G676" s="27" t="s">
        <v>9</v>
      </c>
    </row>
    <row r="679" spans="1:38" x14ac:dyDescent="0.2">
      <c r="A679" s="27">
        <v>1241</v>
      </c>
      <c r="B679" s="27" t="s">
        <v>111</v>
      </c>
      <c r="C679" s="27">
        <v>47</v>
      </c>
    </row>
    <row r="680" spans="1:38" x14ac:dyDescent="0.2">
      <c r="A680" s="59" t="s">
        <v>0</v>
      </c>
      <c r="E680" s="27" t="s">
        <v>274</v>
      </c>
      <c r="F680" s="27" t="s">
        <v>275</v>
      </c>
      <c r="G680" s="27" t="s">
        <v>119</v>
      </c>
      <c r="J680" s="59" t="s">
        <v>1</v>
      </c>
      <c r="N680" s="27" t="s">
        <v>277</v>
      </c>
      <c r="O680" s="27" t="s">
        <v>278</v>
      </c>
      <c r="Q680" s="59" t="s">
        <v>115</v>
      </c>
      <c r="R680" s="59" t="s">
        <v>0</v>
      </c>
      <c r="S680" s="59" t="s">
        <v>1</v>
      </c>
      <c r="U680" s="59" t="s">
        <v>115</v>
      </c>
      <c r="V680" s="59" t="s">
        <v>0</v>
      </c>
      <c r="W680" s="59" t="s">
        <v>1</v>
      </c>
      <c r="X680" s="59" t="s">
        <v>122</v>
      </c>
      <c r="AA680" s="27" t="str">
        <f>IF(R681="Yes","LRA-Soil","")</f>
        <v>LRA-Soil</v>
      </c>
      <c r="AB680" s="27" t="str">
        <f>IF(R682="Yes","LRA-Paint","")</f>
        <v>LRA-Paint</v>
      </c>
      <c r="AC680" s="27" t="str">
        <f>IF(R683="Yes","LRA-Dust","")</f>
        <v/>
      </c>
      <c r="AD680" s="27" t="str">
        <f>IF(S681="Yes","LSK-Soil","")</f>
        <v>LSK-Soil</v>
      </c>
      <c r="AE680" s="27" t="str">
        <f>IF(S682="Yes","LSK-Paint","")</f>
        <v/>
      </c>
      <c r="AF680" s="27" t="str">
        <f>IF(S683="Yes","LSK-Dust","")</f>
        <v/>
      </c>
      <c r="AI680" s="27" t="s">
        <v>46</v>
      </c>
      <c r="AJ680" s="27" t="s">
        <v>43</v>
      </c>
      <c r="AK680" s="27" t="s">
        <v>116</v>
      </c>
      <c r="AL680" s="27" t="s">
        <v>117</v>
      </c>
    </row>
    <row r="681" spans="1:38" x14ac:dyDescent="0.2">
      <c r="A681" s="27" t="s">
        <v>185</v>
      </c>
      <c r="B681" s="27" t="s">
        <v>220</v>
      </c>
      <c r="C681" s="27">
        <v>19.5</v>
      </c>
      <c r="D681" s="27" t="s">
        <v>4</v>
      </c>
      <c r="E681" s="27" t="s">
        <v>5</v>
      </c>
      <c r="F681" s="27" t="str">
        <f t="shared" ref="F681:F686" si="302">IF(C681&gt;=$W$2,"Yes","No")</f>
        <v>Yes</v>
      </c>
      <c r="G681" s="27" t="s">
        <v>5</v>
      </c>
      <c r="H681" s="27" t="s">
        <v>46</v>
      </c>
      <c r="J681" s="27" t="s">
        <v>6</v>
      </c>
      <c r="K681" s="27">
        <v>88</v>
      </c>
      <c r="L681" s="27" t="s">
        <v>12</v>
      </c>
      <c r="M681" s="27" t="s">
        <v>114</v>
      </c>
      <c r="N681" s="27" t="str">
        <f>IF(K681="N/A","No", IF(K681&gt;1200,"Yes","No"))</f>
        <v>No</v>
      </c>
      <c r="O681" s="27" t="str">
        <f>IF(K681="Not","No",IF(K681="n/a","N/A",IF(K681&gt;=$Y$3,"Yes","No")))</f>
        <v>No</v>
      </c>
      <c r="Q681" s="27" t="s">
        <v>116</v>
      </c>
      <c r="R681" s="27" t="str">
        <f>_xlfn.XLOOKUP("ppm",D681:D695,F681:F695,"N/A")</f>
        <v>Yes</v>
      </c>
      <c r="S681" s="27" t="str">
        <f>IF(COUNTIF(O681:O683,"Yes"),"Yes","No")</f>
        <v>Yes</v>
      </c>
      <c r="U681" s="27" t="s">
        <v>92</v>
      </c>
      <c r="V681" s="27" t="s">
        <v>120</v>
      </c>
      <c r="W681" s="27" t="s">
        <v>120</v>
      </c>
      <c r="X681" s="27" t="str">
        <f>IF(V681="N/A","N/A",IF(W681="N/A", "N/A", IF(V681=W681, "Yes","No")))</f>
        <v>N/A</v>
      </c>
      <c r="AI681" s="27">
        <f>COUNTIF(H680:H697,"Exterior")</f>
        <v>6</v>
      </c>
      <c r="AJ681" s="27">
        <f>COUNTIF(H680:H697, "Interior")</f>
        <v>7</v>
      </c>
      <c r="AK681" s="27">
        <f>COUNTIFS(D680:D697,"ppm")+COUNTIFS(D680:D697,"mg/Kg")</f>
        <v>2</v>
      </c>
      <c r="AL681" s="27">
        <f>COUNTIF(D680:D697,"ug/ft2")</f>
        <v>2</v>
      </c>
    </row>
    <row r="682" spans="1:38" x14ac:dyDescent="0.2">
      <c r="A682" s="27" t="s">
        <v>185</v>
      </c>
      <c r="B682" s="27" t="s">
        <v>211</v>
      </c>
      <c r="C682" s="27">
        <v>2.6</v>
      </c>
      <c r="D682" s="27" t="s">
        <v>4</v>
      </c>
      <c r="E682" s="27" t="s">
        <v>5</v>
      </c>
      <c r="F682" s="27" t="str">
        <f t="shared" si="302"/>
        <v>Yes</v>
      </c>
      <c r="G682" s="27" t="s">
        <v>9</v>
      </c>
      <c r="H682" s="27" t="s">
        <v>46</v>
      </c>
      <c r="J682" s="27" t="s">
        <v>11</v>
      </c>
      <c r="K682" s="27">
        <v>35.700000000000003</v>
      </c>
      <c r="L682" s="27" t="s">
        <v>12</v>
      </c>
      <c r="M682" s="27" t="s">
        <v>67</v>
      </c>
      <c r="N682" s="27" t="str">
        <f t="shared" ref="N682:N683" si="303">IF(K682="N/A","No", IF(K682&gt;1200,"Yes","No"))</f>
        <v>No</v>
      </c>
      <c r="O682" s="27" t="str">
        <f t="shared" ref="O682:O683" si="304">IF(K682="Not","No",IF(K682="n/a","N/A",IF(K682&gt;$Y$3,"Yes","No")))</f>
        <v>No</v>
      </c>
      <c r="Q682" s="27" t="s">
        <v>98</v>
      </c>
      <c r="R682" s="27" t="str">
        <f>_xlfn.XLOOKUP("mg/cm2",D681:D697,G681:G697,"N/A",1,-1)</f>
        <v>Yes</v>
      </c>
      <c r="S682" s="27" t="str">
        <f>IF(COUNTIF(O684:O685,"Yes"),"Yes","No")</f>
        <v>No</v>
      </c>
      <c r="U682" s="27" t="s">
        <v>95</v>
      </c>
      <c r="V682" s="27" t="str">
        <f>R681</f>
        <v>Yes</v>
      </c>
      <c r="W682" s="27" t="str">
        <f>S681</f>
        <v>Yes</v>
      </c>
      <c r="X682" s="27" t="str">
        <f t="shared" ref="X682:X685" si="305">IF(V682="N/A","N/A",IF(W682="N/A", "N/A", IF(V682=W682, "Yes","No")))</f>
        <v>Yes</v>
      </c>
    </row>
    <row r="683" spans="1:38" x14ac:dyDescent="0.2">
      <c r="A683" s="27" t="s">
        <v>185</v>
      </c>
      <c r="B683" s="27" t="s">
        <v>211</v>
      </c>
      <c r="C683" s="27">
        <v>2.9</v>
      </c>
      <c r="D683" s="27" t="s">
        <v>4</v>
      </c>
      <c r="E683" s="27" t="s">
        <v>5</v>
      </c>
      <c r="F683" s="27" t="str">
        <f t="shared" si="302"/>
        <v>Yes</v>
      </c>
      <c r="G683" s="27" t="s">
        <v>5</v>
      </c>
      <c r="H683" s="27" t="s">
        <v>46</v>
      </c>
      <c r="J683" s="27" t="s">
        <v>15</v>
      </c>
      <c r="K683" s="27">
        <v>2102</v>
      </c>
      <c r="L683" s="27" t="s">
        <v>12</v>
      </c>
      <c r="M683" s="27" t="s">
        <v>112</v>
      </c>
      <c r="N683" s="27" t="str">
        <f t="shared" si="303"/>
        <v>Yes</v>
      </c>
      <c r="O683" s="27" t="str">
        <f t="shared" si="304"/>
        <v>Yes</v>
      </c>
      <c r="Q683" s="27" t="s">
        <v>117</v>
      </c>
      <c r="R683" s="27" t="str">
        <f>_xlfn.XLOOKUP("ug/ft2",D681:D695,F681:F695,"N/A")</f>
        <v>No</v>
      </c>
      <c r="S683" s="27" t="str">
        <f>IF(COUNTIF(O686:O689,"Yes"),"Yes","No")</f>
        <v>No</v>
      </c>
      <c r="U683" s="27" t="s">
        <v>163</v>
      </c>
      <c r="V683" s="27" t="s">
        <v>5</v>
      </c>
      <c r="W683" s="27" t="str">
        <f>O685</f>
        <v>No</v>
      </c>
      <c r="X683" s="27" t="str">
        <f t="shared" si="305"/>
        <v>No</v>
      </c>
    </row>
    <row r="684" spans="1:38" x14ac:dyDescent="0.2">
      <c r="A684" s="27" t="s">
        <v>185</v>
      </c>
      <c r="B684" s="27" t="s">
        <v>211</v>
      </c>
      <c r="C684" s="27">
        <v>6.5</v>
      </c>
      <c r="D684" s="27" t="s">
        <v>4</v>
      </c>
      <c r="E684" s="27" t="s">
        <v>5</v>
      </c>
      <c r="F684" s="27" t="str">
        <f t="shared" si="302"/>
        <v>Yes</v>
      </c>
      <c r="G684" s="27" t="s">
        <v>5</v>
      </c>
      <c r="H684" s="27" t="s">
        <v>46</v>
      </c>
      <c r="J684" s="27" t="s">
        <v>19</v>
      </c>
      <c r="K684" s="27">
        <v>934</v>
      </c>
      <c r="L684" s="27" t="s">
        <v>12</v>
      </c>
      <c r="M684" s="27" t="s">
        <v>46</v>
      </c>
      <c r="N684" s="27" t="str">
        <f>IF(K684="N/A","No", IF(K684&gt;5000,"Yes","No"))</f>
        <v>No</v>
      </c>
      <c r="O684" s="27" t="str">
        <f>IF(K684="Not","No",IF(K684="n/a","N/A",IF(K684&gt;$Y$2,"Yes","No")))</f>
        <v>No</v>
      </c>
      <c r="Q684" s="27" t="s">
        <v>118</v>
      </c>
      <c r="R684" s="27" t="str">
        <f>IF(COUNTIF(R681:R683,"Yes"),"Yes","No")</f>
        <v>Yes</v>
      </c>
      <c r="S684" s="27" t="str">
        <f>IF(COUNTIF(S681:S683,"Yes"),"Yes","No")</f>
        <v>Yes</v>
      </c>
      <c r="U684" s="27" t="s">
        <v>164</v>
      </c>
      <c r="V684" s="27" t="s">
        <v>5</v>
      </c>
      <c r="W684" s="27" t="str">
        <f>O684</f>
        <v>No</v>
      </c>
      <c r="X684" s="27" t="str">
        <f t="shared" si="305"/>
        <v>No</v>
      </c>
    </row>
    <row r="685" spans="1:38" x14ac:dyDescent="0.2">
      <c r="A685" s="27" t="s">
        <v>185</v>
      </c>
      <c r="B685" s="27" t="s">
        <v>211</v>
      </c>
      <c r="C685" s="27">
        <v>14.6</v>
      </c>
      <c r="D685" s="27" t="s">
        <v>4</v>
      </c>
      <c r="E685" s="27" t="s">
        <v>5</v>
      </c>
      <c r="F685" s="27" t="str">
        <f t="shared" si="302"/>
        <v>Yes</v>
      </c>
      <c r="G685" s="27" t="s">
        <v>9</v>
      </c>
      <c r="H685" s="27" t="s">
        <v>46</v>
      </c>
      <c r="J685" s="27" t="s">
        <v>22</v>
      </c>
      <c r="K685" s="27">
        <v>306</v>
      </c>
      <c r="L685" s="27" t="s">
        <v>12</v>
      </c>
      <c r="M685" s="27" t="s">
        <v>43</v>
      </c>
      <c r="N685" s="27" t="str">
        <f>IF(K685="N/A","No", IF(K685&gt;5000,"Yes","No"))</f>
        <v>No</v>
      </c>
      <c r="O685" s="27" t="str">
        <f>IF(K685="Not","No",IF(K685="n/a","N/A",IF(K685&gt;$Y$2,"Yes","No")))</f>
        <v>No</v>
      </c>
      <c r="U685" s="27" t="s">
        <v>162</v>
      </c>
      <c r="V685" s="27" t="str">
        <f>R682</f>
        <v>Yes</v>
      </c>
      <c r="W685" s="27" t="str">
        <f>S682</f>
        <v>No</v>
      </c>
      <c r="X685" s="27" t="str">
        <f t="shared" si="305"/>
        <v>No</v>
      </c>
    </row>
    <row r="686" spans="1:38" x14ac:dyDescent="0.2">
      <c r="A686" s="27" t="s">
        <v>185</v>
      </c>
      <c r="B686" s="27" t="s">
        <v>211</v>
      </c>
      <c r="C686" s="27">
        <v>2.6</v>
      </c>
      <c r="D686" s="27" t="s">
        <v>4</v>
      </c>
      <c r="E686" s="27" t="s">
        <v>5</v>
      </c>
      <c r="F686" s="27" t="str">
        <f t="shared" si="302"/>
        <v>Yes</v>
      </c>
      <c r="G686" s="27" t="s">
        <v>5</v>
      </c>
      <c r="H686" s="27" t="s">
        <v>46</v>
      </c>
      <c r="J686" s="27" t="s">
        <v>25</v>
      </c>
      <c r="K686" s="27">
        <v>2.5</v>
      </c>
      <c r="L686" s="27" t="s">
        <v>12</v>
      </c>
      <c r="M686" s="27" t="s">
        <v>126</v>
      </c>
      <c r="N686" s="27" t="str">
        <f>IF(K686="N/A","No", IF(K686&gt;20,"Yes","No"))</f>
        <v>No</v>
      </c>
      <c r="O686" s="27" t="str">
        <f t="shared" ref="O686:O687" si="306">IF(K686="Not","No",IF(K686="n/a","N/A",IF(K686&gt;$Y$6,"Yes","No")))</f>
        <v>No</v>
      </c>
      <c r="U686" s="27" t="s">
        <v>101</v>
      </c>
      <c r="V686" s="27" t="s">
        <v>9</v>
      </c>
      <c r="W686" s="27" t="s">
        <v>9</v>
      </c>
      <c r="X686" s="27" t="str">
        <f>IF(V686="N/A","N/A",IF(W686="N/A", "N/A", IF(V686=W686, "Yes","No")))</f>
        <v>Yes</v>
      </c>
    </row>
    <row r="687" spans="1:38" x14ac:dyDescent="0.2">
      <c r="A687" s="27" t="s">
        <v>187</v>
      </c>
      <c r="B687" s="27" t="s">
        <v>294</v>
      </c>
      <c r="C687" s="27">
        <v>3050</v>
      </c>
      <c r="D687" s="27" t="s">
        <v>12</v>
      </c>
      <c r="E687" s="27" t="s">
        <v>5</v>
      </c>
      <c r="F687" s="27" t="str">
        <f>IF(C687&gt;$W$3,"Yes","No")</f>
        <v>Yes</v>
      </c>
      <c r="G687" s="27" t="s">
        <v>5</v>
      </c>
      <c r="J687" s="27" t="s">
        <v>29</v>
      </c>
      <c r="K687" s="27">
        <v>2.5</v>
      </c>
      <c r="L687" s="27" t="s">
        <v>12</v>
      </c>
      <c r="M687" s="27" t="s">
        <v>222</v>
      </c>
      <c r="N687" s="27" t="str">
        <f>IF(K687="N/A","No", IF(K687&gt;20,"Yes","No"))</f>
        <v>No</v>
      </c>
      <c r="O687" s="27" t="str">
        <f t="shared" si="306"/>
        <v>No</v>
      </c>
      <c r="U687" s="27" t="s">
        <v>104</v>
      </c>
      <c r="V687" s="27" t="s">
        <v>120</v>
      </c>
      <c r="W687" s="27" t="str">
        <f>O688</f>
        <v>No</v>
      </c>
      <c r="X687" s="27" t="str">
        <f>IF(V687="N/A","N/A",IF(W687="N/A", "N/A", IF(V687=W687, "Yes","No")))</f>
        <v>N/A</v>
      </c>
    </row>
    <row r="688" spans="1:38" x14ac:dyDescent="0.2">
      <c r="A688" s="27" t="s">
        <v>289</v>
      </c>
      <c r="B688" s="27" t="s">
        <v>238</v>
      </c>
      <c r="C688" s="27">
        <v>20</v>
      </c>
      <c r="D688" s="27" t="s">
        <v>4</v>
      </c>
      <c r="E688" s="27" t="s">
        <v>5</v>
      </c>
      <c r="F688" s="27" t="str">
        <f t="shared" ref="F688:F694" si="307">IF(C688&gt;=$W$2,"Yes","No")</f>
        <v>Yes</v>
      </c>
      <c r="G688" s="27" t="s">
        <v>5</v>
      </c>
      <c r="H688" s="27" t="s">
        <v>43</v>
      </c>
      <c r="J688" s="27" t="s">
        <v>34</v>
      </c>
      <c r="K688" s="27">
        <v>140</v>
      </c>
      <c r="L688" s="27" t="s">
        <v>12</v>
      </c>
      <c r="M688" s="27" t="s">
        <v>210</v>
      </c>
      <c r="N688" s="27" t="str">
        <f>IF(K688="N/A","No", IF(K688&gt;230,"Yes","No"))</f>
        <v>No</v>
      </c>
      <c r="O688" s="27" t="str">
        <f>IF(K688="Not","No",IF(K688="n/a","N/A",IF(K688&gt;$Y$5,"Yes","No")))</f>
        <v>No</v>
      </c>
      <c r="U688" s="27" t="s">
        <v>106</v>
      </c>
      <c r="V688" s="27" t="str">
        <f>R683</f>
        <v>No</v>
      </c>
      <c r="W688" s="27" t="str">
        <f>S683</f>
        <v>No</v>
      </c>
      <c r="X688" s="27" t="str">
        <f>IF(V688="N/A","N/A",IF(W688="N/A", "N/A", IF(V688=W688, "Yes","No")))</f>
        <v>Yes</v>
      </c>
    </row>
    <row r="689" spans="1:38" x14ac:dyDescent="0.2">
      <c r="A689" s="27" t="s">
        <v>289</v>
      </c>
      <c r="B689" s="27" t="s">
        <v>189</v>
      </c>
      <c r="C689" s="27">
        <v>15.3</v>
      </c>
      <c r="D689" s="27" t="s">
        <v>4</v>
      </c>
      <c r="E689" s="27" t="s">
        <v>5</v>
      </c>
      <c r="F689" s="27" t="str">
        <f t="shared" si="307"/>
        <v>Yes</v>
      </c>
      <c r="G689" s="27" t="s">
        <v>5</v>
      </c>
      <c r="H689" s="27" t="s">
        <v>43</v>
      </c>
      <c r="J689" s="27" t="s">
        <v>208</v>
      </c>
      <c r="K689" s="27">
        <v>219</v>
      </c>
      <c r="L689" s="27" t="s">
        <v>12</v>
      </c>
      <c r="M689" s="27" t="s">
        <v>223</v>
      </c>
      <c r="N689" s="27" t="str">
        <f>IF(K689="N/A","No", IF(K689&gt;20,"Yes","No"))</f>
        <v>Yes</v>
      </c>
      <c r="O689" s="27" t="str">
        <f>IF(K689="Not","No",IF(K689="n/a","N/A",IF(K689&gt;$Y$7,"Yes","No")))</f>
        <v>No</v>
      </c>
      <c r="U689" s="27" t="s">
        <v>121</v>
      </c>
      <c r="V689" s="27" t="str">
        <f>R684</f>
        <v>Yes</v>
      </c>
      <c r="W689" s="27" t="str">
        <f>S684</f>
        <v>Yes</v>
      </c>
      <c r="X689" s="27" t="str">
        <f>IF(V689="N/A","N/A",IF(W689="N/A", "N/A", IF(V689=W689, "Yes","No")))</f>
        <v>Yes</v>
      </c>
    </row>
    <row r="690" spans="1:38" x14ac:dyDescent="0.2">
      <c r="A690" s="27" t="s">
        <v>289</v>
      </c>
      <c r="B690" s="27" t="s">
        <v>189</v>
      </c>
      <c r="C690" s="27">
        <v>20.2</v>
      </c>
      <c r="D690" s="27" t="s">
        <v>4</v>
      </c>
      <c r="E690" s="27" t="s">
        <v>5</v>
      </c>
      <c r="F690" s="27" t="str">
        <f t="shared" si="307"/>
        <v>Yes</v>
      </c>
      <c r="G690" s="27" t="s">
        <v>5</v>
      </c>
      <c r="H690" s="27" t="s">
        <v>43</v>
      </c>
    </row>
    <row r="691" spans="1:38" x14ac:dyDescent="0.2">
      <c r="A691" s="27" t="s">
        <v>289</v>
      </c>
      <c r="B691" s="27" t="s">
        <v>189</v>
      </c>
      <c r="C691" s="27">
        <v>14.9</v>
      </c>
      <c r="D691" s="27" t="s">
        <v>4</v>
      </c>
      <c r="E691" s="27" t="s">
        <v>5</v>
      </c>
      <c r="F691" s="27" t="str">
        <f t="shared" si="307"/>
        <v>Yes</v>
      </c>
      <c r="G691" s="27" t="s">
        <v>5</v>
      </c>
      <c r="H691" s="27" t="s">
        <v>43</v>
      </c>
    </row>
    <row r="692" spans="1:38" x14ac:dyDescent="0.2">
      <c r="A692" s="27" t="s">
        <v>289</v>
      </c>
      <c r="B692" s="27" t="s">
        <v>189</v>
      </c>
      <c r="C692" s="27">
        <v>19.7</v>
      </c>
      <c r="D692" s="27" t="s">
        <v>4</v>
      </c>
      <c r="E692" s="27" t="s">
        <v>5</v>
      </c>
      <c r="F692" s="27" t="str">
        <f t="shared" si="307"/>
        <v>Yes</v>
      </c>
      <c r="G692" s="27" t="s">
        <v>5</v>
      </c>
      <c r="H692" s="27" t="s">
        <v>43</v>
      </c>
    </row>
    <row r="693" spans="1:38" x14ac:dyDescent="0.2">
      <c r="A693" s="27" t="s">
        <v>289</v>
      </c>
      <c r="B693" s="27" t="s">
        <v>211</v>
      </c>
      <c r="C693" s="27">
        <v>23.2</v>
      </c>
      <c r="D693" s="27" t="s">
        <v>4</v>
      </c>
      <c r="E693" s="27" t="s">
        <v>5</v>
      </c>
      <c r="F693" s="27" t="str">
        <f t="shared" si="307"/>
        <v>Yes</v>
      </c>
      <c r="G693" s="27" t="s">
        <v>5</v>
      </c>
      <c r="H693" s="27" t="s">
        <v>43</v>
      </c>
    </row>
    <row r="694" spans="1:38" x14ac:dyDescent="0.2">
      <c r="A694" s="27" t="s">
        <v>289</v>
      </c>
      <c r="B694" s="27" t="s">
        <v>211</v>
      </c>
      <c r="C694" s="27">
        <v>11.1</v>
      </c>
      <c r="D694" s="27" t="s">
        <v>4</v>
      </c>
      <c r="E694" s="27" t="s">
        <v>5</v>
      </c>
      <c r="F694" s="27" t="str">
        <f t="shared" si="307"/>
        <v>Yes</v>
      </c>
      <c r="G694" s="27" t="s">
        <v>5</v>
      </c>
      <c r="H694" s="27" t="s">
        <v>43</v>
      </c>
    </row>
    <row r="695" spans="1:38" x14ac:dyDescent="0.2">
      <c r="A695" s="27" t="s">
        <v>71</v>
      </c>
      <c r="B695" s="27" t="s">
        <v>32</v>
      </c>
      <c r="C695" s="27">
        <v>5.9</v>
      </c>
      <c r="D695" s="27" t="s">
        <v>33</v>
      </c>
      <c r="F695" s="27" t="str">
        <f t="shared" ref="F695" si="308">IF(C695&gt;$W$6,"Yes","No")</f>
        <v>No</v>
      </c>
      <c r="G695" s="27" t="s">
        <v>9</v>
      </c>
    </row>
    <row r="696" spans="1:38" x14ac:dyDescent="0.2">
      <c r="A696" s="27" t="s">
        <v>309</v>
      </c>
      <c r="B696" s="27" t="s">
        <v>311</v>
      </c>
      <c r="C696" s="27">
        <v>71.599999999999994</v>
      </c>
      <c r="D696" s="27" t="s">
        <v>33</v>
      </c>
      <c r="E696" s="27" t="s">
        <v>310</v>
      </c>
      <c r="G696" s="27" t="s">
        <v>9</v>
      </c>
    </row>
    <row r="697" spans="1:38" x14ac:dyDescent="0.2">
      <c r="A697" s="27" t="s">
        <v>309</v>
      </c>
      <c r="B697" s="27" t="s">
        <v>64</v>
      </c>
      <c r="C697" s="27">
        <v>36.700000000000003</v>
      </c>
      <c r="D697" s="27" t="s">
        <v>312</v>
      </c>
      <c r="G697" s="27" t="s">
        <v>9</v>
      </c>
    </row>
    <row r="699" spans="1:38" x14ac:dyDescent="0.2">
      <c r="A699" s="27">
        <v>1242</v>
      </c>
      <c r="B699" s="27" t="s">
        <v>111</v>
      </c>
      <c r="C699" s="27">
        <v>48</v>
      </c>
    </row>
    <row r="700" spans="1:38" x14ac:dyDescent="0.2">
      <c r="A700" s="59" t="s">
        <v>0</v>
      </c>
      <c r="E700" s="27" t="s">
        <v>274</v>
      </c>
      <c r="F700" s="27" t="s">
        <v>275</v>
      </c>
      <c r="G700" s="27" t="s">
        <v>119</v>
      </c>
      <c r="J700" s="59" t="s">
        <v>1</v>
      </c>
      <c r="N700" s="27" t="s">
        <v>277</v>
      </c>
      <c r="O700" s="27" t="s">
        <v>278</v>
      </c>
      <c r="Q700" s="59" t="s">
        <v>115</v>
      </c>
      <c r="R700" s="59" t="s">
        <v>0</v>
      </c>
      <c r="S700" s="59" t="s">
        <v>1</v>
      </c>
      <c r="U700" s="59" t="s">
        <v>115</v>
      </c>
      <c r="V700" s="59" t="s">
        <v>0</v>
      </c>
      <c r="W700" s="59" t="s">
        <v>1</v>
      </c>
      <c r="X700" s="59" t="s">
        <v>122</v>
      </c>
      <c r="AA700" s="27" t="str">
        <f>IF(R701="Yes","LRA-Soil","")</f>
        <v>LRA-Soil</v>
      </c>
      <c r="AB700" s="27" t="str">
        <f>IF(R702="Yes","LRA-Paint","")</f>
        <v>LRA-Paint</v>
      </c>
      <c r="AC700" s="27" t="str">
        <f>IF(R703="Yes","LRA-Dust","")</f>
        <v>LRA-Dust</v>
      </c>
      <c r="AD700" s="27" t="str">
        <f>IF(S701="Yes","LSK-Soil","")</f>
        <v/>
      </c>
      <c r="AE700" s="27" t="str">
        <f>IF(S702="Yes","LSK-Paint","")</f>
        <v/>
      </c>
      <c r="AF700" s="27" t="str">
        <f>IF(S703="Yes","LSK-Dust","")</f>
        <v>LSK-Dust</v>
      </c>
      <c r="AI700" s="27" t="s">
        <v>46</v>
      </c>
      <c r="AJ700" s="27" t="s">
        <v>43</v>
      </c>
      <c r="AK700" s="27" t="s">
        <v>116</v>
      </c>
      <c r="AL700" s="27" t="s">
        <v>117</v>
      </c>
    </row>
    <row r="701" spans="1:38" x14ac:dyDescent="0.2">
      <c r="A701" s="27" t="s">
        <v>63</v>
      </c>
      <c r="B701" s="27" t="s">
        <v>10</v>
      </c>
      <c r="C701" s="27">
        <v>29.5</v>
      </c>
      <c r="D701" s="27" t="s">
        <v>4</v>
      </c>
      <c r="F701" s="27" t="str">
        <f t="shared" ref="F701:F733" si="309">IF(C701&gt;=$W$2,"Yes","No")</f>
        <v>Yes</v>
      </c>
      <c r="G701" s="27" t="s">
        <v>5</v>
      </c>
      <c r="H701" s="27" t="s">
        <v>46</v>
      </c>
      <c r="J701" s="27" t="s">
        <v>6</v>
      </c>
      <c r="K701" s="27">
        <v>40.299999999999997</v>
      </c>
      <c r="L701" s="27" t="s">
        <v>12</v>
      </c>
      <c r="M701" s="27" t="s">
        <v>114</v>
      </c>
      <c r="N701" s="27" t="str">
        <f>IF(K701="N/A","No", IF(K701&gt;1200,"Yes","No"))</f>
        <v>No</v>
      </c>
      <c r="O701" s="27" t="str">
        <f>IF(K701="Not","No",IF(K701="n/a","N/A",IF(K701&gt;=$Y$3,"Yes","No")))</f>
        <v>No</v>
      </c>
      <c r="Q701" s="27" t="s">
        <v>116</v>
      </c>
      <c r="R701" s="27" t="str">
        <f>_xlfn.XLOOKUP("ppm",D701:D735,F701:F735,"N/A")</f>
        <v>Yes</v>
      </c>
      <c r="S701" s="27" t="str">
        <f>IF(COUNTIF(O701:O703,"Yes"),"Yes","No")</f>
        <v>No</v>
      </c>
      <c r="U701" s="27" t="s">
        <v>92</v>
      </c>
      <c r="V701" s="27" t="s">
        <v>120</v>
      </c>
      <c r="W701" s="27" t="s">
        <v>120</v>
      </c>
      <c r="X701" s="27" t="str">
        <f>IF(V701="N/A","N/A",IF(W701="N/A", "N/A", IF(V701=W701, "Yes","No")))</f>
        <v>N/A</v>
      </c>
      <c r="AI701" s="27">
        <f>COUNTIF(H700:H735,"Exterior")</f>
        <v>11</v>
      </c>
      <c r="AJ701" s="27">
        <f>COUNTIF(H700:H735, "Interior")</f>
        <v>21</v>
      </c>
      <c r="AK701" s="27">
        <f>COUNTIFS(D700:D735,"ppm")+COUNTIFS(D700:D735,"mg/Kg")</f>
        <v>1</v>
      </c>
      <c r="AL701" s="27">
        <f>COUNTIF(D700:D735,"ug/ft2")</f>
        <v>2</v>
      </c>
    </row>
    <row r="702" spans="1:38" x14ac:dyDescent="0.2">
      <c r="A702" s="27" t="s">
        <v>63</v>
      </c>
      <c r="B702" s="27" t="s">
        <v>10</v>
      </c>
      <c r="C702" s="27">
        <v>20.3</v>
      </c>
      <c r="D702" s="27" t="s">
        <v>4</v>
      </c>
      <c r="F702" s="27" t="str">
        <f t="shared" si="309"/>
        <v>Yes</v>
      </c>
      <c r="G702" s="27" t="s">
        <v>5</v>
      </c>
      <c r="H702" s="27" t="s">
        <v>46</v>
      </c>
      <c r="J702" s="27" t="s">
        <v>11</v>
      </c>
      <c r="K702" s="27">
        <v>99</v>
      </c>
      <c r="L702" s="27" t="s">
        <v>12</v>
      </c>
      <c r="M702" s="27" t="s">
        <v>67</v>
      </c>
      <c r="N702" s="27" t="str">
        <f t="shared" ref="N702:N703" si="310">IF(K702="N/A","No", IF(K702&gt;1200,"Yes","No"))</f>
        <v>No</v>
      </c>
      <c r="O702" s="27" t="str">
        <f t="shared" ref="O702:O703" si="311">IF(K702="Not","No",IF(K702="n/a","N/A",IF(K702&gt;$Y$3,"Yes","No")))</f>
        <v>No</v>
      </c>
      <c r="Q702" s="27" t="s">
        <v>98</v>
      </c>
      <c r="R702" s="27" t="str">
        <f>IF(COUNTIFS(D701:D735,"mg/cm2",G701:G735,"Yes")&gt;=1, "Yes","No")</f>
        <v>Yes</v>
      </c>
      <c r="S702" s="27" t="str">
        <f>IF(COUNTIF(O704:O705,"Yes"),"Yes","No")</f>
        <v>No</v>
      </c>
      <c r="U702" s="27" t="s">
        <v>95</v>
      </c>
      <c r="V702" s="27" t="str">
        <f>R701</f>
        <v>Yes</v>
      </c>
      <c r="W702" s="27" t="str">
        <f>S701</f>
        <v>No</v>
      </c>
      <c r="X702" s="27" t="str">
        <f t="shared" ref="X702:X705" si="312">IF(V702="N/A","N/A",IF(W702="N/A", "N/A", IF(V702=W702, "Yes","No")))</f>
        <v>No</v>
      </c>
    </row>
    <row r="703" spans="1:38" x14ac:dyDescent="0.2">
      <c r="A703" s="27" t="s">
        <v>63</v>
      </c>
      <c r="B703" s="27" t="s">
        <v>10</v>
      </c>
      <c r="C703" s="27">
        <v>7.6</v>
      </c>
      <c r="D703" s="27" t="s">
        <v>4</v>
      </c>
      <c r="F703" s="27" t="str">
        <f t="shared" si="309"/>
        <v>Yes</v>
      </c>
      <c r="G703" s="27" t="s">
        <v>5</v>
      </c>
      <c r="H703" s="27" t="s">
        <v>46</v>
      </c>
      <c r="J703" s="27" t="s">
        <v>15</v>
      </c>
      <c r="K703" s="27" t="s">
        <v>120</v>
      </c>
      <c r="L703" s="27" t="s">
        <v>12</v>
      </c>
      <c r="M703" s="27" t="s">
        <v>112</v>
      </c>
      <c r="N703" s="27" t="str">
        <f t="shared" si="310"/>
        <v>No</v>
      </c>
      <c r="O703" s="27" t="str">
        <f t="shared" si="311"/>
        <v>N/A</v>
      </c>
      <c r="Q703" s="27" t="s">
        <v>117</v>
      </c>
      <c r="R703" s="27" t="str">
        <f>_xlfn.XLOOKUP("ug/ft2",D701:D735,F701:F735,"N/A")</f>
        <v>Yes</v>
      </c>
      <c r="S703" s="27" t="str">
        <f>IF(COUNTIF(O706:O709,"Yes"),"Yes","No")</f>
        <v>Yes</v>
      </c>
      <c r="U703" s="27" t="s">
        <v>163</v>
      </c>
      <c r="V703" s="27" t="s">
        <v>5</v>
      </c>
      <c r="W703" s="27" t="s">
        <v>9</v>
      </c>
      <c r="X703" s="27" t="str">
        <f t="shared" si="312"/>
        <v>No</v>
      </c>
    </row>
    <row r="704" spans="1:38" x14ac:dyDescent="0.2">
      <c r="A704" s="27" t="s">
        <v>63</v>
      </c>
      <c r="B704" s="27" t="s">
        <v>10</v>
      </c>
      <c r="C704" s="27">
        <v>14.2</v>
      </c>
      <c r="D704" s="27" t="s">
        <v>4</v>
      </c>
      <c r="F704" s="27" t="str">
        <f t="shared" si="309"/>
        <v>Yes</v>
      </c>
      <c r="G704" s="27" t="s">
        <v>5</v>
      </c>
      <c r="H704" s="27" t="s">
        <v>46</v>
      </c>
      <c r="J704" s="27" t="s">
        <v>19</v>
      </c>
      <c r="K704" s="27">
        <v>224</v>
      </c>
      <c r="L704" s="27" t="s">
        <v>12</v>
      </c>
      <c r="M704" s="27" t="s">
        <v>46</v>
      </c>
      <c r="N704" s="27" t="str">
        <f>IF(K704="N/A","No", IF(K704&gt;5000,"Yes","No"))</f>
        <v>No</v>
      </c>
      <c r="O704" s="27" t="str">
        <f>IF(K704="Not","No",IF(K704="n/a","N/A",IF(K704&gt;$Y$2,"Yes","No")))</f>
        <v>No</v>
      </c>
      <c r="Q704" s="27" t="s">
        <v>118</v>
      </c>
      <c r="R704" s="27" t="str">
        <f>IF(COUNTIF(R701:R703,"Yes"),"Yes","No")</f>
        <v>Yes</v>
      </c>
      <c r="S704" s="27" t="str">
        <f>IF(COUNTIF(S701:S703,"Yes"),"Yes","No")</f>
        <v>Yes</v>
      </c>
      <c r="U704" s="27" t="s">
        <v>164</v>
      </c>
      <c r="V704" s="27" t="s">
        <v>5</v>
      </c>
      <c r="W704" s="27" t="s">
        <v>5</v>
      </c>
      <c r="X704" s="27" t="s">
        <v>9</v>
      </c>
    </row>
    <row r="705" spans="1:24" x14ac:dyDescent="0.2">
      <c r="A705" s="27" t="s">
        <v>63</v>
      </c>
      <c r="B705" s="27" t="s">
        <v>77</v>
      </c>
      <c r="C705" s="27">
        <v>3.2</v>
      </c>
      <c r="D705" s="27" t="s">
        <v>4</v>
      </c>
      <c r="F705" s="27" t="str">
        <f t="shared" si="309"/>
        <v>Yes</v>
      </c>
      <c r="G705" s="27" t="s">
        <v>5</v>
      </c>
      <c r="H705" s="27" t="s">
        <v>46</v>
      </c>
      <c r="J705" s="27" t="s">
        <v>22</v>
      </c>
      <c r="K705" s="27">
        <v>1863</v>
      </c>
      <c r="L705" s="27" t="s">
        <v>12</v>
      </c>
      <c r="M705" s="27" t="s">
        <v>43</v>
      </c>
      <c r="N705" s="27" t="str">
        <f>IF(K705="N/A","No", IF(K705&gt;5000,"Yes","No"))</f>
        <v>No</v>
      </c>
      <c r="O705" s="27" t="str">
        <f>IF(K705="Not","No",IF(K705="n/a","N/A",IF(K705&gt;$Y$2,"Yes","No")))</f>
        <v>No</v>
      </c>
      <c r="U705" s="27" t="s">
        <v>162</v>
      </c>
      <c r="V705" s="27" t="str">
        <f>R702</f>
        <v>Yes</v>
      </c>
      <c r="W705" s="27" t="str">
        <f>S702</f>
        <v>No</v>
      </c>
      <c r="X705" s="27" t="str">
        <f t="shared" si="312"/>
        <v>No</v>
      </c>
    </row>
    <row r="706" spans="1:24" x14ac:dyDescent="0.2">
      <c r="A706" s="27" t="s">
        <v>63</v>
      </c>
      <c r="B706" s="27" t="s">
        <v>77</v>
      </c>
      <c r="C706" s="27">
        <v>35.4</v>
      </c>
      <c r="D706" s="27" t="s">
        <v>4</v>
      </c>
      <c r="F706" s="27" t="str">
        <f t="shared" si="309"/>
        <v>Yes</v>
      </c>
      <c r="G706" s="27" t="s">
        <v>5</v>
      </c>
      <c r="H706" s="27" t="s">
        <v>46</v>
      </c>
      <c r="J706" s="27" t="s">
        <v>25</v>
      </c>
      <c r="K706" s="27">
        <v>2.5</v>
      </c>
      <c r="L706" s="27" t="s">
        <v>12</v>
      </c>
      <c r="M706" s="27" t="s">
        <v>126</v>
      </c>
      <c r="N706" s="27" t="str">
        <f>IF(K706="N/A","No", IF(K706&gt;20,"Yes","No"))</f>
        <v>No</v>
      </c>
      <c r="O706" s="27" t="str">
        <f t="shared" ref="O706:O707" si="313">IF(K706="Not","No",IF(K706="n/a","N/A",IF(K706&gt;$Y$6,"Yes","No")))</f>
        <v>No</v>
      </c>
      <c r="U706" s="27" t="s">
        <v>101</v>
      </c>
      <c r="V706" s="27" t="s">
        <v>5</v>
      </c>
      <c r="W706" s="27" t="s">
        <v>5</v>
      </c>
      <c r="X706" s="27" t="s">
        <v>5</v>
      </c>
    </row>
    <row r="707" spans="1:24" x14ac:dyDescent="0.2">
      <c r="A707" s="27" t="s">
        <v>63</v>
      </c>
      <c r="B707" s="27" t="s">
        <v>24</v>
      </c>
      <c r="C707" s="27">
        <v>10.7</v>
      </c>
      <c r="D707" s="27" t="s">
        <v>4</v>
      </c>
      <c r="F707" s="27" t="str">
        <f t="shared" si="309"/>
        <v>Yes</v>
      </c>
      <c r="G707" s="27" t="s">
        <v>5</v>
      </c>
      <c r="H707" s="27" t="s">
        <v>46</v>
      </c>
      <c r="J707" s="27" t="s">
        <v>29</v>
      </c>
      <c r="K707" s="27">
        <v>46</v>
      </c>
      <c r="L707" s="27" t="s">
        <v>12</v>
      </c>
      <c r="M707" s="27" t="s">
        <v>222</v>
      </c>
      <c r="N707" s="27" t="str">
        <f>IF(K707="N/A","No", IF(K707&gt;20,"Yes","No"))</f>
        <v>Yes</v>
      </c>
      <c r="O707" s="27" t="str">
        <f t="shared" si="313"/>
        <v>Yes</v>
      </c>
      <c r="U707" s="27" t="s">
        <v>104</v>
      </c>
      <c r="V707" s="27" t="s">
        <v>5</v>
      </c>
      <c r="W707" s="27" t="s">
        <v>9</v>
      </c>
      <c r="X707" s="27" t="s">
        <v>9</v>
      </c>
    </row>
    <row r="708" spans="1:24" x14ac:dyDescent="0.2">
      <c r="A708" s="27" t="s">
        <v>63</v>
      </c>
      <c r="B708" s="27" t="s">
        <v>24</v>
      </c>
      <c r="C708" s="27">
        <v>9.4</v>
      </c>
      <c r="D708" s="27" t="s">
        <v>4</v>
      </c>
      <c r="F708" s="27" t="str">
        <f t="shared" si="309"/>
        <v>Yes</v>
      </c>
      <c r="G708" s="27" t="s">
        <v>5</v>
      </c>
      <c r="H708" s="27" t="s">
        <v>46</v>
      </c>
      <c r="J708" s="27" t="s">
        <v>34</v>
      </c>
      <c r="K708" s="27">
        <v>80</v>
      </c>
      <c r="L708" s="27" t="s">
        <v>12</v>
      </c>
      <c r="M708" s="27" t="s">
        <v>210</v>
      </c>
      <c r="N708" s="27" t="str">
        <f>IF(K708="N/A","No", IF(K708&gt;230,"Yes","No"))</f>
        <v>No</v>
      </c>
      <c r="O708" s="27" t="str">
        <f>IF(K708="Not","No",IF(K708="n/a","N/A",IF(K708&gt;$Y$5,"Yes","No")))</f>
        <v>No</v>
      </c>
      <c r="U708" s="27" t="s">
        <v>106</v>
      </c>
      <c r="V708" s="27" t="str">
        <f>R703</f>
        <v>Yes</v>
      </c>
      <c r="W708" s="27" t="str">
        <f>S703</f>
        <v>Yes</v>
      </c>
      <c r="X708" s="27" t="str">
        <f>IF(V708="N/A","N/A",IF(W708="N/A", "N/A", IF(V708=W708, "Yes","No")))</f>
        <v>Yes</v>
      </c>
    </row>
    <row r="709" spans="1:24" x14ac:dyDescent="0.2">
      <c r="A709" s="27" t="s">
        <v>63</v>
      </c>
      <c r="B709" s="27" t="s">
        <v>24</v>
      </c>
      <c r="C709" s="27">
        <v>1.3</v>
      </c>
      <c r="D709" s="27" t="s">
        <v>4</v>
      </c>
      <c r="F709" s="27" t="str">
        <f t="shared" si="309"/>
        <v>Yes</v>
      </c>
      <c r="G709" s="27" t="s">
        <v>5</v>
      </c>
      <c r="H709" s="27" t="s">
        <v>46</v>
      </c>
      <c r="J709" s="27" t="s">
        <v>208</v>
      </c>
      <c r="K709" s="27">
        <v>804</v>
      </c>
      <c r="L709" s="27" t="s">
        <v>12</v>
      </c>
      <c r="M709" s="27" t="s">
        <v>223</v>
      </c>
      <c r="N709" s="27" t="str">
        <f>IF(K709="N/A","No", IF(K709&gt;20,"Yes","No"))</f>
        <v>Yes</v>
      </c>
      <c r="O709" s="27" t="str">
        <f>IF(K709="Not","No",IF(K709="n/a","N/A",IF(K709&gt;$Y$7,"Yes","No")))</f>
        <v>Yes</v>
      </c>
      <c r="U709" s="27" t="s">
        <v>121</v>
      </c>
      <c r="V709" s="27" t="str">
        <f>R704</f>
        <v>Yes</v>
      </c>
      <c r="W709" s="27" t="str">
        <f>S704</f>
        <v>Yes</v>
      </c>
      <c r="X709" s="27" t="str">
        <f>IF(V709="N/A","N/A",IF(W709="N/A", "N/A", IF(V709=W709, "Yes","No")))</f>
        <v>Yes</v>
      </c>
    </row>
    <row r="710" spans="1:24" x14ac:dyDescent="0.2">
      <c r="A710" s="27" t="s">
        <v>63</v>
      </c>
      <c r="B710" s="27" t="s">
        <v>24</v>
      </c>
      <c r="C710" s="27">
        <v>35.700000000000003</v>
      </c>
      <c r="D710" s="27" t="s">
        <v>4</v>
      </c>
      <c r="F710" s="27" t="str">
        <f t="shared" si="309"/>
        <v>Yes</v>
      </c>
      <c r="G710" s="27" t="s">
        <v>5</v>
      </c>
      <c r="H710" s="27" t="s">
        <v>46</v>
      </c>
    </row>
    <row r="711" spans="1:24" x14ac:dyDescent="0.2">
      <c r="A711" s="27" t="s">
        <v>63</v>
      </c>
      <c r="B711" s="27" t="s">
        <v>24</v>
      </c>
      <c r="C711" s="27">
        <v>17.3</v>
      </c>
      <c r="D711" s="27" t="s">
        <v>4</v>
      </c>
      <c r="F711" s="27" t="str">
        <f t="shared" si="309"/>
        <v>Yes</v>
      </c>
      <c r="G711" s="27" t="s">
        <v>5</v>
      </c>
      <c r="H711" s="27" t="s">
        <v>46</v>
      </c>
    </row>
    <row r="712" spans="1:24" x14ac:dyDescent="0.2">
      <c r="A712" s="27" t="s">
        <v>75</v>
      </c>
      <c r="B712" s="27" t="s">
        <v>301</v>
      </c>
      <c r="C712" s="27">
        <v>1200</v>
      </c>
      <c r="D712" s="27" t="s">
        <v>12</v>
      </c>
      <c r="F712" s="27" t="str">
        <f>IF(C712&gt;$W$3,"Yes","No")</f>
        <v>Yes</v>
      </c>
      <c r="G712" s="27" t="s">
        <v>5</v>
      </c>
    </row>
    <row r="713" spans="1:24" x14ac:dyDescent="0.2">
      <c r="A713" s="27" t="s">
        <v>109</v>
      </c>
      <c r="B713" s="27" t="s">
        <v>174</v>
      </c>
      <c r="C713" s="27">
        <v>1.6</v>
      </c>
      <c r="D713" s="27" t="s">
        <v>4</v>
      </c>
      <c r="F713" s="27" t="str">
        <f t="shared" si="309"/>
        <v>Yes</v>
      </c>
      <c r="G713" s="27" t="s">
        <v>5</v>
      </c>
      <c r="H713" s="27" t="s">
        <v>43</v>
      </c>
    </row>
    <row r="714" spans="1:24" x14ac:dyDescent="0.2">
      <c r="A714" s="27" t="s">
        <v>109</v>
      </c>
      <c r="B714" s="27" t="s">
        <v>10</v>
      </c>
      <c r="C714" s="27">
        <v>1.3</v>
      </c>
      <c r="D714" s="27" t="s">
        <v>4</v>
      </c>
      <c r="F714" s="27" t="str">
        <f t="shared" si="309"/>
        <v>Yes</v>
      </c>
      <c r="G714" s="27" t="s">
        <v>5</v>
      </c>
      <c r="H714" s="27" t="s">
        <v>43</v>
      </c>
    </row>
    <row r="715" spans="1:24" x14ac:dyDescent="0.2">
      <c r="A715" s="27" t="s">
        <v>293</v>
      </c>
      <c r="B715" s="27" t="s">
        <v>174</v>
      </c>
      <c r="C715" s="27">
        <v>1.7</v>
      </c>
      <c r="D715" s="27" t="s">
        <v>4</v>
      </c>
      <c r="F715" s="27" t="str">
        <f t="shared" si="309"/>
        <v>Yes</v>
      </c>
      <c r="G715" s="27" t="s">
        <v>5</v>
      </c>
      <c r="H715" s="27" t="s">
        <v>43</v>
      </c>
    </row>
    <row r="716" spans="1:24" x14ac:dyDescent="0.2">
      <c r="A716" s="27" t="s">
        <v>293</v>
      </c>
      <c r="B716" s="27" t="s">
        <v>24</v>
      </c>
      <c r="C716" s="27">
        <v>1.5</v>
      </c>
      <c r="D716" s="27" t="s">
        <v>4</v>
      </c>
      <c r="F716" s="27" t="str">
        <f t="shared" si="309"/>
        <v>Yes</v>
      </c>
      <c r="G716" s="27" t="s">
        <v>5</v>
      </c>
      <c r="H716" s="27" t="s">
        <v>43</v>
      </c>
    </row>
    <row r="717" spans="1:24" x14ac:dyDescent="0.2">
      <c r="A717" s="27" t="s">
        <v>293</v>
      </c>
      <c r="B717" s="27" t="s">
        <v>24</v>
      </c>
      <c r="C717" s="27">
        <v>1.6</v>
      </c>
      <c r="D717" s="27" t="s">
        <v>4</v>
      </c>
      <c r="F717" s="27" t="str">
        <f t="shared" si="309"/>
        <v>Yes</v>
      </c>
      <c r="G717" s="27" t="s">
        <v>5</v>
      </c>
      <c r="H717" s="27" t="s">
        <v>43</v>
      </c>
    </row>
    <row r="718" spans="1:24" x14ac:dyDescent="0.2">
      <c r="A718" s="27" t="s">
        <v>293</v>
      </c>
      <c r="B718" s="27" t="s">
        <v>24</v>
      </c>
      <c r="C718" s="27">
        <v>2.4</v>
      </c>
      <c r="D718" s="27" t="s">
        <v>4</v>
      </c>
      <c r="F718" s="27" t="str">
        <f t="shared" si="309"/>
        <v>Yes</v>
      </c>
      <c r="G718" s="27" t="s">
        <v>5</v>
      </c>
      <c r="H718" s="27" t="s">
        <v>43</v>
      </c>
    </row>
    <row r="719" spans="1:24" x14ac:dyDescent="0.2">
      <c r="A719" s="27" t="s">
        <v>70</v>
      </c>
      <c r="B719" s="27" t="s">
        <v>10</v>
      </c>
      <c r="C719" s="27">
        <v>8.9</v>
      </c>
      <c r="D719" s="27" t="s">
        <v>4</v>
      </c>
      <c r="F719" s="27" t="str">
        <f t="shared" si="309"/>
        <v>Yes</v>
      </c>
      <c r="G719" s="27" t="s">
        <v>5</v>
      </c>
      <c r="H719" s="27" t="s">
        <v>43</v>
      </c>
    </row>
    <row r="720" spans="1:24" x14ac:dyDescent="0.2">
      <c r="A720" s="27" t="s">
        <v>70</v>
      </c>
      <c r="B720" s="27" t="s">
        <v>77</v>
      </c>
      <c r="C720" s="27">
        <v>21.3</v>
      </c>
      <c r="D720" s="27" t="s">
        <v>4</v>
      </c>
      <c r="F720" s="27" t="str">
        <f t="shared" si="309"/>
        <v>Yes</v>
      </c>
      <c r="G720" s="27" t="s">
        <v>5</v>
      </c>
      <c r="H720" s="27" t="s">
        <v>43</v>
      </c>
    </row>
    <row r="721" spans="1:8" x14ac:dyDescent="0.2">
      <c r="A721" s="27" t="s">
        <v>70</v>
      </c>
      <c r="B721" s="27" t="s">
        <v>24</v>
      </c>
      <c r="C721" s="27">
        <v>4.4000000000000004</v>
      </c>
      <c r="D721" s="27" t="s">
        <v>4</v>
      </c>
      <c r="F721" s="27" t="str">
        <f t="shared" si="309"/>
        <v>Yes</v>
      </c>
      <c r="G721" s="27" t="s">
        <v>5</v>
      </c>
      <c r="H721" s="27" t="s">
        <v>43</v>
      </c>
    </row>
    <row r="722" spans="1:8" x14ac:dyDescent="0.2">
      <c r="A722" s="27" t="s">
        <v>70</v>
      </c>
      <c r="B722" s="27" t="s">
        <v>24</v>
      </c>
      <c r="C722" s="27">
        <v>4.2</v>
      </c>
      <c r="D722" s="27" t="s">
        <v>4</v>
      </c>
      <c r="F722" s="27" t="str">
        <f t="shared" si="309"/>
        <v>Yes</v>
      </c>
      <c r="G722" s="27" t="s">
        <v>5</v>
      </c>
      <c r="H722" s="27" t="s">
        <v>43</v>
      </c>
    </row>
    <row r="723" spans="1:8" x14ac:dyDescent="0.2">
      <c r="A723" s="27" t="s">
        <v>158</v>
      </c>
      <c r="B723" s="27" t="s">
        <v>174</v>
      </c>
      <c r="C723" s="27">
        <v>4.0999999999999996</v>
      </c>
      <c r="D723" s="27" t="s">
        <v>4</v>
      </c>
      <c r="F723" s="27" t="str">
        <f t="shared" si="309"/>
        <v>Yes</v>
      </c>
      <c r="G723" s="27" t="s">
        <v>5</v>
      </c>
      <c r="H723" s="27" t="s">
        <v>43</v>
      </c>
    </row>
    <row r="724" spans="1:8" x14ac:dyDescent="0.2">
      <c r="A724" s="27" t="s">
        <v>158</v>
      </c>
      <c r="B724" s="27" t="s">
        <v>10</v>
      </c>
      <c r="C724" s="27">
        <v>9.4</v>
      </c>
      <c r="D724" s="27" t="s">
        <v>4</v>
      </c>
      <c r="F724" s="27" t="str">
        <f t="shared" si="309"/>
        <v>Yes</v>
      </c>
      <c r="G724" s="27" t="s">
        <v>5</v>
      </c>
      <c r="H724" s="27" t="s">
        <v>43</v>
      </c>
    </row>
    <row r="725" spans="1:8" x14ac:dyDescent="0.2">
      <c r="A725" s="27" t="s">
        <v>158</v>
      </c>
      <c r="B725" s="27" t="s">
        <v>77</v>
      </c>
      <c r="C725" s="27">
        <v>27.4</v>
      </c>
      <c r="D725" s="27" t="s">
        <v>4</v>
      </c>
      <c r="F725" s="27" t="str">
        <f t="shared" si="309"/>
        <v>Yes</v>
      </c>
      <c r="G725" s="27" t="s">
        <v>5</v>
      </c>
      <c r="H725" s="27" t="s">
        <v>43</v>
      </c>
    </row>
    <row r="726" spans="1:8" x14ac:dyDescent="0.2">
      <c r="A726" s="27" t="s">
        <v>158</v>
      </c>
      <c r="B726" s="27" t="s">
        <v>24</v>
      </c>
      <c r="C726" s="27">
        <v>1.8</v>
      </c>
      <c r="D726" s="27" t="s">
        <v>4</v>
      </c>
      <c r="F726" s="27" t="str">
        <f t="shared" si="309"/>
        <v>Yes</v>
      </c>
      <c r="G726" s="27" t="s">
        <v>5</v>
      </c>
      <c r="H726" s="27" t="s">
        <v>43</v>
      </c>
    </row>
    <row r="727" spans="1:8" x14ac:dyDescent="0.2">
      <c r="A727" s="27" t="s">
        <v>64</v>
      </c>
      <c r="B727" s="27" t="s">
        <v>40</v>
      </c>
      <c r="C727" s="27">
        <v>17.8</v>
      </c>
      <c r="D727" s="27" t="s">
        <v>4</v>
      </c>
      <c r="F727" s="27" t="str">
        <f t="shared" si="309"/>
        <v>Yes</v>
      </c>
      <c r="G727" s="27" t="s">
        <v>5</v>
      </c>
      <c r="H727" s="27" t="s">
        <v>43</v>
      </c>
    </row>
    <row r="728" spans="1:8" x14ac:dyDescent="0.2">
      <c r="A728" s="27" t="s">
        <v>64</v>
      </c>
      <c r="B728" s="27" t="s">
        <v>40</v>
      </c>
      <c r="C728" s="27">
        <v>29.3</v>
      </c>
      <c r="D728" s="27" t="s">
        <v>4</v>
      </c>
      <c r="F728" s="27" t="str">
        <f t="shared" si="309"/>
        <v>Yes</v>
      </c>
      <c r="G728" s="27" t="s">
        <v>5</v>
      </c>
      <c r="H728" s="27" t="s">
        <v>43</v>
      </c>
    </row>
    <row r="729" spans="1:8" x14ac:dyDescent="0.2">
      <c r="A729" s="27" t="s">
        <v>64</v>
      </c>
      <c r="B729" s="27" t="s">
        <v>40</v>
      </c>
      <c r="C729" s="27">
        <v>243</v>
      </c>
      <c r="D729" s="27" t="s">
        <v>4</v>
      </c>
      <c r="F729" s="27" t="str">
        <f t="shared" si="309"/>
        <v>Yes</v>
      </c>
      <c r="G729" s="27" t="s">
        <v>5</v>
      </c>
      <c r="H729" s="27" t="s">
        <v>43</v>
      </c>
    </row>
    <row r="730" spans="1:8" x14ac:dyDescent="0.2">
      <c r="A730" s="27" t="s">
        <v>64</v>
      </c>
      <c r="B730" s="27" t="s">
        <v>24</v>
      </c>
      <c r="C730" s="27">
        <v>17</v>
      </c>
      <c r="D730" s="27" t="s">
        <v>4</v>
      </c>
      <c r="F730" s="27" t="str">
        <f t="shared" si="309"/>
        <v>Yes</v>
      </c>
      <c r="G730" s="27" t="s">
        <v>5</v>
      </c>
      <c r="H730" s="27" t="s">
        <v>43</v>
      </c>
    </row>
    <row r="731" spans="1:8" x14ac:dyDescent="0.2">
      <c r="A731" s="27" t="s">
        <v>64</v>
      </c>
      <c r="B731" s="27" t="s">
        <v>24</v>
      </c>
      <c r="C731" s="27">
        <v>2.2000000000000002</v>
      </c>
      <c r="D731" s="27" t="s">
        <v>4</v>
      </c>
      <c r="F731" s="27" t="str">
        <f t="shared" si="309"/>
        <v>Yes</v>
      </c>
      <c r="G731" s="27" t="s">
        <v>5</v>
      </c>
      <c r="H731" s="27" t="s">
        <v>43</v>
      </c>
    </row>
    <row r="732" spans="1:8" x14ac:dyDescent="0.2">
      <c r="A732" s="27" t="s">
        <v>64</v>
      </c>
      <c r="B732" s="27" t="s">
        <v>24</v>
      </c>
      <c r="C732" s="27">
        <v>22</v>
      </c>
      <c r="D732" s="27" t="s">
        <v>4</v>
      </c>
      <c r="F732" s="27" t="str">
        <f t="shared" si="309"/>
        <v>Yes</v>
      </c>
      <c r="G732" s="27" t="s">
        <v>5</v>
      </c>
      <c r="H732" s="27" t="s">
        <v>43</v>
      </c>
    </row>
    <row r="733" spans="1:8" x14ac:dyDescent="0.2">
      <c r="A733" s="27" t="s">
        <v>64</v>
      </c>
      <c r="B733" s="27" t="s">
        <v>24</v>
      </c>
      <c r="C733" s="27">
        <v>1.6</v>
      </c>
      <c r="D733" s="27" t="s">
        <v>4</v>
      </c>
      <c r="F733" s="27" t="str">
        <f t="shared" si="309"/>
        <v>Yes</v>
      </c>
      <c r="G733" s="27" t="s">
        <v>5</v>
      </c>
      <c r="H733" s="27" t="s">
        <v>43</v>
      </c>
    </row>
    <row r="734" spans="1:8" x14ac:dyDescent="0.2">
      <c r="A734" s="27" t="s">
        <v>109</v>
      </c>
      <c r="B734" s="27" t="s">
        <v>54</v>
      </c>
      <c r="C734" s="27">
        <v>170</v>
      </c>
      <c r="D734" s="27" t="s">
        <v>33</v>
      </c>
      <c r="F734" s="27" t="str">
        <f>IF(C734&gt;$W$5,"Yes","No")</f>
        <v>Yes</v>
      </c>
      <c r="G734" s="27" t="s">
        <v>5</v>
      </c>
    </row>
    <row r="735" spans="1:8" x14ac:dyDescent="0.2">
      <c r="A735" s="27" t="s">
        <v>64</v>
      </c>
      <c r="B735" s="27" t="s">
        <v>32</v>
      </c>
      <c r="C735" s="27">
        <v>490</v>
      </c>
      <c r="D735" s="27" t="s">
        <v>33</v>
      </c>
      <c r="F735" s="27" t="str">
        <f>IF(C735&gt;$W$6,"Yes","No")</f>
        <v>Yes</v>
      </c>
      <c r="G735" s="27" t="s">
        <v>5</v>
      </c>
    </row>
    <row r="738" spans="1:38" x14ac:dyDescent="0.2">
      <c r="A738" s="27">
        <v>1243</v>
      </c>
      <c r="B738" s="27" t="s">
        <v>111</v>
      </c>
      <c r="C738" s="27">
        <v>49</v>
      </c>
    </row>
    <row r="739" spans="1:38" x14ac:dyDescent="0.2">
      <c r="A739" s="59" t="s">
        <v>0</v>
      </c>
      <c r="E739" s="27" t="s">
        <v>274</v>
      </c>
      <c r="F739" s="27" t="s">
        <v>275</v>
      </c>
      <c r="G739" s="27" t="s">
        <v>119</v>
      </c>
      <c r="J739" s="59" t="s">
        <v>1</v>
      </c>
      <c r="N739" s="27" t="s">
        <v>277</v>
      </c>
      <c r="O739" s="27" t="s">
        <v>278</v>
      </c>
      <c r="Q739" s="59" t="s">
        <v>115</v>
      </c>
      <c r="R739" s="59" t="s">
        <v>0</v>
      </c>
      <c r="S739" s="59" t="s">
        <v>1</v>
      </c>
      <c r="U739" s="59" t="s">
        <v>115</v>
      </c>
      <c r="V739" s="59" t="s">
        <v>0</v>
      </c>
      <c r="W739" s="59" t="s">
        <v>1</v>
      </c>
      <c r="X739" s="59" t="s">
        <v>122</v>
      </c>
      <c r="AA739" s="27" t="str">
        <f>IF(R740="Yes","LRA-Soil","")</f>
        <v/>
      </c>
      <c r="AB739" s="27" t="str">
        <f>IF(R741="Yes","LRA-Paint","")</f>
        <v/>
      </c>
      <c r="AC739" s="27" t="str">
        <f>IF(R742="Yes","LRA-Dust","")</f>
        <v/>
      </c>
      <c r="AD739" s="27" t="str">
        <f>IF(S740="Yes","LSK-Soil","")</f>
        <v/>
      </c>
      <c r="AE739" s="27" t="str">
        <f>IF(S741="Yes","LSK-Paint","")</f>
        <v/>
      </c>
      <c r="AF739" s="27" t="str">
        <f>IF(S742="Yes","LSK-Dust","")</f>
        <v/>
      </c>
      <c r="AI739" s="27" t="s">
        <v>46</v>
      </c>
      <c r="AJ739" s="27" t="s">
        <v>43</v>
      </c>
      <c r="AK739" s="27" t="s">
        <v>116</v>
      </c>
      <c r="AL739" s="27" t="s">
        <v>117</v>
      </c>
    </row>
    <row r="740" spans="1:38" x14ac:dyDescent="0.2">
      <c r="A740" s="27" t="s">
        <v>63</v>
      </c>
      <c r="B740" s="27" t="s">
        <v>77</v>
      </c>
      <c r="C740" s="27">
        <v>0</v>
      </c>
      <c r="D740" s="27" t="s">
        <v>4</v>
      </c>
      <c r="F740" s="27" t="str">
        <f t="shared" ref="F740" si="314">IF(C740&gt;=$W$2,"Yes","No")</f>
        <v>No</v>
      </c>
      <c r="G740" s="27" t="s">
        <v>9</v>
      </c>
      <c r="H740" s="27" t="s">
        <v>46</v>
      </c>
      <c r="J740" s="27" t="s">
        <v>6</v>
      </c>
      <c r="K740" s="27">
        <v>139</v>
      </c>
      <c r="L740" s="27" t="s">
        <v>12</v>
      </c>
      <c r="M740" s="27" t="s">
        <v>114</v>
      </c>
      <c r="N740" s="27" t="str">
        <f>IF(K740="N/A","No", IF(K740&gt;1200,"Yes","No"))</f>
        <v>No</v>
      </c>
      <c r="O740" s="27" t="str">
        <f>IF(K740="Not","No",IF(K740="n/a","N/A",IF(K740&gt;=$Y$3,"Yes","No")))</f>
        <v>No</v>
      </c>
      <c r="Q740" s="27" t="s">
        <v>116</v>
      </c>
      <c r="R740" s="27" t="str">
        <f>_xlfn.XLOOKUP("ppm",D740:D754,F740:F754,"N/A")</f>
        <v>No</v>
      </c>
      <c r="S740" s="27" t="str">
        <f>IF(COUNTIF(O740:O742,"Yes"),"Yes","No")</f>
        <v>No</v>
      </c>
      <c r="U740" s="27" t="s">
        <v>92</v>
      </c>
      <c r="V740" s="27" t="s">
        <v>9</v>
      </c>
      <c r="W740" s="27" t="s">
        <v>120</v>
      </c>
      <c r="X740" s="27" t="str">
        <f>IF(V740="N/A","N/A",IF(W740="N/A", "N/A", IF(V740=W740, "Yes","No")))</f>
        <v>N/A</v>
      </c>
      <c r="AI740" s="27">
        <f>COUNTIF(H739:H743,"Exterior")</f>
        <v>1</v>
      </c>
      <c r="AJ740" s="27">
        <f>COUNTIF(H739:H743, "Interior")</f>
        <v>1</v>
      </c>
      <c r="AK740" s="27">
        <f>COUNTIFS(D739:D743,"ppm")+COUNTIFS(D739:D743,"mg/Kg")</f>
        <v>1</v>
      </c>
      <c r="AL740" s="27">
        <f>COUNTIF(D739:D743,"ug/ft2")</f>
        <v>1</v>
      </c>
    </row>
    <row r="741" spans="1:38" x14ac:dyDescent="0.2">
      <c r="A741" s="27" t="s">
        <v>161</v>
      </c>
      <c r="B741" s="27" t="s">
        <v>28</v>
      </c>
      <c r="C741" s="27">
        <v>204</v>
      </c>
      <c r="D741" s="27" t="s">
        <v>12</v>
      </c>
      <c r="F741" s="27" t="str">
        <f>IF(C741&gt;$W$3,"Yes","No")</f>
        <v>No</v>
      </c>
      <c r="G741" s="27" t="s">
        <v>9</v>
      </c>
      <c r="J741" s="27" t="s">
        <v>11</v>
      </c>
      <c r="K741" s="27">
        <v>181</v>
      </c>
      <c r="L741" s="27" t="s">
        <v>12</v>
      </c>
      <c r="M741" s="27" t="s">
        <v>67</v>
      </c>
      <c r="N741" s="27" t="str">
        <f t="shared" ref="N741:N742" si="315">IF(K741="N/A","No", IF(K741&gt;1200,"Yes","No"))</f>
        <v>No</v>
      </c>
      <c r="O741" s="27" t="str">
        <f t="shared" ref="O741:O742" si="316">IF(K741="Not","No",IF(K741="n/a","N/A",IF(K741&gt;$Y$3,"Yes","No")))</f>
        <v>No</v>
      </c>
      <c r="Q741" s="27" t="s">
        <v>98</v>
      </c>
      <c r="R741" s="27" t="str">
        <f>_xlfn.XLOOKUP("mg/cm2",D740:D743,G740:G743,"N/A",1,-1)</f>
        <v>No</v>
      </c>
      <c r="S741" s="27" t="str">
        <f>IF(COUNTIF(O743:O744,"Yes"),"Yes","No")</f>
        <v>No</v>
      </c>
      <c r="U741" s="27" t="s">
        <v>95</v>
      </c>
      <c r="V741" s="27" t="str">
        <f>R740</f>
        <v>No</v>
      </c>
      <c r="W741" s="27" t="str">
        <f>S740</f>
        <v>No</v>
      </c>
      <c r="X741" s="27" t="str">
        <f t="shared" ref="X741:X744" si="317">IF(V741="N/A","N/A",IF(W741="N/A", "N/A", IF(V741=W741, "Yes","No")))</f>
        <v>Yes</v>
      </c>
    </row>
    <row r="742" spans="1:38" x14ac:dyDescent="0.2">
      <c r="A742" s="27" t="s">
        <v>71</v>
      </c>
      <c r="B742" s="27" t="s">
        <v>77</v>
      </c>
      <c r="C742" s="27">
        <v>0</v>
      </c>
      <c r="D742" s="27" t="s">
        <v>4</v>
      </c>
      <c r="F742" s="27" t="str">
        <f t="shared" ref="F742" si="318">IF(C742&gt;=$W$2,"Yes","No")</f>
        <v>No</v>
      </c>
      <c r="G742" s="27" t="s">
        <v>9</v>
      </c>
      <c r="H742" s="27" t="s">
        <v>43</v>
      </c>
      <c r="J742" s="27" t="s">
        <v>15</v>
      </c>
      <c r="K742" s="27">
        <v>85.7</v>
      </c>
      <c r="L742" s="27" t="s">
        <v>12</v>
      </c>
      <c r="M742" s="27" t="s">
        <v>112</v>
      </c>
      <c r="N742" s="27" t="str">
        <f t="shared" si="315"/>
        <v>No</v>
      </c>
      <c r="O742" s="27" t="str">
        <f t="shared" si="316"/>
        <v>No</v>
      </c>
      <c r="Q742" s="27" t="s">
        <v>117</v>
      </c>
      <c r="R742" s="27" t="str">
        <f>_xlfn.XLOOKUP("ug/ft2",D740:D754,F740:F754,"N/A")</f>
        <v>No</v>
      </c>
      <c r="S742" s="27" t="str">
        <f>IF(COUNTIF(O745:O748,"Yes"),"Yes","No")</f>
        <v>No</v>
      </c>
      <c r="U742" s="27" t="s">
        <v>163</v>
      </c>
      <c r="V742" s="27" t="s">
        <v>9</v>
      </c>
      <c r="W742" s="27" t="str">
        <f>O744</f>
        <v>No</v>
      </c>
      <c r="X742" s="27" t="str">
        <f t="shared" si="317"/>
        <v>Yes</v>
      </c>
    </row>
    <row r="743" spans="1:38" x14ac:dyDescent="0.2">
      <c r="A743" s="27" t="s">
        <v>71</v>
      </c>
      <c r="B743" s="27" t="s">
        <v>54</v>
      </c>
      <c r="C743" s="27">
        <v>11</v>
      </c>
      <c r="D743" s="27" t="s">
        <v>33</v>
      </c>
      <c r="F743" s="27" t="str">
        <f>IF(C743&gt;$W$5,"Yes","No")</f>
        <v>No</v>
      </c>
      <c r="G743" s="27" t="s">
        <v>9</v>
      </c>
      <c r="J743" s="27" t="s">
        <v>19</v>
      </c>
      <c r="K743" s="27">
        <v>2.5</v>
      </c>
      <c r="L743" s="27" t="s">
        <v>12</v>
      </c>
      <c r="M743" s="27" t="s">
        <v>46</v>
      </c>
      <c r="N743" s="27" t="str">
        <f>IF(K743="N/A","No", IF(K743&gt;5000,"Yes","No"))</f>
        <v>No</v>
      </c>
      <c r="O743" s="27" t="str">
        <f>IF(K743="Not","No",IF(K743="n/a","N/A",IF(K743&gt;$Y$2,"Yes","No")))</f>
        <v>No</v>
      </c>
      <c r="Q743" s="27" t="s">
        <v>118</v>
      </c>
      <c r="R743" s="27" t="str">
        <f>IF(COUNTIF(R740:R742,"Yes"),"Yes","No")</f>
        <v>No</v>
      </c>
      <c r="S743" s="27" t="str">
        <f>IF(COUNTIF(S740:S742,"Yes"),"Yes","No")</f>
        <v>No</v>
      </c>
      <c r="U743" s="27" t="s">
        <v>164</v>
      </c>
      <c r="V743" s="27" t="s">
        <v>9</v>
      </c>
      <c r="W743" s="27" t="str">
        <f>O743</f>
        <v>No</v>
      </c>
      <c r="X743" s="27" t="str">
        <f t="shared" si="317"/>
        <v>Yes</v>
      </c>
    </row>
    <row r="744" spans="1:38" x14ac:dyDescent="0.2">
      <c r="J744" s="27" t="s">
        <v>22</v>
      </c>
      <c r="K744" s="27">
        <v>2.5</v>
      </c>
      <c r="L744" s="27" t="s">
        <v>12</v>
      </c>
      <c r="M744" s="27" t="s">
        <v>43</v>
      </c>
      <c r="N744" s="27" t="str">
        <f>IF(K744="N/A","No", IF(K744&gt;5000,"Yes","No"))</f>
        <v>No</v>
      </c>
      <c r="O744" s="27" t="str">
        <f>IF(K744="Not","No",IF(K744="n/a","N/A",IF(K744&gt;$Y$2,"Yes","No")))</f>
        <v>No</v>
      </c>
      <c r="U744" s="27" t="s">
        <v>162</v>
      </c>
      <c r="V744" s="27" t="str">
        <f>R741</f>
        <v>No</v>
      </c>
      <c r="W744" s="27" t="str">
        <f>S741</f>
        <v>No</v>
      </c>
      <c r="X744" s="27" t="str">
        <f t="shared" si="317"/>
        <v>Yes</v>
      </c>
    </row>
    <row r="745" spans="1:38" x14ac:dyDescent="0.2">
      <c r="J745" s="27" t="s">
        <v>25</v>
      </c>
      <c r="K745" s="27">
        <v>2.5</v>
      </c>
      <c r="L745" s="27" t="s">
        <v>12</v>
      </c>
      <c r="M745" s="27" t="s">
        <v>126</v>
      </c>
      <c r="N745" s="27" t="str">
        <f>IF(K745="N/A","No", IF(K745&gt;20,"Yes","No"))</f>
        <v>No</v>
      </c>
      <c r="O745" s="27" t="str">
        <f t="shared" ref="O745:O746" si="319">IF(K745="Not","No",IF(K745="n/a","N/A",IF(K745&gt;$Y$6,"Yes","No")))</f>
        <v>No</v>
      </c>
      <c r="U745" s="27" t="s">
        <v>101</v>
      </c>
      <c r="V745" s="27" t="s">
        <v>120</v>
      </c>
      <c r="W745" s="27" t="s">
        <v>9</v>
      </c>
      <c r="X745" s="27" t="str">
        <f>IF(V745="N/A","N/A",IF(W745="N/A", "N/A", IF(V745=W745, "Yes","No")))</f>
        <v>N/A</v>
      </c>
    </row>
    <row r="746" spans="1:38" x14ac:dyDescent="0.2">
      <c r="J746" s="27" t="s">
        <v>29</v>
      </c>
      <c r="K746" s="27">
        <v>18</v>
      </c>
      <c r="L746" s="27" t="s">
        <v>12</v>
      </c>
      <c r="M746" s="27" t="s">
        <v>222</v>
      </c>
      <c r="N746" s="27" t="str">
        <f>IF(K746="N/A","No", IF(K746&gt;20,"Yes","No"))</f>
        <v>No</v>
      </c>
      <c r="O746" s="27" t="str">
        <f t="shared" si="319"/>
        <v>No</v>
      </c>
      <c r="U746" s="27" t="s">
        <v>104</v>
      </c>
      <c r="V746" s="27" t="s">
        <v>9</v>
      </c>
      <c r="W746" s="27" t="str">
        <f>O747</f>
        <v>No</v>
      </c>
      <c r="X746" s="27" t="str">
        <f>IF(V746="N/A","N/A",IF(W746="N/A", "N/A", IF(V746=W746, "Yes","No")))</f>
        <v>Yes</v>
      </c>
    </row>
    <row r="747" spans="1:38" x14ac:dyDescent="0.2">
      <c r="J747" s="27" t="s">
        <v>34</v>
      </c>
      <c r="K747" s="27">
        <v>2.5</v>
      </c>
      <c r="L747" s="27" t="s">
        <v>12</v>
      </c>
      <c r="M747" s="27" t="s">
        <v>210</v>
      </c>
      <c r="N747" s="27" t="str">
        <f>IF(K747="N/A","No", IF(K747&gt;230,"Yes","No"))</f>
        <v>No</v>
      </c>
      <c r="O747" s="27" t="str">
        <f>IF(K747="Not","No",IF(K747="n/a","N/A",IF(K747&gt;$Y$5,"Yes","No")))</f>
        <v>No</v>
      </c>
      <c r="U747" s="27" t="s">
        <v>106</v>
      </c>
      <c r="V747" s="27" t="str">
        <f>R742</f>
        <v>No</v>
      </c>
      <c r="W747" s="27" t="str">
        <f>S742</f>
        <v>No</v>
      </c>
      <c r="X747" s="27" t="str">
        <f>IF(V747="N/A","N/A",IF(W747="N/A", "N/A", IF(V747=W747, "Yes","No")))</f>
        <v>Yes</v>
      </c>
    </row>
    <row r="748" spans="1:38" x14ac:dyDescent="0.2">
      <c r="J748" s="27" t="s">
        <v>208</v>
      </c>
      <c r="K748" s="27">
        <v>2.5</v>
      </c>
      <c r="L748" s="27" t="s">
        <v>12</v>
      </c>
      <c r="M748" s="27" t="s">
        <v>223</v>
      </c>
      <c r="N748" s="27" t="str">
        <f>IF(K748="N/A","No", IF(K748&gt;20,"Yes","No"))</f>
        <v>No</v>
      </c>
      <c r="O748" s="27" t="str">
        <f>IF(K748="Not","No",IF(K748="n/a","N/A",IF(K748&gt;$Y$7,"Yes","No")))</f>
        <v>No</v>
      </c>
      <c r="U748" s="27" t="s">
        <v>121</v>
      </c>
      <c r="V748" s="27" t="str">
        <f>R743</f>
        <v>No</v>
      </c>
      <c r="W748" s="27" t="str">
        <f>S743</f>
        <v>No</v>
      </c>
      <c r="X748" s="27" t="str">
        <f>IF(V748="N/A","N/A",IF(W748="N/A", "N/A", IF(V748=W748, "Yes","No")))</f>
        <v>Yes</v>
      </c>
    </row>
    <row r="750" spans="1:38" x14ac:dyDescent="0.2">
      <c r="A750" s="57">
        <v>1244</v>
      </c>
      <c r="B750" s="27" t="s">
        <v>111</v>
      </c>
      <c r="C750" s="27">
        <v>50</v>
      </c>
    </row>
    <row r="751" spans="1:38" x14ac:dyDescent="0.2">
      <c r="A751" s="59" t="s">
        <v>0</v>
      </c>
      <c r="E751" s="27" t="s">
        <v>274</v>
      </c>
      <c r="F751" s="27" t="s">
        <v>275</v>
      </c>
      <c r="G751" s="27" t="s">
        <v>119</v>
      </c>
      <c r="J751" s="59" t="s">
        <v>1</v>
      </c>
      <c r="N751" s="27" t="s">
        <v>277</v>
      </c>
      <c r="O751" s="27" t="s">
        <v>278</v>
      </c>
      <c r="Q751" s="59" t="s">
        <v>115</v>
      </c>
      <c r="R751" s="59" t="s">
        <v>0</v>
      </c>
      <c r="S751" s="59" t="s">
        <v>1</v>
      </c>
      <c r="U751" s="59" t="s">
        <v>115</v>
      </c>
      <c r="V751" s="59" t="s">
        <v>0</v>
      </c>
      <c r="W751" s="59" t="s">
        <v>1</v>
      </c>
      <c r="X751" s="59" t="s">
        <v>122</v>
      </c>
      <c r="AA751" s="27" t="str">
        <f>IF(R752="Yes","LRA-Soil","")</f>
        <v/>
      </c>
      <c r="AB751" s="27" t="str">
        <f>IF(R753="Yes","LRA-Paint","")</f>
        <v/>
      </c>
      <c r="AC751" s="27" t="str">
        <f>IF(R754="Yes","LRA-Dust","")</f>
        <v/>
      </c>
      <c r="AD751" s="27" t="str">
        <f>IF(S752="Yes","LSK-Soil","")</f>
        <v/>
      </c>
      <c r="AE751" s="27" t="str">
        <f>IF(S753="Yes","LSK-Paint","")</f>
        <v>LSK-Paint</v>
      </c>
      <c r="AF751" s="27" t="str">
        <f>IF(S754="Yes","LSK-Dust","")</f>
        <v/>
      </c>
      <c r="AI751" s="27" t="s">
        <v>46</v>
      </c>
      <c r="AJ751" s="27" t="s">
        <v>43</v>
      </c>
      <c r="AK751" s="27" t="s">
        <v>116</v>
      </c>
      <c r="AL751" s="27" t="s">
        <v>117</v>
      </c>
    </row>
    <row r="752" spans="1:38" x14ac:dyDescent="0.2">
      <c r="A752" s="27" t="s">
        <v>63</v>
      </c>
      <c r="B752" s="27" t="s">
        <v>10</v>
      </c>
      <c r="C752" s="27">
        <v>0.6</v>
      </c>
      <c r="D752" s="27" t="s">
        <v>4</v>
      </c>
      <c r="F752" s="27" t="str">
        <f t="shared" ref="F752" si="320">IF(C752&gt;=$W$2,"Yes","No")</f>
        <v>No</v>
      </c>
      <c r="G752" s="27" t="s">
        <v>9</v>
      </c>
      <c r="H752" s="27" t="s">
        <v>46</v>
      </c>
      <c r="J752" s="27" t="s">
        <v>6</v>
      </c>
      <c r="K752" s="27">
        <v>34.200000000000003</v>
      </c>
      <c r="L752" s="27" t="s">
        <v>12</v>
      </c>
      <c r="M752" s="27" t="s">
        <v>114</v>
      </c>
      <c r="N752" s="27" t="str">
        <f>IF(K752="N/A","No", IF(K752&gt;1200,"Yes","No"))</f>
        <v>No</v>
      </c>
      <c r="O752" s="27" t="str">
        <f>IF(K752="Not","No",IF(K752="n/a","N/A",IF(K752&gt;=$Y$3,"Yes","No")))</f>
        <v>No</v>
      </c>
      <c r="Q752" s="27" t="s">
        <v>116</v>
      </c>
      <c r="R752" s="27" t="str">
        <f>_xlfn.XLOOKUP("ppm",D752:D756,F752:F756,"N/A")</f>
        <v>No</v>
      </c>
      <c r="S752" s="27" t="str">
        <f>IF(COUNTIF(O752:O754,"Yes"),"Yes","No")</f>
        <v>No</v>
      </c>
      <c r="U752" s="27" t="s">
        <v>92</v>
      </c>
      <c r="W752" s="27" t="s">
        <v>120</v>
      </c>
      <c r="X752" s="27" t="str">
        <f>IF(V752="N/A","N/A",IF(W752="N/A", "N/A", IF(V752=W752, "Yes","No")))</f>
        <v>N/A</v>
      </c>
      <c r="AI752" s="27">
        <f>COUNTIF(H751:H756,"Exterior")</f>
        <v>1</v>
      </c>
      <c r="AJ752" s="27">
        <f>COUNTIF(H751:H756, "Interior")</f>
        <v>1</v>
      </c>
      <c r="AK752" s="27">
        <f>COUNTIFS(D751:D756,"ppm")+COUNTIFS(D751:D756,"mg/Kg")</f>
        <v>1</v>
      </c>
      <c r="AL752" s="27">
        <f>COUNTIF(D751:D756,"ug/ft2")</f>
        <v>2</v>
      </c>
    </row>
    <row r="753" spans="1:38" x14ac:dyDescent="0.2">
      <c r="A753" s="27" t="s">
        <v>161</v>
      </c>
      <c r="B753" s="27" t="s">
        <v>28</v>
      </c>
      <c r="C753" s="65" t="s">
        <v>328</v>
      </c>
      <c r="D753" s="27" t="s">
        <v>12</v>
      </c>
      <c r="F753" s="63" t="s">
        <v>9</v>
      </c>
      <c r="G753" s="27" t="s">
        <v>9</v>
      </c>
      <c r="J753" s="27" t="s">
        <v>11</v>
      </c>
      <c r="K753" s="27">
        <v>27.4</v>
      </c>
      <c r="L753" s="27" t="s">
        <v>12</v>
      </c>
      <c r="M753" s="27" t="s">
        <v>67</v>
      </c>
      <c r="N753" s="27" t="str">
        <f t="shared" ref="N753:N754" si="321">IF(K753="N/A","No", IF(K753&gt;1200,"Yes","No"))</f>
        <v>No</v>
      </c>
      <c r="O753" s="27" t="str">
        <f t="shared" ref="O753:O754" si="322">IF(K753="Not","No",IF(K753="n/a","N/A",IF(K753&gt;$Y$3,"Yes","No")))</f>
        <v>No</v>
      </c>
      <c r="Q753" s="27" t="s">
        <v>98</v>
      </c>
      <c r="R753" s="27" t="str">
        <f>_xlfn.XLOOKUP("mg/cm2",D752:D756,G752:G756,"N/A",1,-1)</f>
        <v>No</v>
      </c>
      <c r="S753" s="27" t="str">
        <f>IF(COUNTIF(O755:O756,"Yes"),"Yes","No")</f>
        <v>Yes</v>
      </c>
      <c r="U753" s="27" t="s">
        <v>95</v>
      </c>
      <c r="V753" s="27" t="str">
        <f>R752</f>
        <v>No</v>
      </c>
      <c r="W753" s="27" t="str">
        <f>S752</f>
        <v>No</v>
      </c>
      <c r="X753" s="27" t="str">
        <f t="shared" ref="X753:X756" si="323">IF(V753="N/A","N/A",IF(W753="N/A", "N/A", IF(V753=W753, "Yes","No")))</f>
        <v>Yes</v>
      </c>
    </row>
    <row r="754" spans="1:38" x14ac:dyDescent="0.2">
      <c r="A754" s="27" t="s">
        <v>71</v>
      </c>
      <c r="B754" s="27" t="s">
        <v>40</v>
      </c>
      <c r="C754" s="27">
        <v>0.4</v>
      </c>
      <c r="D754" s="27" t="s">
        <v>4</v>
      </c>
      <c r="F754" s="27" t="str">
        <f t="shared" ref="F754" si="324">IF(C754&gt;=$W$2,"Yes","No")</f>
        <v>No</v>
      </c>
      <c r="G754" s="27" t="s">
        <v>9</v>
      </c>
      <c r="H754" s="27" t="s">
        <v>43</v>
      </c>
      <c r="J754" s="27" t="s">
        <v>15</v>
      </c>
      <c r="K754" s="27">
        <v>59.7</v>
      </c>
      <c r="L754" s="27" t="s">
        <v>12</v>
      </c>
      <c r="M754" s="27" t="s">
        <v>112</v>
      </c>
      <c r="N754" s="27" t="str">
        <f t="shared" si="321"/>
        <v>No</v>
      </c>
      <c r="O754" s="27" t="str">
        <f t="shared" si="322"/>
        <v>No</v>
      </c>
      <c r="Q754" s="27" t="s">
        <v>117</v>
      </c>
      <c r="R754" s="27" t="str">
        <f>_xlfn.XLOOKUP("ug/ft2",D752:D756,F752:F756,"N/A")</f>
        <v>No</v>
      </c>
      <c r="S754" s="27" t="str">
        <f>IF(COUNTIF(O757:O760,"Yes"),"Yes","No")</f>
        <v>No</v>
      </c>
      <c r="U754" s="27" t="s">
        <v>163</v>
      </c>
      <c r="V754" s="27" t="s">
        <v>9</v>
      </c>
      <c r="W754" s="27" t="str">
        <f>O756</f>
        <v>No</v>
      </c>
      <c r="X754" s="27" t="str">
        <f t="shared" si="323"/>
        <v>Yes</v>
      </c>
    </row>
    <row r="755" spans="1:38" x14ac:dyDescent="0.2">
      <c r="A755" s="27" t="s">
        <v>109</v>
      </c>
      <c r="B755" s="27" t="s">
        <v>32</v>
      </c>
      <c r="C755" s="27">
        <v>3</v>
      </c>
      <c r="D755" s="27" t="s">
        <v>33</v>
      </c>
      <c r="F755" s="27" t="str">
        <f>IF(C755&gt;$W$5,"Yes","No")</f>
        <v>No</v>
      </c>
      <c r="G755" s="27" t="s">
        <v>9</v>
      </c>
      <c r="J755" s="27" t="s">
        <v>19</v>
      </c>
      <c r="K755" s="27">
        <v>7346</v>
      </c>
      <c r="L755" s="27" t="s">
        <v>12</v>
      </c>
      <c r="M755" s="27" t="s">
        <v>46</v>
      </c>
      <c r="N755" s="27" t="str">
        <f>IF(K755="N/A","No", IF(K755&gt;5000,"Yes","No"))</f>
        <v>Yes</v>
      </c>
      <c r="O755" s="27" t="str">
        <f>IF(K755="Not","No",IF(K755="n/a","N/A",IF(K755&gt;$Y$2,"Yes","No")))</f>
        <v>Yes</v>
      </c>
      <c r="Q755" s="27" t="s">
        <v>118</v>
      </c>
      <c r="R755" s="27" t="str">
        <f>IF(COUNTIF(R752:R754,"Yes"),"Yes","No")</f>
        <v>No</v>
      </c>
      <c r="S755" s="27" t="str">
        <f>IF(COUNTIF(S752:S754,"Yes"),"Yes","No")</f>
        <v>Yes</v>
      </c>
      <c r="U755" s="27" t="s">
        <v>164</v>
      </c>
      <c r="V755" s="27" t="s">
        <v>9</v>
      </c>
      <c r="W755" s="27" t="str">
        <f>O755</f>
        <v>Yes</v>
      </c>
      <c r="X755" s="27" t="str">
        <f t="shared" si="323"/>
        <v>No</v>
      </c>
    </row>
    <row r="756" spans="1:38" x14ac:dyDescent="0.2">
      <c r="A756" s="27" t="s">
        <v>109</v>
      </c>
      <c r="B756" s="27" t="s">
        <v>54</v>
      </c>
      <c r="C756" s="27">
        <v>10</v>
      </c>
      <c r="D756" s="27" t="s">
        <v>33</v>
      </c>
      <c r="F756" s="27" t="str">
        <f>IF(C756&gt;$W$5,"Yes","No")</f>
        <v>No</v>
      </c>
      <c r="G756" s="27" t="s">
        <v>9</v>
      </c>
      <c r="J756" s="27" t="s">
        <v>22</v>
      </c>
      <c r="K756" s="27">
        <v>2.5</v>
      </c>
      <c r="L756" s="27" t="s">
        <v>12</v>
      </c>
      <c r="M756" s="27" t="s">
        <v>43</v>
      </c>
      <c r="N756" s="27" t="str">
        <f>IF(K756="N/A","No", IF(K756&gt;5000,"Yes","No"))</f>
        <v>No</v>
      </c>
      <c r="O756" s="27" t="str">
        <f>IF(K756="Not","No",IF(K756="n/a","N/A",IF(K756&gt;$Y$2,"Yes","No")))</f>
        <v>No</v>
      </c>
      <c r="U756" s="27" t="s">
        <v>162</v>
      </c>
      <c r="V756" s="27" t="str">
        <f>R753</f>
        <v>No</v>
      </c>
      <c r="W756" s="27" t="str">
        <f>S753</f>
        <v>Yes</v>
      </c>
      <c r="X756" s="27" t="str">
        <f t="shared" si="323"/>
        <v>No</v>
      </c>
    </row>
    <row r="757" spans="1:38" x14ac:dyDescent="0.2">
      <c r="J757" s="27" t="s">
        <v>25</v>
      </c>
      <c r="K757" s="27">
        <v>2.5</v>
      </c>
      <c r="L757" s="27" t="s">
        <v>12</v>
      </c>
      <c r="M757" s="27" t="s">
        <v>126</v>
      </c>
      <c r="N757" s="27" t="str">
        <f>IF(K757="N/A","No", IF(K757&gt;20,"Yes","No"))</f>
        <v>No</v>
      </c>
      <c r="O757" s="27" t="str">
        <f t="shared" ref="O757:O758" si="325">IF(K757="Not","No",IF(K757="n/a","N/A",IF(K757&gt;$Y$6,"Yes","No")))</f>
        <v>No</v>
      </c>
      <c r="U757" s="27" t="s">
        <v>101</v>
      </c>
      <c r="V757" s="27" t="s">
        <v>9</v>
      </c>
      <c r="W757" s="27" t="s">
        <v>9</v>
      </c>
      <c r="X757" s="27" t="str">
        <f>IF(V757="N/A","N/A",IF(W757="N/A", "N/A", IF(V757=W757, "Yes","No")))</f>
        <v>Yes</v>
      </c>
    </row>
    <row r="758" spans="1:38" x14ac:dyDescent="0.2">
      <c r="J758" s="27" t="s">
        <v>29</v>
      </c>
      <c r="K758" s="27" t="s">
        <v>120</v>
      </c>
      <c r="L758" s="27" t="s">
        <v>12</v>
      </c>
      <c r="M758" s="27" t="s">
        <v>222</v>
      </c>
      <c r="N758" s="27" t="str">
        <f>IF(K758="N/A","No", IF(K758&gt;20,"Yes","No"))</f>
        <v>No</v>
      </c>
      <c r="O758" s="27" t="str">
        <f t="shared" si="325"/>
        <v>N/A</v>
      </c>
      <c r="U758" s="27" t="s">
        <v>104</v>
      </c>
      <c r="V758" s="27" t="s">
        <v>9</v>
      </c>
      <c r="W758" s="27" t="str">
        <f>O759</f>
        <v>No</v>
      </c>
      <c r="X758" s="27" t="str">
        <f>IF(V758="N/A","N/A",IF(W758="N/A", "N/A", IF(V758=W758, "Yes","No")))</f>
        <v>Yes</v>
      </c>
    </row>
    <row r="759" spans="1:38" x14ac:dyDescent="0.2">
      <c r="J759" s="27" t="s">
        <v>34</v>
      </c>
      <c r="K759" s="27">
        <v>2.5</v>
      </c>
      <c r="L759" s="27" t="s">
        <v>12</v>
      </c>
      <c r="M759" s="27" t="s">
        <v>210</v>
      </c>
      <c r="N759" s="27" t="str">
        <f>IF(K759="N/A","No", IF(K759&gt;230,"Yes","No"))</f>
        <v>No</v>
      </c>
      <c r="O759" s="27" t="str">
        <f>IF(K759="Not","No",IF(K759="n/a","N/A",IF(K759&gt;$Y$5,"Yes","No")))</f>
        <v>No</v>
      </c>
      <c r="U759" s="27" t="s">
        <v>106</v>
      </c>
      <c r="V759" s="27" t="str">
        <f>R754</f>
        <v>No</v>
      </c>
      <c r="W759" s="27" t="str">
        <f>S754</f>
        <v>No</v>
      </c>
      <c r="X759" s="27" t="str">
        <f>IF(V759="N/A","N/A",IF(W759="N/A", "N/A", IF(V759=W759, "Yes","No")))</f>
        <v>Yes</v>
      </c>
    </row>
    <row r="760" spans="1:38" x14ac:dyDescent="0.2">
      <c r="J760" s="27" t="s">
        <v>208</v>
      </c>
      <c r="K760" s="27">
        <v>29.1</v>
      </c>
      <c r="L760" s="27" t="s">
        <v>12</v>
      </c>
      <c r="M760" s="27" t="s">
        <v>223</v>
      </c>
      <c r="N760" s="27" t="str">
        <f>IF(K760="N/A","No", IF(K760&gt;20,"Yes","No"))</f>
        <v>Yes</v>
      </c>
      <c r="O760" s="27" t="str">
        <f>IF(K760="Not","No",IF(K760="n/a","N/A",IF(K760&gt;$Y$7,"Yes","No")))</f>
        <v>No</v>
      </c>
      <c r="U760" s="27" t="s">
        <v>121</v>
      </c>
      <c r="V760" s="27" t="str">
        <f>R755</f>
        <v>No</v>
      </c>
      <c r="W760" s="27" t="str">
        <f>S755</f>
        <v>Yes</v>
      </c>
      <c r="X760" s="27" t="str">
        <f>IF(V760="N/A","N/A",IF(W760="N/A", "N/A", IF(V760=W760, "Yes","No")))</f>
        <v>No</v>
      </c>
    </row>
    <row r="762" spans="1:38" x14ac:dyDescent="0.2">
      <c r="A762" s="27">
        <v>1245</v>
      </c>
      <c r="B762" s="27" t="s">
        <v>111</v>
      </c>
      <c r="C762" s="27">
        <v>51</v>
      </c>
    </row>
    <row r="763" spans="1:38" x14ac:dyDescent="0.2">
      <c r="A763" s="59" t="s">
        <v>0</v>
      </c>
      <c r="E763" s="27" t="s">
        <v>274</v>
      </c>
      <c r="F763" s="27" t="s">
        <v>275</v>
      </c>
      <c r="G763" s="27" t="s">
        <v>119</v>
      </c>
      <c r="J763" s="59" t="s">
        <v>1</v>
      </c>
      <c r="N763" s="27" t="s">
        <v>277</v>
      </c>
      <c r="O763" s="27" t="s">
        <v>278</v>
      </c>
      <c r="Q763" s="59" t="s">
        <v>115</v>
      </c>
      <c r="R763" s="59" t="s">
        <v>0</v>
      </c>
      <c r="S763" s="59" t="s">
        <v>1</v>
      </c>
      <c r="U763" s="59" t="s">
        <v>115</v>
      </c>
      <c r="V763" s="59" t="s">
        <v>0</v>
      </c>
      <c r="W763" s="59" t="s">
        <v>1</v>
      </c>
      <c r="X763" s="59" t="s">
        <v>122</v>
      </c>
      <c r="AA763" s="27" t="str">
        <f>IF(R764="Yes","LRA-Soil","")</f>
        <v>LRA-Soil</v>
      </c>
      <c r="AB763" s="27" t="str">
        <f>IF(R765="Yes","LRA-Paint","")</f>
        <v/>
      </c>
      <c r="AC763" s="27" t="str">
        <f>IF(R766="Yes","LRA-Dust","")</f>
        <v/>
      </c>
      <c r="AD763" s="27" t="str">
        <f>IF(S764="Yes","LSK-Soil","")</f>
        <v>LSK-Soil</v>
      </c>
      <c r="AE763" s="27" t="str">
        <f>IF(S765="Yes","LSK-Paint","")</f>
        <v/>
      </c>
      <c r="AF763" s="27" t="str">
        <f>IF(S766="Yes","LSK-Dust","")</f>
        <v/>
      </c>
      <c r="AI763" s="27" t="s">
        <v>46</v>
      </c>
      <c r="AJ763" s="27" t="s">
        <v>43</v>
      </c>
      <c r="AK763" s="27" t="s">
        <v>116</v>
      </c>
      <c r="AL763" s="27" t="s">
        <v>117</v>
      </c>
    </row>
    <row r="764" spans="1:38" x14ac:dyDescent="0.2">
      <c r="A764" s="27" t="s">
        <v>63</v>
      </c>
      <c r="B764" s="27" t="s">
        <v>18</v>
      </c>
      <c r="C764" s="27">
        <v>0</v>
      </c>
      <c r="D764" s="27" t="s">
        <v>4</v>
      </c>
      <c r="F764" s="27" t="str">
        <f t="shared" ref="F764" si="326">IF(C764&gt;=$W$2,"Yes","No")</f>
        <v>No</v>
      </c>
      <c r="G764" s="27" t="s">
        <v>9</v>
      </c>
      <c r="H764" s="27" t="s">
        <v>46</v>
      </c>
      <c r="J764" s="27" t="s">
        <v>6</v>
      </c>
      <c r="K764" s="27">
        <v>87</v>
      </c>
      <c r="L764" s="27" t="s">
        <v>12</v>
      </c>
      <c r="M764" s="27" t="s">
        <v>114</v>
      </c>
      <c r="N764" s="27" t="str">
        <f>IF(K764="N/A","No", IF(K764&gt;1200,"Yes","No"))</f>
        <v>No</v>
      </c>
      <c r="O764" s="27" t="str">
        <f>IF(K764="Not","No",IF(K764="n/a","N/A",IF(K764&gt;=$Y$3,"Yes","No")))</f>
        <v>No</v>
      </c>
      <c r="Q764" s="27" t="s">
        <v>116</v>
      </c>
      <c r="R764" s="27" t="str">
        <f>_xlfn.XLOOKUP("ppm",D764:D768,F764:F768,"N/A")</f>
        <v>Yes</v>
      </c>
      <c r="S764" s="27" t="str">
        <f>IF(COUNTIF(O764:O766,"Yes"),"Yes","No")</f>
        <v>Yes</v>
      </c>
      <c r="U764" s="27" t="s">
        <v>92</v>
      </c>
      <c r="V764" s="27" t="s">
        <v>5</v>
      </c>
      <c r="W764" s="27" t="s">
        <v>120</v>
      </c>
      <c r="X764" s="27" t="str">
        <f>IF(V764="N/A","N/A",IF(W764="N/A", "N/A", IF(V764=W764, "Yes","No")))</f>
        <v>N/A</v>
      </c>
      <c r="AI764" s="27">
        <f>COUNTIF(H763:H768,"Exterior")</f>
        <v>1</v>
      </c>
      <c r="AJ764" s="27">
        <f>COUNTIF(H763:H768, "Interior")</f>
        <v>1</v>
      </c>
      <c r="AK764" s="27">
        <f>COUNTIFS(D763:D768,"ppm")+COUNTIFS(D763:D768,"mg/Kg")</f>
        <v>1</v>
      </c>
      <c r="AL764" s="27">
        <f>COUNTIF(D763:D768,"ug/ft2")</f>
        <v>2</v>
      </c>
    </row>
    <row r="765" spans="1:38" x14ac:dyDescent="0.2">
      <c r="A765" s="27" t="s">
        <v>317</v>
      </c>
      <c r="B765" s="27" t="s">
        <v>28</v>
      </c>
      <c r="C765" s="27">
        <v>422</v>
      </c>
      <c r="D765" s="27" t="s">
        <v>12</v>
      </c>
      <c r="F765" s="27" t="str">
        <f>IF(C765&gt;$W$3,"Yes","No")</f>
        <v>Yes</v>
      </c>
      <c r="G765" s="27" t="s">
        <v>5</v>
      </c>
      <c r="J765" s="27" t="s">
        <v>11</v>
      </c>
      <c r="K765" s="27">
        <v>599</v>
      </c>
      <c r="L765" s="27" t="s">
        <v>12</v>
      </c>
      <c r="M765" s="27" t="s">
        <v>67</v>
      </c>
      <c r="N765" s="27" t="str">
        <f t="shared" ref="N765:N766" si="327">IF(K765="N/A","No", IF(K765&gt;1200,"Yes","No"))</f>
        <v>No</v>
      </c>
      <c r="O765" s="27" t="str">
        <f t="shared" ref="O765:O766" si="328">IF(K765="Not","No",IF(K765="n/a","N/A",IF(K765&gt;$Y$3,"Yes","No")))</f>
        <v>Yes</v>
      </c>
      <c r="Q765" s="27" t="s">
        <v>98</v>
      </c>
      <c r="R765" s="27" t="str">
        <f>_xlfn.XLOOKUP("mg/cm2",D764:D768,G764:G768,"N/A",1,-1)</f>
        <v>No</v>
      </c>
      <c r="S765" s="27" t="str">
        <f>IF(COUNTIF(O767:O768,"Yes"),"Yes","No")</f>
        <v>No</v>
      </c>
      <c r="U765" s="27" t="s">
        <v>95</v>
      </c>
      <c r="V765" s="27" t="str">
        <f>R764</f>
        <v>Yes</v>
      </c>
      <c r="W765" s="27" t="str">
        <f>S764</f>
        <v>Yes</v>
      </c>
      <c r="X765" s="27" t="str">
        <f t="shared" ref="X765:X768" si="329">IF(V765="N/A","N/A",IF(W765="N/A", "N/A", IF(V765=W765, "Yes","No")))</f>
        <v>Yes</v>
      </c>
    </row>
    <row r="766" spans="1:38" x14ac:dyDescent="0.2">
      <c r="A766" s="27" t="s">
        <v>71</v>
      </c>
      <c r="B766" s="27" t="s">
        <v>77</v>
      </c>
      <c r="C766" s="27">
        <v>0</v>
      </c>
      <c r="D766" s="27" t="s">
        <v>4</v>
      </c>
      <c r="F766" s="27" t="str">
        <f t="shared" ref="F766" si="330">IF(C766&gt;=$W$2,"Yes","No")</f>
        <v>No</v>
      </c>
      <c r="G766" s="27" t="s">
        <v>9</v>
      </c>
      <c r="H766" s="27" t="s">
        <v>43</v>
      </c>
      <c r="J766" s="27" t="s">
        <v>15</v>
      </c>
      <c r="K766" s="27">
        <v>50.8</v>
      </c>
      <c r="L766" s="27" t="s">
        <v>12</v>
      </c>
      <c r="M766" s="27" t="s">
        <v>112</v>
      </c>
      <c r="N766" s="27" t="str">
        <f t="shared" si="327"/>
        <v>No</v>
      </c>
      <c r="O766" s="27" t="str">
        <f t="shared" si="328"/>
        <v>No</v>
      </c>
      <c r="Q766" s="27" t="s">
        <v>117</v>
      </c>
      <c r="R766" s="27" t="str">
        <f>_xlfn.XLOOKUP("ug/ft2",D764:D768,F764:F768,"N/A")</f>
        <v>No</v>
      </c>
      <c r="S766" s="27" t="str">
        <f>IF(COUNTIF(O769:O772,"Yes"),"Yes","No")</f>
        <v>No</v>
      </c>
      <c r="U766" s="27" t="s">
        <v>163</v>
      </c>
      <c r="V766" s="27" t="s">
        <v>9</v>
      </c>
      <c r="W766" s="27" t="str">
        <f>O768</f>
        <v>No</v>
      </c>
      <c r="X766" s="27" t="str">
        <f t="shared" si="329"/>
        <v>Yes</v>
      </c>
    </row>
    <row r="767" spans="1:38" x14ac:dyDescent="0.2">
      <c r="A767" s="27" t="s">
        <v>158</v>
      </c>
      <c r="B767" s="27" t="s">
        <v>32</v>
      </c>
      <c r="C767" s="27">
        <v>3</v>
      </c>
      <c r="D767" s="27" t="s">
        <v>33</v>
      </c>
      <c r="F767" s="27" t="str">
        <f t="shared" ref="F767" si="331">IF(C767&gt;$W$6,"Yes","No")</f>
        <v>No</v>
      </c>
      <c r="G767" s="27" t="s">
        <v>9</v>
      </c>
      <c r="J767" s="27" t="s">
        <v>19</v>
      </c>
      <c r="K767" s="27">
        <v>2.5</v>
      </c>
      <c r="L767" s="27" t="s">
        <v>12</v>
      </c>
      <c r="M767" s="27" t="s">
        <v>46</v>
      </c>
      <c r="N767" s="27" t="str">
        <f>IF(K767="N/A","No", IF(K767&gt;5000,"Yes","No"))</f>
        <v>No</v>
      </c>
      <c r="O767" s="27" t="str">
        <f>IF(K767="Not","No",IF(K767="n/a","N/A",IF(K767&gt;$Y$2,"Yes","No")))</f>
        <v>No</v>
      </c>
      <c r="Q767" s="27" t="s">
        <v>118</v>
      </c>
      <c r="R767" s="27" t="str">
        <f>IF(COUNTIF(R764:R766,"Yes"),"Yes","No")</f>
        <v>Yes</v>
      </c>
      <c r="S767" s="27" t="str">
        <f>IF(COUNTIF(S764:S766,"Yes"),"Yes","No")</f>
        <v>Yes</v>
      </c>
      <c r="U767" s="27" t="s">
        <v>164</v>
      </c>
      <c r="V767" s="27" t="s">
        <v>9</v>
      </c>
      <c r="W767" s="27" t="str">
        <f>O767</f>
        <v>No</v>
      </c>
      <c r="X767" s="27" t="str">
        <f t="shared" si="329"/>
        <v>Yes</v>
      </c>
    </row>
    <row r="768" spans="1:38" x14ac:dyDescent="0.2">
      <c r="A768" s="27" t="s">
        <v>158</v>
      </c>
      <c r="B768" s="27" t="s">
        <v>54</v>
      </c>
      <c r="C768" s="27">
        <v>11</v>
      </c>
      <c r="D768" s="27" t="s">
        <v>33</v>
      </c>
      <c r="F768" s="27" t="str">
        <f>IF(C768&gt;$W$5,"Yes","No")</f>
        <v>No</v>
      </c>
      <c r="G768" s="27" t="s">
        <v>9</v>
      </c>
      <c r="J768" s="27" t="s">
        <v>22</v>
      </c>
      <c r="K768" s="27">
        <v>2.5</v>
      </c>
      <c r="L768" s="27" t="s">
        <v>12</v>
      </c>
      <c r="M768" s="27" t="s">
        <v>43</v>
      </c>
      <c r="N768" s="27" t="str">
        <f>IF(K768="N/A","No", IF(K768&gt;5000,"Yes","No"))</f>
        <v>No</v>
      </c>
      <c r="O768" s="27" t="str">
        <f>IF(K768="Not","No",IF(K768="n/a","N/A",IF(K768&gt;$Y$2,"Yes","No")))</f>
        <v>No</v>
      </c>
      <c r="U768" s="27" t="s">
        <v>162</v>
      </c>
      <c r="V768" s="27" t="str">
        <f>R765</f>
        <v>No</v>
      </c>
      <c r="W768" s="27" t="str">
        <f>S765</f>
        <v>No</v>
      </c>
      <c r="X768" s="27" t="str">
        <f t="shared" si="329"/>
        <v>Yes</v>
      </c>
    </row>
    <row r="769" spans="1:38" x14ac:dyDescent="0.2">
      <c r="J769" s="27" t="s">
        <v>25</v>
      </c>
      <c r="K769" s="27">
        <v>8</v>
      </c>
      <c r="L769" s="27" t="s">
        <v>12</v>
      </c>
      <c r="M769" s="27" t="s">
        <v>126</v>
      </c>
      <c r="N769" s="27" t="str">
        <f>IF(K769="N/A","No", IF(K769&gt;20,"Yes","No"))</f>
        <v>No</v>
      </c>
      <c r="O769" s="27" t="str">
        <f t="shared" ref="O769:O770" si="332">IF(K769="Not","No",IF(K769="n/a","N/A",IF(K769&gt;$Y$6,"Yes","No")))</f>
        <v>No</v>
      </c>
      <c r="U769" s="27" t="s">
        <v>101</v>
      </c>
      <c r="V769" s="27" t="s">
        <v>9</v>
      </c>
      <c r="W769" s="27" t="s">
        <v>9</v>
      </c>
      <c r="X769" s="27" t="str">
        <f>IF(V769="N/A","N/A",IF(W769="N/A", "N/A", IF(V769=W769, "Yes","No")))</f>
        <v>Yes</v>
      </c>
    </row>
    <row r="770" spans="1:38" x14ac:dyDescent="0.2">
      <c r="J770" s="27" t="s">
        <v>29</v>
      </c>
      <c r="K770" s="27">
        <v>2.5</v>
      </c>
      <c r="L770" s="27" t="s">
        <v>12</v>
      </c>
      <c r="M770" s="27" t="s">
        <v>222</v>
      </c>
      <c r="N770" s="27" t="str">
        <f>IF(K770="N/A","No", IF(K770&gt;20,"Yes","No"))</f>
        <v>No</v>
      </c>
      <c r="O770" s="27" t="str">
        <f t="shared" si="332"/>
        <v>No</v>
      </c>
      <c r="U770" s="27" t="s">
        <v>104</v>
      </c>
      <c r="V770" s="27" t="s">
        <v>9</v>
      </c>
      <c r="W770" s="27" t="str">
        <f>O771</f>
        <v>No</v>
      </c>
      <c r="X770" s="27" t="str">
        <f>IF(V770="N/A","N/A",IF(W770="N/A", "N/A", IF(V770=W770, "Yes","No")))</f>
        <v>Yes</v>
      </c>
    </row>
    <row r="771" spans="1:38" x14ac:dyDescent="0.2">
      <c r="J771" s="27" t="s">
        <v>34</v>
      </c>
      <c r="K771" s="27">
        <v>2.5</v>
      </c>
      <c r="L771" s="27" t="s">
        <v>12</v>
      </c>
      <c r="M771" s="27" t="s">
        <v>210</v>
      </c>
      <c r="N771" s="27" t="str">
        <f>IF(K771="N/A","No", IF(K771&gt;230,"Yes","No"))</f>
        <v>No</v>
      </c>
      <c r="O771" s="27" t="str">
        <f>IF(K771="Not","No",IF(K771="n/a","N/A",IF(K771&gt;$Y$5,"Yes","No")))</f>
        <v>No</v>
      </c>
      <c r="U771" s="27" t="s">
        <v>106</v>
      </c>
      <c r="V771" s="27" t="str">
        <f>R766</f>
        <v>No</v>
      </c>
      <c r="W771" s="27" t="str">
        <f>S766</f>
        <v>No</v>
      </c>
      <c r="X771" s="27" t="str">
        <f>IF(V771="N/A","N/A",IF(W771="N/A", "N/A", IF(V771=W771, "Yes","No")))</f>
        <v>Yes</v>
      </c>
    </row>
    <row r="772" spans="1:38" x14ac:dyDescent="0.2">
      <c r="J772" s="27" t="s">
        <v>208</v>
      </c>
      <c r="K772" s="27">
        <v>74</v>
      </c>
      <c r="L772" s="27" t="s">
        <v>12</v>
      </c>
      <c r="M772" s="27" t="s">
        <v>223</v>
      </c>
      <c r="N772" s="27" t="str">
        <f>IF(K772="N/A","No", IF(K772&gt;20,"Yes","No"))</f>
        <v>Yes</v>
      </c>
      <c r="O772" s="27" t="str">
        <f>IF(K772="Not","No",IF(K772="n/a","N/A",IF(K772&gt;$Y$7,"Yes","No")))</f>
        <v>No</v>
      </c>
      <c r="U772" s="27" t="s">
        <v>121</v>
      </c>
      <c r="V772" s="27" t="str">
        <f>R767</f>
        <v>Yes</v>
      </c>
      <c r="W772" s="27" t="str">
        <f>S767</f>
        <v>Yes</v>
      </c>
      <c r="X772" s="27" t="str">
        <f>IF(V772="N/A","N/A",IF(W772="N/A", "N/A", IF(V772=W772, "Yes","No")))</f>
        <v>Yes</v>
      </c>
    </row>
    <row r="774" spans="1:38" x14ac:dyDescent="0.2">
      <c r="A774" s="27">
        <v>1246</v>
      </c>
      <c r="B774" s="27" t="s">
        <v>111</v>
      </c>
      <c r="C774" s="27">
        <v>52</v>
      </c>
    </row>
    <row r="775" spans="1:38" x14ac:dyDescent="0.2">
      <c r="A775" s="59" t="s">
        <v>0</v>
      </c>
      <c r="E775" s="27" t="s">
        <v>274</v>
      </c>
      <c r="F775" s="27" t="s">
        <v>275</v>
      </c>
      <c r="G775" s="27" t="s">
        <v>119</v>
      </c>
      <c r="J775" s="59" t="s">
        <v>1</v>
      </c>
      <c r="N775" s="27" t="s">
        <v>277</v>
      </c>
      <c r="O775" s="27" t="s">
        <v>278</v>
      </c>
      <c r="Q775" s="59" t="s">
        <v>115</v>
      </c>
      <c r="R775" s="59" t="s">
        <v>0</v>
      </c>
      <c r="S775" s="59" t="s">
        <v>1</v>
      </c>
      <c r="U775" s="59" t="s">
        <v>115</v>
      </c>
      <c r="V775" s="59" t="s">
        <v>0</v>
      </c>
      <c r="W775" s="59" t="s">
        <v>1</v>
      </c>
      <c r="X775" s="59" t="s">
        <v>122</v>
      </c>
      <c r="AA775" s="27" t="str">
        <f>IF(R776="Yes","LRA-Soil","")</f>
        <v/>
      </c>
      <c r="AB775" s="27" t="str">
        <f>IF(R777="Yes","LRA-Paint","")</f>
        <v>LRA-Paint</v>
      </c>
      <c r="AC775" s="27" t="str">
        <f>IF(R778="Yes","LRA-Dust","")</f>
        <v/>
      </c>
      <c r="AD775" s="27" t="str">
        <f>IF(S776="Yes","LSK-Soil","")</f>
        <v/>
      </c>
      <c r="AE775" s="27" t="str">
        <f>IF(S777="Yes","LSK-Paint","")</f>
        <v>LSK-Paint</v>
      </c>
      <c r="AF775" s="27" t="str">
        <f>IF(S778="Yes","LSK-Dust","")</f>
        <v>LSK-Dust</v>
      </c>
      <c r="AI775" s="27" t="s">
        <v>46</v>
      </c>
      <c r="AJ775" s="27" t="s">
        <v>43</v>
      </c>
      <c r="AK775" s="27" t="s">
        <v>116</v>
      </c>
      <c r="AL775" s="27" t="s">
        <v>117</v>
      </c>
    </row>
    <row r="776" spans="1:38" x14ac:dyDescent="0.2">
      <c r="A776" s="27" t="s">
        <v>235</v>
      </c>
      <c r="B776" s="27" t="s">
        <v>221</v>
      </c>
      <c r="C776" s="27">
        <v>9.6</v>
      </c>
      <c r="D776" s="27" t="s">
        <v>4</v>
      </c>
      <c r="E776" s="27" t="s">
        <v>5</v>
      </c>
      <c r="F776" s="27" t="str">
        <f t="shared" ref="F776:F778" si="333">IF(C776&gt;=$W$2,"Yes","No")</f>
        <v>Yes</v>
      </c>
      <c r="G776" s="27" t="s">
        <v>5</v>
      </c>
      <c r="H776" s="27" t="s">
        <v>46</v>
      </c>
      <c r="J776" s="27" t="s">
        <v>6</v>
      </c>
      <c r="K776" s="27">
        <v>28.4</v>
      </c>
      <c r="L776" s="27" t="s">
        <v>12</v>
      </c>
      <c r="M776" s="27" t="s">
        <v>114</v>
      </c>
      <c r="N776" s="27" t="str">
        <f>IF(K776="N/A","No", IF(K776&gt;1200,"Yes","No"))</f>
        <v>No</v>
      </c>
      <c r="O776" s="27" t="str">
        <f>IF(K776="Not","No",IF(K776="n/a","N/A",IF(K776&gt;=$Y$3,"Yes","No")))</f>
        <v>No</v>
      </c>
      <c r="Q776" s="27" t="s">
        <v>116</v>
      </c>
      <c r="R776" s="27" t="str">
        <f>_xlfn.XLOOKUP("ppm",D776:D790,F776:F790,"N/A")</f>
        <v>No</v>
      </c>
      <c r="S776" s="27" t="str">
        <f>IF(COUNTIF(O776:O778,"Yes"),"Yes","No")</f>
        <v>No</v>
      </c>
      <c r="U776" s="27" t="s">
        <v>92</v>
      </c>
      <c r="V776" s="27" t="s">
        <v>120</v>
      </c>
      <c r="W776" s="27" t="s">
        <v>120</v>
      </c>
      <c r="X776" s="27" t="str">
        <f>IF(V776="N/A","N/A",IF(W776="N/A", "N/A", IF(V776=W776, "Yes","No")))</f>
        <v>N/A</v>
      </c>
      <c r="AI776" s="27">
        <f>COUNTIF(H775:H790,"Exterior")</f>
        <v>3</v>
      </c>
      <c r="AJ776" s="27">
        <f>COUNTIF(H775:H790, "Interior")</f>
        <v>10</v>
      </c>
      <c r="AK776" s="27">
        <f>COUNTIFS(D775:D790,"ppm")+COUNTIFS(D775:D790,"mg/Kg")</f>
        <v>1</v>
      </c>
      <c r="AL776" s="27">
        <f>COUNTIF(D775:D790,"ug/ft2")</f>
        <v>1</v>
      </c>
    </row>
    <row r="777" spans="1:38" x14ac:dyDescent="0.2">
      <c r="A777" s="27" t="s">
        <v>235</v>
      </c>
      <c r="B777" s="27" t="s">
        <v>318</v>
      </c>
      <c r="C777" s="27">
        <v>9.6</v>
      </c>
      <c r="D777" s="27" t="s">
        <v>4</v>
      </c>
      <c r="E777" s="27" t="s">
        <v>5</v>
      </c>
      <c r="F777" s="27" t="str">
        <f t="shared" si="333"/>
        <v>Yes</v>
      </c>
      <c r="G777" s="27" t="s">
        <v>5</v>
      </c>
      <c r="H777" s="27" t="s">
        <v>46</v>
      </c>
      <c r="J777" s="27" t="s">
        <v>11</v>
      </c>
      <c r="K777" s="27">
        <v>67.900000000000006</v>
      </c>
      <c r="L777" s="27" t="s">
        <v>12</v>
      </c>
      <c r="M777" s="27" t="s">
        <v>67</v>
      </c>
      <c r="N777" s="27" t="str">
        <f t="shared" ref="N777:N778" si="334">IF(K777="N/A","No", IF(K777&gt;1200,"Yes","No"))</f>
        <v>No</v>
      </c>
      <c r="O777" s="27" t="str">
        <f t="shared" ref="O777:O778" si="335">IF(K777="Not","No",IF(K777="n/a","N/A",IF(K777&gt;$Y$3,"Yes","No")))</f>
        <v>No</v>
      </c>
      <c r="Q777" s="27" t="s">
        <v>98</v>
      </c>
      <c r="R777" s="27" t="str">
        <f>_xlfn.XLOOKUP("mg/cm2",D776:D790,G776:G790,"N/A",1,-1)</f>
        <v>Yes</v>
      </c>
      <c r="S777" s="27" t="str">
        <f>IF(COUNTIF(O779:O780,"Yes"),"Yes","No")</f>
        <v>Yes</v>
      </c>
      <c r="U777" s="27" t="s">
        <v>95</v>
      </c>
      <c r="V777" s="27" t="str">
        <f>R776</f>
        <v>No</v>
      </c>
      <c r="W777" s="27" t="str">
        <f>S776</f>
        <v>No</v>
      </c>
      <c r="X777" s="27" t="str">
        <f t="shared" ref="X777:X780" si="336">IF(V777="N/A","N/A",IF(W777="N/A", "N/A", IF(V777=W777, "Yes","No")))</f>
        <v>Yes</v>
      </c>
    </row>
    <row r="778" spans="1:38" x14ac:dyDescent="0.2">
      <c r="A778" s="27" t="s">
        <v>235</v>
      </c>
      <c r="B778" s="27" t="s">
        <v>318</v>
      </c>
      <c r="C778" s="27">
        <v>1.6</v>
      </c>
      <c r="D778" s="27" t="s">
        <v>4</v>
      </c>
      <c r="E778" s="27" t="s">
        <v>5</v>
      </c>
      <c r="F778" s="27" t="str">
        <f t="shared" si="333"/>
        <v>Yes</v>
      </c>
      <c r="G778" s="27" t="s">
        <v>5</v>
      </c>
      <c r="H778" s="27" t="s">
        <v>46</v>
      </c>
      <c r="J778" s="27" t="s">
        <v>15</v>
      </c>
      <c r="K778" s="27">
        <v>71.5</v>
      </c>
      <c r="L778" s="27" t="s">
        <v>12</v>
      </c>
      <c r="M778" s="27" t="s">
        <v>112</v>
      </c>
      <c r="N778" s="27" t="str">
        <f t="shared" si="334"/>
        <v>No</v>
      </c>
      <c r="O778" s="27" t="str">
        <f t="shared" si="335"/>
        <v>No</v>
      </c>
      <c r="Q778" s="27" t="s">
        <v>117</v>
      </c>
      <c r="R778" s="27" t="str">
        <f>_xlfn.XLOOKUP("ug/ft2",D776:D790,F776:F790,"N/A")</f>
        <v>No</v>
      </c>
      <c r="S778" s="27" t="str">
        <f>IF(COUNTIF(O781:O784,"Yes"),"Yes","No")</f>
        <v>Yes</v>
      </c>
      <c r="U778" s="27" t="s">
        <v>163</v>
      </c>
      <c r="V778" s="27" t="s">
        <v>5</v>
      </c>
      <c r="W778" s="27" t="str">
        <f>O780</f>
        <v>No</v>
      </c>
      <c r="X778" s="27" t="str">
        <f t="shared" si="336"/>
        <v>No</v>
      </c>
    </row>
    <row r="779" spans="1:38" x14ac:dyDescent="0.2">
      <c r="A779" s="27" t="s">
        <v>200</v>
      </c>
      <c r="B779" s="27" t="s">
        <v>286</v>
      </c>
      <c r="C779" s="27">
        <v>112</v>
      </c>
      <c r="D779" s="27" t="s">
        <v>12</v>
      </c>
      <c r="E779" s="27" t="s">
        <v>9</v>
      </c>
      <c r="F779" s="27" t="str">
        <f>IF(C779&gt;$W$3,"Yes","No")</f>
        <v>No</v>
      </c>
      <c r="G779" s="27" t="s">
        <v>9</v>
      </c>
      <c r="J779" s="27" t="s">
        <v>19</v>
      </c>
      <c r="K779" s="27">
        <v>17489</v>
      </c>
      <c r="L779" s="27" t="s">
        <v>12</v>
      </c>
      <c r="M779" s="27" t="s">
        <v>46</v>
      </c>
      <c r="N779" s="27" t="str">
        <f>IF(K779="N/A","No", IF(K779&gt;5000,"Yes","No"))</f>
        <v>Yes</v>
      </c>
      <c r="O779" s="27" t="str">
        <f>IF(K779="Not","No",IF(K779="n/a","N/A",IF(K779&gt;$Y$2,"Yes","No")))</f>
        <v>Yes</v>
      </c>
      <c r="Q779" s="27" t="s">
        <v>118</v>
      </c>
      <c r="R779" s="27" t="str">
        <f>IF(COUNTIF(R776:R778,"Yes"),"Yes","No")</f>
        <v>Yes</v>
      </c>
      <c r="S779" s="27" t="str">
        <f>IF(COUNTIF(S776:S778,"Yes"),"Yes","No")</f>
        <v>Yes</v>
      </c>
      <c r="U779" s="27" t="s">
        <v>164</v>
      </c>
      <c r="V779" s="27" t="s">
        <v>5</v>
      </c>
      <c r="W779" s="27" t="str">
        <f>O779</f>
        <v>Yes</v>
      </c>
      <c r="X779" s="27" t="str">
        <f t="shared" si="336"/>
        <v>Yes</v>
      </c>
    </row>
    <row r="780" spans="1:38" x14ac:dyDescent="0.2">
      <c r="A780" s="27" t="s">
        <v>287</v>
      </c>
      <c r="B780" s="27" t="s">
        <v>221</v>
      </c>
      <c r="C780" s="27">
        <v>2</v>
      </c>
      <c r="D780" s="27" t="s">
        <v>4</v>
      </c>
      <c r="E780" s="27" t="s">
        <v>5</v>
      </c>
      <c r="F780" s="27" t="str">
        <f t="shared" ref="F780:F789" si="337">IF(C780&gt;=$W$2,"Yes","No")</f>
        <v>Yes</v>
      </c>
      <c r="G780" s="27" t="s">
        <v>5</v>
      </c>
      <c r="H780" s="27" t="s">
        <v>43</v>
      </c>
      <c r="J780" s="27" t="s">
        <v>22</v>
      </c>
      <c r="K780" s="27">
        <v>2.5</v>
      </c>
      <c r="L780" s="27" t="s">
        <v>12</v>
      </c>
      <c r="M780" s="27" t="s">
        <v>43</v>
      </c>
      <c r="N780" s="27" t="str">
        <f>IF(K780="N/A","No", IF(K780&gt;5000,"Yes","No"))</f>
        <v>No</v>
      </c>
      <c r="O780" s="27" t="str">
        <f>IF(K780="Not","No",IF(K780="n/a","N/A",IF(K780&gt;$Y$2,"Yes","No")))</f>
        <v>No</v>
      </c>
      <c r="U780" s="27" t="s">
        <v>162</v>
      </c>
      <c r="V780" s="27" t="str">
        <f>R777</f>
        <v>Yes</v>
      </c>
      <c r="W780" s="27" t="str">
        <f>S777</f>
        <v>Yes</v>
      </c>
      <c r="X780" s="27" t="str">
        <f t="shared" si="336"/>
        <v>Yes</v>
      </c>
    </row>
    <row r="781" spans="1:38" x14ac:dyDescent="0.2">
      <c r="A781" s="27" t="s">
        <v>287</v>
      </c>
      <c r="B781" s="27" t="s">
        <v>236</v>
      </c>
      <c r="C781" s="27">
        <v>1.9</v>
      </c>
      <c r="D781" s="27" t="s">
        <v>4</v>
      </c>
      <c r="E781" s="27" t="s">
        <v>5</v>
      </c>
      <c r="F781" s="27" t="str">
        <f t="shared" si="337"/>
        <v>Yes</v>
      </c>
      <c r="G781" s="27" t="s">
        <v>5</v>
      </c>
      <c r="H781" s="27" t="s">
        <v>43</v>
      </c>
      <c r="J781" s="27" t="s">
        <v>25</v>
      </c>
      <c r="K781" s="27">
        <v>14</v>
      </c>
      <c r="L781" s="27" t="s">
        <v>12</v>
      </c>
      <c r="M781" s="27" t="s">
        <v>126</v>
      </c>
      <c r="N781" s="27" t="str">
        <f>IF(K781="N/A","No", IF(K781&gt;20,"Yes","No"))</f>
        <v>No</v>
      </c>
      <c r="O781" s="27" t="str">
        <f t="shared" ref="O781:O782" si="338">IF(K781="Not","No",IF(K781="n/a","N/A",IF(K781&gt;$Y$6,"Yes","No")))</f>
        <v>No</v>
      </c>
      <c r="U781" s="27" t="s">
        <v>101</v>
      </c>
      <c r="V781" s="27" t="s">
        <v>9</v>
      </c>
      <c r="W781" s="27" t="s">
        <v>9</v>
      </c>
      <c r="X781" s="27" t="str">
        <f>IF(V781="N/A","N/A",IF(W781="N/A", "N/A", IF(V781=W781, "Yes","No")))</f>
        <v>Yes</v>
      </c>
    </row>
    <row r="782" spans="1:38" x14ac:dyDescent="0.2">
      <c r="A782" s="27" t="s">
        <v>289</v>
      </c>
      <c r="B782" s="27" t="s">
        <v>221</v>
      </c>
      <c r="C782" s="27">
        <v>2.6</v>
      </c>
      <c r="D782" s="27" t="s">
        <v>4</v>
      </c>
      <c r="E782" s="27" t="s">
        <v>5</v>
      </c>
      <c r="F782" s="27" t="str">
        <f t="shared" si="337"/>
        <v>Yes</v>
      </c>
      <c r="G782" s="27" t="s">
        <v>5</v>
      </c>
      <c r="H782" s="27" t="s">
        <v>43</v>
      </c>
      <c r="J782" s="27" t="s">
        <v>29</v>
      </c>
      <c r="K782" s="27">
        <v>281</v>
      </c>
      <c r="L782" s="27" t="s">
        <v>12</v>
      </c>
      <c r="M782" s="27" t="s">
        <v>222</v>
      </c>
      <c r="N782" s="27" t="str">
        <f>IF(K782="N/A","No", IF(K782&gt;20,"Yes","No"))</f>
        <v>Yes</v>
      </c>
      <c r="O782" s="27" t="str">
        <f t="shared" si="338"/>
        <v>Yes</v>
      </c>
      <c r="U782" s="27" t="s">
        <v>104</v>
      </c>
      <c r="V782" s="27" t="s">
        <v>120</v>
      </c>
      <c r="W782" s="27" t="str">
        <f>O783</f>
        <v>No</v>
      </c>
      <c r="X782" s="27" t="str">
        <f>IF(V782="N/A","N/A",IF(W782="N/A", "N/A", IF(V782=W782, "Yes","No")))</f>
        <v>N/A</v>
      </c>
    </row>
    <row r="783" spans="1:38" x14ac:dyDescent="0.2">
      <c r="A783" s="27" t="s">
        <v>289</v>
      </c>
      <c r="B783" s="27" t="s">
        <v>236</v>
      </c>
      <c r="C783" s="27">
        <v>2.2000000000000002</v>
      </c>
      <c r="D783" s="27" t="s">
        <v>4</v>
      </c>
      <c r="E783" s="27" t="s">
        <v>5</v>
      </c>
      <c r="F783" s="27" t="str">
        <f t="shared" si="337"/>
        <v>Yes</v>
      </c>
      <c r="G783" s="27" t="s">
        <v>5</v>
      </c>
      <c r="H783" s="27" t="s">
        <v>43</v>
      </c>
      <c r="J783" s="27" t="s">
        <v>34</v>
      </c>
      <c r="K783" s="27">
        <v>2.5</v>
      </c>
      <c r="L783" s="27" t="s">
        <v>12</v>
      </c>
      <c r="M783" s="27" t="s">
        <v>210</v>
      </c>
      <c r="N783" s="27" t="str">
        <f>IF(K783="N/A","No", IF(K783&gt;230,"Yes","No"))</f>
        <v>No</v>
      </c>
      <c r="O783" s="27" t="str">
        <f>IF(K783="Not","No",IF(K783="n/a","N/A",IF(K783&gt;$Y$5,"Yes","No")))</f>
        <v>No</v>
      </c>
      <c r="U783" s="27" t="s">
        <v>106</v>
      </c>
      <c r="V783" s="27" t="str">
        <f>R778</f>
        <v>No</v>
      </c>
      <c r="W783" s="27" t="str">
        <f>S778</f>
        <v>Yes</v>
      </c>
      <c r="X783" s="27" t="str">
        <f>IF(V783="N/A","N/A",IF(W783="N/A", "N/A", IF(V783=W783, "Yes","No")))</f>
        <v>No</v>
      </c>
    </row>
    <row r="784" spans="1:38" x14ac:dyDescent="0.2">
      <c r="A784" s="27" t="s">
        <v>241</v>
      </c>
      <c r="B784" s="27" t="s">
        <v>211</v>
      </c>
      <c r="C784" s="27">
        <v>1.9</v>
      </c>
      <c r="D784" s="27" t="s">
        <v>4</v>
      </c>
      <c r="E784" s="27" t="s">
        <v>5</v>
      </c>
      <c r="F784" s="27" t="str">
        <f t="shared" si="337"/>
        <v>Yes</v>
      </c>
      <c r="G784" s="27" t="s">
        <v>5</v>
      </c>
      <c r="H784" s="27" t="s">
        <v>43</v>
      </c>
      <c r="J784" s="27" t="s">
        <v>208</v>
      </c>
      <c r="K784" s="27">
        <v>84.2</v>
      </c>
      <c r="L784" s="27" t="s">
        <v>12</v>
      </c>
      <c r="M784" s="27" t="s">
        <v>223</v>
      </c>
      <c r="N784" s="27" t="str">
        <f>IF(K784="N/A","No", IF(K784&gt;20,"Yes","No"))</f>
        <v>Yes</v>
      </c>
      <c r="O784" s="27" t="str">
        <f>IF(K784="Not","No",IF(K784="n/a","N/A",IF(K784&gt;$Y$7,"Yes","No")))</f>
        <v>No</v>
      </c>
      <c r="U784" s="27" t="s">
        <v>121</v>
      </c>
      <c r="V784" s="27" t="str">
        <f>R779</f>
        <v>Yes</v>
      </c>
      <c r="W784" s="27" t="str">
        <f>S779</f>
        <v>Yes</v>
      </c>
      <c r="X784" s="27" t="str">
        <f>IF(V784="N/A","N/A",IF(W784="N/A", "N/A", IF(V784=W784, "Yes","No")))</f>
        <v>Yes</v>
      </c>
    </row>
    <row r="785" spans="1:38" x14ac:dyDescent="0.2">
      <c r="A785" s="27" t="s">
        <v>201</v>
      </c>
      <c r="B785" s="27" t="s">
        <v>221</v>
      </c>
      <c r="C785" s="27">
        <v>4.3</v>
      </c>
      <c r="D785" s="27" t="s">
        <v>4</v>
      </c>
      <c r="E785" s="27" t="s">
        <v>5</v>
      </c>
      <c r="F785" s="27" t="str">
        <f t="shared" si="337"/>
        <v>Yes</v>
      </c>
      <c r="G785" s="27" t="s">
        <v>5</v>
      </c>
      <c r="H785" s="27" t="s">
        <v>43</v>
      </c>
    </row>
    <row r="786" spans="1:38" x14ac:dyDescent="0.2">
      <c r="A786" s="27" t="s">
        <v>201</v>
      </c>
      <c r="B786" s="27" t="s">
        <v>221</v>
      </c>
      <c r="C786" s="27">
        <v>2.6</v>
      </c>
      <c r="D786" s="27" t="s">
        <v>4</v>
      </c>
      <c r="E786" s="27" t="s">
        <v>5</v>
      </c>
      <c r="F786" s="27" t="str">
        <f t="shared" si="337"/>
        <v>Yes</v>
      </c>
      <c r="G786" s="27" t="s">
        <v>5</v>
      </c>
      <c r="H786" s="27" t="s">
        <v>43</v>
      </c>
    </row>
    <row r="787" spans="1:38" x14ac:dyDescent="0.2">
      <c r="A787" s="27" t="s">
        <v>201</v>
      </c>
      <c r="B787" s="27" t="s">
        <v>236</v>
      </c>
      <c r="C787" s="27">
        <v>2</v>
      </c>
      <c r="D787" s="27" t="s">
        <v>4</v>
      </c>
      <c r="E787" s="27" t="s">
        <v>5</v>
      </c>
      <c r="F787" s="27" t="str">
        <f t="shared" si="337"/>
        <v>Yes</v>
      </c>
      <c r="G787" s="27" t="s">
        <v>5</v>
      </c>
      <c r="H787" s="27" t="s">
        <v>43</v>
      </c>
    </row>
    <row r="788" spans="1:38" x14ac:dyDescent="0.2">
      <c r="A788" s="27" t="s">
        <v>237</v>
      </c>
      <c r="B788" s="27" t="s">
        <v>221</v>
      </c>
      <c r="C788" s="27">
        <v>11.1</v>
      </c>
      <c r="D788" s="27" t="s">
        <v>4</v>
      </c>
      <c r="E788" s="27" t="s">
        <v>5</v>
      </c>
      <c r="F788" s="27" t="str">
        <f t="shared" si="337"/>
        <v>Yes</v>
      </c>
      <c r="G788" s="27" t="s">
        <v>5</v>
      </c>
      <c r="H788" s="27" t="s">
        <v>43</v>
      </c>
    </row>
    <row r="789" spans="1:38" x14ac:dyDescent="0.2">
      <c r="A789" s="27" t="s">
        <v>237</v>
      </c>
      <c r="B789" s="27" t="s">
        <v>236</v>
      </c>
      <c r="C789" s="27">
        <v>4.9000000000000004</v>
      </c>
      <c r="D789" s="27" t="s">
        <v>4</v>
      </c>
      <c r="E789" s="27" t="s">
        <v>5</v>
      </c>
      <c r="F789" s="27" t="str">
        <f t="shared" si="337"/>
        <v>Yes</v>
      </c>
      <c r="G789" s="27" t="s">
        <v>5</v>
      </c>
      <c r="H789" s="27" t="s">
        <v>43</v>
      </c>
    </row>
    <row r="790" spans="1:38" x14ac:dyDescent="0.2">
      <c r="A790" s="27" t="s">
        <v>201</v>
      </c>
      <c r="B790" s="27" t="s">
        <v>214</v>
      </c>
      <c r="C790" s="27">
        <v>3</v>
      </c>
      <c r="D790" s="27" t="s">
        <v>33</v>
      </c>
      <c r="E790" s="27" t="s">
        <v>9</v>
      </c>
      <c r="F790" s="27" t="str">
        <f t="shared" ref="F790" si="339">IF(C790&gt;$W$6,"Yes","No")</f>
        <v>No</v>
      </c>
      <c r="G790" s="27" t="s">
        <v>9</v>
      </c>
    </row>
    <row r="792" spans="1:38" x14ac:dyDescent="0.2">
      <c r="A792" s="27">
        <v>1258</v>
      </c>
      <c r="B792" s="27" t="s">
        <v>319</v>
      </c>
      <c r="C792" s="27">
        <v>53</v>
      </c>
    </row>
    <row r="793" spans="1:38" x14ac:dyDescent="0.2">
      <c r="A793" s="59" t="s">
        <v>0</v>
      </c>
      <c r="E793" s="27" t="s">
        <v>274</v>
      </c>
      <c r="F793" s="27" t="s">
        <v>275</v>
      </c>
      <c r="G793" s="27" t="s">
        <v>119</v>
      </c>
      <c r="J793" s="59" t="s">
        <v>1</v>
      </c>
      <c r="N793" s="27" t="s">
        <v>277</v>
      </c>
      <c r="O793" s="27" t="s">
        <v>278</v>
      </c>
      <c r="Q793" s="59" t="s">
        <v>115</v>
      </c>
      <c r="R793" s="59" t="s">
        <v>0</v>
      </c>
      <c r="S793" s="59" t="s">
        <v>1</v>
      </c>
      <c r="U793" s="59" t="s">
        <v>115</v>
      </c>
      <c r="V793" s="59" t="s">
        <v>0</v>
      </c>
      <c r="W793" s="59" t="s">
        <v>1</v>
      </c>
      <c r="X793" s="59" t="s">
        <v>122</v>
      </c>
      <c r="AA793" s="27" t="str">
        <f>IF(R794="Yes","LRA-Soil","")</f>
        <v>LRA-Soil</v>
      </c>
      <c r="AB793" s="27" t="str">
        <f>IF(R795="Yes","LRA-Paint","")</f>
        <v>LRA-Paint</v>
      </c>
      <c r="AC793" s="27" t="str">
        <f>IF(R796="Yes","LRA-Dust","")</f>
        <v>LRA-Dust</v>
      </c>
      <c r="AD793" s="27" t="str">
        <f>IF(S794="Yes","LSK-Soil","")</f>
        <v/>
      </c>
      <c r="AE793" s="27" t="str">
        <f>IF(S795="Yes","LSK-Paint","")</f>
        <v/>
      </c>
      <c r="AF793" s="27" t="str">
        <f>IF(S796="Yes","LSK-Dust","")</f>
        <v>LSK-Dust</v>
      </c>
      <c r="AI793" s="27" t="s">
        <v>46</v>
      </c>
      <c r="AJ793" s="27" t="s">
        <v>43</v>
      </c>
      <c r="AK793" s="27" t="s">
        <v>116</v>
      </c>
      <c r="AL793" s="27" t="s">
        <v>117</v>
      </c>
    </row>
    <row r="794" spans="1:38" x14ac:dyDescent="0.2">
      <c r="A794" s="27" t="s">
        <v>153</v>
      </c>
      <c r="B794" s="27" t="s">
        <v>24</v>
      </c>
      <c r="C794" s="27">
        <v>48.2</v>
      </c>
      <c r="D794" s="27" t="s">
        <v>4</v>
      </c>
      <c r="F794" s="27" t="str">
        <f t="shared" ref="F794:F796" si="340">IF(C794&gt;=$W$2,"Yes","No")</f>
        <v>Yes</v>
      </c>
      <c r="G794" s="27" t="s">
        <v>5</v>
      </c>
      <c r="H794" s="27" t="s">
        <v>46</v>
      </c>
      <c r="J794" s="27" t="s">
        <v>6</v>
      </c>
      <c r="K794" s="27">
        <v>316</v>
      </c>
      <c r="L794" s="27" t="s">
        <v>12</v>
      </c>
      <c r="M794" s="27" t="s">
        <v>194</v>
      </c>
      <c r="N794" s="27" t="str">
        <f>IF(K794="N/A","No", IF(K794&gt;1200,"Yes","No"))</f>
        <v>No</v>
      </c>
      <c r="O794" s="27" t="str">
        <f>IF(K794="Not","No",IF(K794="n/a","N/A",IF(K794&gt;=$Y$3,"Yes","No")))</f>
        <v>No</v>
      </c>
      <c r="Q794" s="27" t="s">
        <v>116</v>
      </c>
      <c r="R794" s="27" t="str">
        <f>_xlfn.XLOOKUP("ppm",D794:D827,F794:F827,"N/A")</f>
        <v>Yes</v>
      </c>
      <c r="S794" s="27" t="str">
        <f>IF(COUNTIF(O794:O796,"Yes"),"Yes","No")</f>
        <v>No</v>
      </c>
      <c r="U794" s="27" t="s">
        <v>92</v>
      </c>
      <c r="V794" s="27" t="s">
        <v>5</v>
      </c>
      <c r="W794" s="27" t="s">
        <v>120</v>
      </c>
      <c r="X794" s="27" t="str">
        <f>IF(V794="N/A","N/A",IF(W794="N/A", "N/A", IF(V794=W794, "Yes","No")))</f>
        <v>N/A</v>
      </c>
      <c r="AI794" s="27">
        <f>COUNTIF(H793:H827,"Exterior")</f>
        <v>7</v>
      </c>
      <c r="AJ794" s="27">
        <f>COUNTIF(H793:H827, "Interior")</f>
        <v>24</v>
      </c>
      <c r="AK794" s="27">
        <f>COUNTIFS(D793:D827,"ppm")+COUNTIFS(D793:D827,"mg/Kg")</f>
        <v>1</v>
      </c>
      <c r="AL794" s="27">
        <f>COUNTIF(D793:D827,"ug/ft2")</f>
        <v>2</v>
      </c>
    </row>
    <row r="795" spans="1:38" x14ac:dyDescent="0.2">
      <c r="A795" s="27" t="s">
        <v>63</v>
      </c>
      <c r="B795" s="27" t="s">
        <v>10</v>
      </c>
      <c r="C795" s="27">
        <v>43.5</v>
      </c>
      <c r="D795" s="27" t="s">
        <v>4</v>
      </c>
      <c r="F795" s="27" t="str">
        <f t="shared" si="340"/>
        <v>Yes</v>
      </c>
      <c r="G795" s="27" t="s">
        <v>5</v>
      </c>
      <c r="H795" s="27" t="s">
        <v>46</v>
      </c>
      <c r="J795" s="27" t="s">
        <v>11</v>
      </c>
      <c r="K795" s="27">
        <v>121</v>
      </c>
      <c r="L795" s="27" t="s">
        <v>12</v>
      </c>
      <c r="M795" s="27" t="s">
        <v>194</v>
      </c>
      <c r="N795" s="27" t="str">
        <f t="shared" ref="N795:N796" si="341">IF(K795="N/A","No", IF(K795&gt;1200,"Yes","No"))</f>
        <v>No</v>
      </c>
      <c r="O795" s="27" t="str">
        <f t="shared" ref="O795:O796" si="342">IF(K795="Not","No",IF(K795="n/a","N/A",IF(K795&gt;$Y$3,"Yes","No")))</f>
        <v>No</v>
      </c>
      <c r="Q795" s="27" t="s">
        <v>98</v>
      </c>
      <c r="R795" s="27" t="str">
        <f>_xlfn.XLOOKUP("mg/cm2",D794:D827,G794:G827,"N/A",1,-1)</f>
        <v>Yes</v>
      </c>
      <c r="S795" s="27" t="str">
        <f>IF(COUNTIF(O797:O798,"Yes"),"Yes","No")</f>
        <v>No</v>
      </c>
      <c r="U795" s="27" t="s">
        <v>95</v>
      </c>
      <c r="V795" s="27" t="str">
        <f>R794</f>
        <v>Yes</v>
      </c>
      <c r="W795" s="27" t="str">
        <f>S794</f>
        <v>No</v>
      </c>
      <c r="X795" s="27" t="str">
        <f t="shared" ref="X795:X798" si="343">IF(V795="N/A","N/A",IF(W795="N/A", "N/A", IF(V795=W795, "Yes","No")))</f>
        <v>No</v>
      </c>
    </row>
    <row r="796" spans="1:38" x14ac:dyDescent="0.2">
      <c r="A796" s="27" t="s">
        <v>63</v>
      </c>
      <c r="B796" s="27" t="s">
        <v>77</v>
      </c>
      <c r="C796" s="27">
        <v>22.2</v>
      </c>
      <c r="D796" s="27" t="s">
        <v>4</v>
      </c>
      <c r="F796" s="27" t="str">
        <f t="shared" si="340"/>
        <v>Yes</v>
      </c>
      <c r="G796" s="27" t="s">
        <v>5</v>
      </c>
      <c r="H796" s="27" t="s">
        <v>46</v>
      </c>
      <c r="J796" s="27" t="s">
        <v>15</v>
      </c>
      <c r="K796" s="27">
        <v>224</v>
      </c>
      <c r="L796" s="27" t="s">
        <v>12</v>
      </c>
      <c r="M796" s="27" t="s">
        <v>194</v>
      </c>
      <c r="N796" s="27" t="str">
        <f t="shared" si="341"/>
        <v>No</v>
      </c>
      <c r="O796" s="27" t="str">
        <f t="shared" si="342"/>
        <v>No</v>
      </c>
      <c r="Q796" s="27" t="s">
        <v>117</v>
      </c>
      <c r="R796" s="27" t="str">
        <f>_xlfn.XLOOKUP("ug/ft2",D794:D827,F794:F827,"N/A")</f>
        <v>Yes</v>
      </c>
      <c r="S796" s="27" t="str">
        <f>IF(COUNTIF(O799:O802,"Yes"),"Yes","No")</f>
        <v>Yes</v>
      </c>
      <c r="U796" s="27" t="s">
        <v>163</v>
      </c>
      <c r="V796" s="27" t="s">
        <v>5</v>
      </c>
      <c r="W796" s="27" t="s">
        <v>120</v>
      </c>
      <c r="X796" s="27" t="str">
        <f t="shared" si="343"/>
        <v>N/A</v>
      </c>
    </row>
    <row r="797" spans="1:38" x14ac:dyDescent="0.2">
      <c r="A797" s="27" t="s">
        <v>63</v>
      </c>
      <c r="B797" s="27" t="s">
        <v>18</v>
      </c>
      <c r="C797" s="27">
        <v>10</v>
      </c>
      <c r="D797" s="27" t="s">
        <v>4</v>
      </c>
      <c r="F797" s="27" t="str">
        <f>IF(C797&gt;$W$3,"Yes","No")</f>
        <v>No</v>
      </c>
      <c r="G797" s="27" t="s">
        <v>5</v>
      </c>
      <c r="H797" s="27" t="s">
        <v>46</v>
      </c>
      <c r="J797" s="27" t="s">
        <v>19</v>
      </c>
      <c r="K797" s="27">
        <v>42</v>
      </c>
      <c r="L797" s="27" t="s">
        <v>12</v>
      </c>
      <c r="M797" s="27" t="s">
        <v>194</v>
      </c>
      <c r="N797" s="27" t="str">
        <f>IF(K797="N/A","No", IF(K797&gt;5000,"Yes","No"))</f>
        <v>No</v>
      </c>
      <c r="O797" s="27" t="str">
        <f>IF(K797="Not","No",IF(K797="n/a","N/A",IF(K797&gt;$Y$2,"Yes","No")))</f>
        <v>No</v>
      </c>
      <c r="Q797" s="27" t="s">
        <v>118</v>
      </c>
      <c r="R797" s="27" t="str">
        <f>IF(COUNTIF(R794:R796,"Yes"),"Yes","No")</f>
        <v>Yes</v>
      </c>
      <c r="S797" s="27" t="str">
        <f>IF(COUNTIF(S794:S796,"Yes"),"Yes","No")</f>
        <v>Yes</v>
      </c>
      <c r="U797" s="27" t="s">
        <v>164</v>
      </c>
      <c r="V797" s="27" t="s">
        <v>5</v>
      </c>
      <c r="W797" s="27" t="s">
        <v>120</v>
      </c>
      <c r="X797" s="27" t="str">
        <f t="shared" si="343"/>
        <v>N/A</v>
      </c>
    </row>
    <row r="798" spans="1:38" x14ac:dyDescent="0.2">
      <c r="A798" s="27" t="s">
        <v>63</v>
      </c>
      <c r="B798" s="27" t="s">
        <v>24</v>
      </c>
      <c r="C798" s="27">
        <v>5.3</v>
      </c>
      <c r="D798" s="27" t="s">
        <v>4</v>
      </c>
      <c r="F798" s="27" t="str">
        <f t="shared" ref="F798:F825" si="344">IF(C798&gt;=$W$2,"Yes","No")</f>
        <v>Yes</v>
      </c>
      <c r="G798" s="27" t="s">
        <v>5</v>
      </c>
      <c r="H798" s="27" t="s">
        <v>46</v>
      </c>
      <c r="J798" s="27" t="s">
        <v>22</v>
      </c>
      <c r="K798" s="27">
        <v>17</v>
      </c>
      <c r="L798" s="27" t="s">
        <v>12</v>
      </c>
      <c r="M798" s="27" t="s">
        <v>194</v>
      </c>
      <c r="N798" s="27" t="str">
        <f>IF(K798="N/A","No", IF(K798&gt;5000,"Yes","No"))</f>
        <v>No</v>
      </c>
      <c r="O798" s="27" t="str">
        <f>IF(K798="Not","No",IF(K798="n/a","N/A",IF(K798&gt;$Y$2,"Yes","No")))</f>
        <v>No</v>
      </c>
      <c r="U798" s="27" t="s">
        <v>162</v>
      </c>
      <c r="V798" s="27" t="str">
        <f>R795</f>
        <v>Yes</v>
      </c>
      <c r="W798" s="27" t="str">
        <f>S795</f>
        <v>No</v>
      </c>
      <c r="X798" s="27" t="str">
        <f t="shared" si="343"/>
        <v>No</v>
      </c>
    </row>
    <row r="799" spans="1:38" x14ac:dyDescent="0.2">
      <c r="A799" s="27" t="s">
        <v>63</v>
      </c>
      <c r="B799" s="27" t="s">
        <v>24</v>
      </c>
      <c r="C799" s="27">
        <v>1.5</v>
      </c>
      <c r="D799" s="27" t="s">
        <v>4</v>
      </c>
      <c r="F799" s="27" t="str">
        <f t="shared" si="344"/>
        <v>Yes</v>
      </c>
      <c r="G799" s="27" t="s">
        <v>5</v>
      </c>
      <c r="H799" s="27" t="s">
        <v>46</v>
      </c>
      <c r="J799" s="27" t="s">
        <v>25</v>
      </c>
      <c r="K799" s="66">
        <v>170</v>
      </c>
      <c r="L799" s="27" t="s">
        <v>12</v>
      </c>
      <c r="M799" s="27" t="s">
        <v>194</v>
      </c>
      <c r="N799" s="27" t="str">
        <f>IF(K799="N/A","No", IF(K799&gt;20,"Yes","No"))</f>
        <v>Yes</v>
      </c>
      <c r="O799" s="27" t="str">
        <f t="shared" ref="O799:O800" si="345">IF(K799="Not","No",IF(K799="n/a","N/A",IF(K799&gt;$Y$6,"Yes","No")))</f>
        <v>Yes</v>
      </c>
      <c r="U799" s="27" t="s">
        <v>101</v>
      </c>
      <c r="V799" s="27" t="s">
        <v>5</v>
      </c>
      <c r="W799" s="27" t="s">
        <v>120</v>
      </c>
      <c r="X799" s="27" t="str">
        <f>IF(V799="N/A","N/A",IF(W799="N/A", "N/A", IF(V799=W799, "Yes","No")))</f>
        <v>N/A</v>
      </c>
    </row>
    <row r="800" spans="1:38" x14ac:dyDescent="0.2">
      <c r="A800" s="27" t="s">
        <v>63</v>
      </c>
      <c r="B800" s="27" t="s">
        <v>24</v>
      </c>
      <c r="C800" s="27">
        <v>1.5</v>
      </c>
      <c r="D800" s="27" t="s">
        <v>4</v>
      </c>
      <c r="F800" s="27" t="str">
        <f t="shared" si="344"/>
        <v>Yes</v>
      </c>
      <c r="G800" s="27" t="s">
        <v>5</v>
      </c>
      <c r="H800" s="27" t="s">
        <v>46</v>
      </c>
      <c r="J800" s="27" t="s">
        <v>29</v>
      </c>
      <c r="K800" s="66">
        <v>65</v>
      </c>
      <c r="L800" s="27" t="s">
        <v>12</v>
      </c>
      <c r="M800" s="27" t="s">
        <v>194</v>
      </c>
      <c r="N800" s="27" t="str">
        <f>IF(K800="N/A","No", IF(K800&gt;20,"Yes","No"))</f>
        <v>Yes</v>
      </c>
      <c r="O800" s="27" t="str">
        <f t="shared" si="345"/>
        <v>Yes</v>
      </c>
      <c r="U800" s="27" t="s">
        <v>104</v>
      </c>
      <c r="V800" s="27" t="s">
        <v>5</v>
      </c>
      <c r="W800" s="27" t="s">
        <v>120</v>
      </c>
      <c r="X800" s="27" t="str">
        <f>IF(V800="N/A","N/A",IF(W800="N/A", "N/A", IF(V800=W800, "Yes","No")))</f>
        <v>N/A</v>
      </c>
    </row>
    <row r="801" spans="1:24" x14ac:dyDescent="0.2">
      <c r="A801" s="27" t="s">
        <v>161</v>
      </c>
      <c r="B801" s="27" t="s">
        <v>28</v>
      </c>
      <c r="C801" s="27">
        <v>509</v>
      </c>
      <c r="D801" s="27" t="s">
        <v>12</v>
      </c>
      <c r="F801" s="27" t="str">
        <f>IF(C801&gt;$W$3,"Yes","No")</f>
        <v>Yes</v>
      </c>
      <c r="G801" s="27" t="s">
        <v>5</v>
      </c>
      <c r="J801" s="27" t="s">
        <v>34</v>
      </c>
      <c r="K801" s="66">
        <v>45</v>
      </c>
      <c r="L801" s="27" t="s">
        <v>12</v>
      </c>
      <c r="M801" s="27" t="s">
        <v>194</v>
      </c>
      <c r="N801" s="27" t="str">
        <f>IF(K801="N/A","No", IF(K801&gt;230,"Yes","No"))</f>
        <v>No</v>
      </c>
      <c r="O801" s="27" t="str">
        <f>IF(K801="Not","No",IF(K801="n/a","N/A",IF(K801&gt;$Y$5,"Yes","No")))</f>
        <v>No</v>
      </c>
      <c r="U801" s="27" t="s">
        <v>106</v>
      </c>
      <c r="V801" s="27" t="str">
        <f>R796</f>
        <v>Yes</v>
      </c>
      <c r="W801" s="27" t="str">
        <f>S796</f>
        <v>Yes</v>
      </c>
      <c r="X801" s="27" t="str">
        <f>IF(V801="N/A","N/A",IF(W801="N/A", "N/A", IF(V801=W801, "Yes","No")))</f>
        <v>Yes</v>
      </c>
    </row>
    <row r="802" spans="1:24" x14ac:dyDescent="0.2">
      <c r="A802" s="27" t="s">
        <v>245</v>
      </c>
      <c r="B802" s="27" t="s">
        <v>10</v>
      </c>
      <c r="C802" s="27">
        <v>3.1</v>
      </c>
      <c r="D802" s="27" t="s">
        <v>4</v>
      </c>
      <c r="F802" s="27" t="str">
        <f t="shared" si="344"/>
        <v>Yes</v>
      </c>
      <c r="G802" s="27" t="s">
        <v>5</v>
      </c>
      <c r="H802" s="27" t="s">
        <v>43</v>
      </c>
      <c r="J802" s="27" t="s">
        <v>208</v>
      </c>
      <c r="K802" s="27" t="s">
        <v>120</v>
      </c>
      <c r="L802" s="27" t="s">
        <v>12</v>
      </c>
      <c r="M802" s="27" t="s">
        <v>320</v>
      </c>
      <c r="N802" s="27" t="str">
        <f>IF(K802="N/A","No", IF(K802&gt;20,"Yes","No"))</f>
        <v>No</v>
      </c>
      <c r="O802" s="27" t="str">
        <f>IF(K802="Not","No",IF(K802="n/a","N/A",IF(K802&gt;$Y$7,"Yes","No")))</f>
        <v>N/A</v>
      </c>
      <c r="U802" s="27" t="s">
        <v>121</v>
      </c>
      <c r="V802" s="27" t="str">
        <f>R797</f>
        <v>Yes</v>
      </c>
      <c r="W802" s="27" t="str">
        <f>S797</f>
        <v>Yes</v>
      </c>
      <c r="X802" s="27" t="str">
        <f>IF(V802="N/A","N/A",IF(W802="N/A", "N/A", IF(V802=W802, "Yes","No")))</f>
        <v>Yes</v>
      </c>
    </row>
    <row r="803" spans="1:24" x14ac:dyDescent="0.2">
      <c r="A803" s="27" t="s">
        <v>245</v>
      </c>
      <c r="B803" s="27" t="s">
        <v>77</v>
      </c>
      <c r="C803" s="27">
        <v>1.8</v>
      </c>
      <c r="D803" s="27" t="s">
        <v>4</v>
      </c>
      <c r="F803" s="27" t="str">
        <f t="shared" si="344"/>
        <v>Yes</v>
      </c>
      <c r="G803" s="27" t="s">
        <v>5</v>
      </c>
      <c r="H803" s="27" t="s">
        <v>43</v>
      </c>
    </row>
    <row r="804" spans="1:24" x14ac:dyDescent="0.2">
      <c r="A804" s="27" t="s">
        <v>113</v>
      </c>
      <c r="B804" s="27" t="s">
        <v>174</v>
      </c>
      <c r="C804" s="27">
        <v>3.8</v>
      </c>
      <c r="D804" s="27" t="s">
        <v>4</v>
      </c>
      <c r="F804" s="27" t="str">
        <f t="shared" si="344"/>
        <v>Yes</v>
      </c>
      <c r="G804" s="27" t="s">
        <v>5</v>
      </c>
      <c r="H804" s="27" t="s">
        <v>43</v>
      </c>
    </row>
    <row r="805" spans="1:24" x14ac:dyDescent="0.2">
      <c r="A805" s="27" t="s">
        <v>113</v>
      </c>
      <c r="B805" s="27" t="s">
        <v>10</v>
      </c>
      <c r="C805" s="27">
        <v>4.4000000000000004</v>
      </c>
      <c r="D805" s="27" t="s">
        <v>4</v>
      </c>
      <c r="F805" s="27" t="str">
        <f t="shared" si="344"/>
        <v>Yes</v>
      </c>
      <c r="G805" s="27" t="s">
        <v>5</v>
      </c>
      <c r="H805" s="27" t="s">
        <v>43</v>
      </c>
    </row>
    <row r="806" spans="1:24" x14ac:dyDescent="0.2">
      <c r="A806" s="27" t="s">
        <v>109</v>
      </c>
      <c r="B806" s="27" t="s">
        <v>24</v>
      </c>
      <c r="C806" s="27">
        <v>2</v>
      </c>
      <c r="D806" s="27" t="s">
        <v>4</v>
      </c>
      <c r="F806" s="27" t="str">
        <f t="shared" si="344"/>
        <v>Yes</v>
      </c>
      <c r="G806" s="27" t="s">
        <v>5</v>
      </c>
      <c r="H806" s="27" t="s">
        <v>43</v>
      </c>
    </row>
    <row r="807" spans="1:24" x14ac:dyDescent="0.2">
      <c r="A807" s="27" t="s">
        <v>109</v>
      </c>
      <c r="B807" s="27" t="s">
        <v>24</v>
      </c>
      <c r="C807" s="27">
        <v>4.0999999999999996</v>
      </c>
      <c r="D807" s="27" t="s">
        <v>4</v>
      </c>
      <c r="F807" s="27" t="str">
        <f t="shared" si="344"/>
        <v>Yes</v>
      </c>
      <c r="G807" s="27" t="s">
        <v>5</v>
      </c>
      <c r="H807" s="27" t="s">
        <v>43</v>
      </c>
    </row>
    <row r="808" spans="1:24" x14ac:dyDescent="0.2">
      <c r="A808" s="27" t="s">
        <v>109</v>
      </c>
      <c r="B808" s="27" t="s">
        <v>174</v>
      </c>
      <c r="C808" s="27">
        <v>3.8</v>
      </c>
      <c r="D808" s="27" t="s">
        <v>4</v>
      </c>
      <c r="F808" s="27" t="str">
        <f t="shared" si="344"/>
        <v>Yes</v>
      </c>
      <c r="G808" s="27" t="s">
        <v>9</v>
      </c>
      <c r="H808" s="27" t="s">
        <v>43</v>
      </c>
    </row>
    <row r="809" spans="1:24" x14ac:dyDescent="0.2">
      <c r="A809" s="27" t="s">
        <v>109</v>
      </c>
      <c r="B809" s="27" t="s">
        <v>10</v>
      </c>
      <c r="C809" s="27">
        <v>8.6</v>
      </c>
      <c r="D809" s="27" t="s">
        <v>4</v>
      </c>
      <c r="F809" s="27" t="str">
        <f t="shared" si="344"/>
        <v>Yes</v>
      </c>
      <c r="G809" s="27" t="s">
        <v>5</v>
      </c>
      <c r="H809" s="27" t="s">
        <v>43</v>
      </c>
    </row>
    <row r="810" spans="1:24" x14ac:dyDescent="0.2">
      <c r="A810" s="27" t="s">
        <v>109</v>
      </c>
      <c r="B810" s="27" t="s">
        <v>77</v>
      </c>
      <c r="C810" s="27">
        <v>6.8</v>
      </c>
      <c r="D810" s="27" t="s">
        <v>4</v>
      </c>
      <c r="F810" s="27" t="str">
        <f t="shared" si="344"/>
        <v>Yes</v>
      </c>
      <c r="G810" s="27" t="s">
        <v>5</v>
      </c>
      <c r="H810" s="27" t="s">
        <v>43</v>
      </c>
    </row>
    <row r="811" spans="1:24" x14ac:dyDescent="0.2">
      <c r="A811" s="27" t="s">
        <v>109</v>
      </c>
      <c r="B811" s="27" t="s">
        <v>24</v>
      </c>
      <c r="C811" s="27">
        <v>8.6</v>
      </c>
      <c r="D811" s="27" t="s">
        <v>4</v>
      </c>
      <c r="F811" s="27" t="str">
        <f t="shared" si="344"/>
        <v>Yes</v>
      </c>
      <c r="G811" s="27" t="s">
        <v>5</v>
      </c>
      <c r="H811" s="27" t="s">
        <v>43</v>
      </c>
    </row>
    <row r="812" spans="1:24" x14ac:dyDescent="0.2">
      <c r="A812" s="27" t="s">
        <v>109</v>
      </c>
      <c r="B812" s="27" t="s">
        <v>24</v>
      </c>
      <c r="C812" s="27">
        <v>6.7</v>
      </c>
      <c r="D812" s="27" t="s">
        <v>4</v>
      </c>
      <c r="F812" s="27" t="str">
        <f t="shared" si="344"/>
        <v>Yes</v>
      </c>
      <c r="G812" s="27" t="s">
        <v>5</v>
      </c>
      <c r="H812" s="27" t="s">
        <v>43</v>
      </c>
    </row>
    <row r="813" spans="1:24" x14ac:dyDescent="0.2">
      <c r="A813" s="27" t="s">
        <v>293</v>
      </c>
      <c r="B813" s="27" t="s">
        <v>10</v>
      </c>
      <c r="C813" s="27">
        <v>4.3</v>
      </c>
      <c r="D813" s="27" t="s">
        <v>4</v>
      </c>
      <c r="F813" s="27" t="str">
        <f t="shared" si="344"/>
        <v>Yes</v>
      </c>
      <c r="G813" s="27" t="s">
        <v>5</v>
      </c>
      <c r="H813" s="27" t="s">
        <v>43</v>
      </c>
    </row>
    <row r="814" spans="1:24" x14ac:dyDescent="0.2">
      <c r="A814" s="27" t="s">
        <v>293</v>
      </c>
      <c r="B814" s="27" t="s">
        <v>77</v>
      </c>
      <c r="C814" s="27">
        <v>7.3</v>
      </c>
      <c r="D814" s="27" t="s">
        <v>4</v>
      </c>
      <c r="F814" s="27" t="str">
        <f t="shared" si="344"/>
        <v>Yes</v>
      </c>
      <c r="G814" s="27" t="s">
        <v>5</v>
      </c>
      <c r="H814" s="27" t="s">
        <v>43</v>
      </c>
    </row>
    <row r="815" spans="1:24" x14ac:dyDescent="0.2">
      <c r="A815" s="27" t="s">
        <v>307</v>
      </c>
      <c r="B815" s="27" t="s">
        <v>174</v>
      </c>
      <c r="C815" s="27">
        <v>5.0999999999999996</v>
      </c>
      <c r="D815" s="27" t="s">
        <v>4</v>
      </c>
      <c r="F815" s="27" t="str">
        <f t="shared" si="344"/>
        <v>Yes</v>
      </c>
      <c r="G815" s="27" t="s">
        <v>5</v>
      </c>
      <c r="H815" s="27" t="s">
        <v>43</v>
      </c>
    </row>
    <row r="816" spans="1:24" x14ac:dyDescent="0.2">
      <c r="A816" s="27" t="s">
        <v>307</v>
      </c>
      <c r="B816" s="27" t="s">
        <v>24</v>
      </c>
      <c r="C816" s="27">
        <v>10.1</v>
      </c>
      <c r="D816" s="27" t="s">
        <v>4</v>
      </c>
      <c r="F816" s="27" t="str">
        <f t="shared" si="344"/>
        <v>Yes</v>
      </c>
      <c r="G816" s="27" t="s">
        <v>5</v>
      </c>
      <c r="H816" s="27" t="s">
        <v>43</v>
      </c>
    </row>
    <row r="817" spans="1:38" x14ac:dyDescent="0.2">
      <c r="A817" s="27" t="s">
        <v>322</v>
      </c>
      <c r="B817" s="27" t="s">
        <v>174</v>
      </c>
      <c r="C817" s="27">
        <v>6.5</v>
      </c>
      <c r="D817" s="27" t="s">
        <v>4</v>
      </c>
      <c r="F817" s="27" t="str">
        <f t="shared" si="344"/>
        <v>Yes</v>
      </c>
      <c r="G817" s="27" t="s">
        <v>5</v>
      </c>
      <c r="H817" s="27" t="s">
        <v>43</v>
      </c>
    </row>
    <row r="818" spans="1:38" x14ac:dyDescent="0.2">
      <c r="A818" s="27" t="s">
        <v>322</v>
      </c>
      <c r="B818" s="27" t="s">
        <v>304</v>
      </c>
      <c r="C818" s="27">
        <v>5.4</v>
      </c>
      <c r="D818" s="27" t="s">
        <v>4</v>
      </c>
      <c r="F818" s="27" t="str">
        <f t="shared" si="344"/>
        <v>Yes</v>
      </c>
      <c r="G818" s="27" t="s">
        <v>5</v>
      </c>
      <c r="H818" s="27" t="s">
        <v>43</v>
      </c>
    </row>
    <row r="819" spans="1:38" x14ac:dyDescent="0.2">
      <c r="A819" s="27" t="s">
        <v>322</v>
      </c>
      <c r="B819" s="27" t="s">
        <v>10</v>
      </c>
      <c r="C819" s="27">
        <v>5.9</v>
      </c>
      <c r="D819" s="27" t="s">
        <v>4</v>
      </c>
      <c r="F819" s="27" t="str">
        <f t="shared" si="344"/>
        <v>Yes</v>
      </c>
      <c r="G819" s="27" t="s">
        <v>5</v>
      </c>
      <c r="H819" s="27" t="s">
        <v>43</v>
      </c>
    </row>
    <row r="820" spans="1:38" x14ac:dyDescent="0.2">
      <c r="A820" s="27" t="s">
        <v>70</v>
      </c>
      <c r="B820" s="27" t="s">
        <v>24</v>
      </c>
      <c r="C820" s="27">
        <v>4.8</v>
      </c>
      <c r="D820" s="27" t="s">
        <v>4</v>
      </c>
      <c r="F820" s="27" t="str">
        <f t="shared" si="344"/>
        <v>Yes</v>
      </c>
      <c r="G820" s="27" t="s">
        <v>5</v>
      </c>
      <c r="H820" s="27" t="s">
        <v>43</v>
      </c>
    </row>
    <row r="821" spans="1:38" x14ac:dyDescent="0.2">
      <c r="A821" s="27" t="s">
        <v>64</v>
      </c>
      <c r="B821" s="27" t="s">
        <v>174</v>
      </c>
      <c r="C821" s="27">
        <v>3.5</v>
      </c>
      <c r="D821" s="27" t="s">
        <v>4</v>
      </c>
      <c r="F821" s="27" t="str">
        <f t="shared" si="344"/>
        <v>Yes</v>
      </c>
      <c r="G821" s="27" t="s">
        <v>5</v>
      </c>
      <c r="H821" s="27" t="s">
        <v>43</v>
      </c>
    </row>
    <row r="822" spans="1:38" x14ac:dyDescent="0.2">
      <c r="A822" s="27" t="s">
        <v>64</v>
      </c>
      <c r="B822" s="27" t="s">
        <v>10</v>
      </c>
      <c r="C822" s="27">
        <v>4.5999999999999996</v>
      </c>
      <c r="D822" s="27" t="s">
        <v>4</v>
      </c>
      <c r="F822" s="27" t="str">
        <f t="shared" si="344"/>
        <v>Yes</v>
      </c>
      <c r="G822" s="27" t="s">
        <v>5</v>
      </c>
      <c r="H822" s="27" t="s">
        <v>43</v>
      </c>
    </row>
    <row r="823" spans="1:38" x14ac:dyDescent="0.2">
      <c r="A823" s="27" t="s">
        <v>64</v>
      </c>
      <c r="B823" s="27" t="s">
        <v>77</v>
      </c>
      <c r="C823" s="27">
        <v>4.3</v>
      </c>
      <c r="D823" s="27" t="s">
        <v>4</v>
      </c>
      <c r="F823" s="27" t="str">
        <f t="shared" si="344"/>
        <v>Yes</v>
      </c>
      <c r="G823" s="27" t="s">
        <v>5</v>
      </c>
      <c r="H823" s="27" t="s">
        <v>43</v>
      </c>
    </row>
    <row r="824" spans="1:38" x14ac:dyDescent="0.2">
      <c r="A824" s="27" t="s">
        <v>64</v>
      </c>
      <c r="B824" s="27" t="s">
        <v>40</v>
      </c>
      <c r="C824" s="27">
        <v>49.3</v>
      </c>
      <c r="D824" s="27" t="s">
        <v>4</v>
      </c>
      <c r="F824" s="27" t="str">
        <f t="shared" si="344"/>
        <v>Yes</v>
      </c>
      <c r="G824" s="27" t="s">
        <v>5</v>
      </c>
      <c r="H824" s="27" t="s">
        <v>43</v>
      </c>
    </row>
    <row r="825" spans="1:38" x14ac:dyDescent="0.2">
      <c r="A825" s="27" t="s">
        <v>64</v>
      </c>
      <c r="B825" s="27" t="s">
        <v>24</v>
      </c>
      <c r="C825" s="27">
        <v>1.5</v>
      </c>
      <c r="D825" s="27" t="s">
        <v>4</v>
      </c>
      <c r="F825" s="27" t="str">
        <f t="shared" si="344"/>
        <v>Yes</v>
      </c>
      <c r="G825" s="27" t="s">
        <v>5</v>
      </c>
      <c r="H825" s="27" t="s">
        <v>43</v>
      </c>
    </row>
    <row r="826" spans="1:38" x14ac:dyDescent="0.2">
      <c r="A826" s="27" t="s">
        <v>293</v>
      </c>
      <c r="B826" s="27" t="s">
        <v>54</v>
      </c>
      <c r="C826" s="27">
        <v>800</v>
      </c>
      <c r="D826" s="27" t="s">
        <v>33</v>
      </c>
      <c r="F826" s="27" t="str">
        <f>IF(C826&gt;$W$5,"Yes","No")</f>
        <v>Yes</v>
      </c>
      <c r="G826" s="27" t="s">
        <v>5</v>
      </c>
    </row>
    <row r="827" spans="1:38" x14ac:dyDescent="0.2">
      <c r="A827" s="27" t="s">
        <v>64</v>
      </c>
      <c r="B827" s="27" t="s">
        <v>32</v>
      </c>
      <c r="C827" s="27">
        <v>12</v>
      </c>
      <c r="D827" s="27" t="s">
        <v>33</v>
      </c>
      <c r="F827" s="27" t="str">
        <f t="shared" ref="F827" si="346">IF(C827&gt;$W$6,"Yes","No")</f>
        <v>Yes</v>
      </c>
      <c r="G827" s="27" t="s">
        <v>5</v>
      </c>
    </row>
    <row r="829" spans="1:38" x14ac:dyDescent="0.2">
      <c r="A829" s="27">
        <v>1261</v>
      </c>
      <c r="B829" s="27" t="s">
        <v>319</v>
      </c>
      <c r="C829" s="27">
        <v>54</v>
      </c>
    </row>
    <row r="830" spans="1:38" x14ac:dyDescent="0.2">
      <c r="A830" s="59" t="s">
        <v>0</v>
      </c>
      <c r="E830" s="27" t="s">
        <v>274</v>
      </c>
      <c r="F830" s="27" t="s">
        <v>275</v>
      </c>
      <c r="G830" s="27" t="s">
        <v>119</v>
      </c>
      <c r="J830" s="59" t="s">
        <v>1</v>
      </c>
      <c r="N830" s="27" t="s">
        <v>277</v>
      </c>
      <c r="O830" s="27" t="s">
        <v>278</v>
      </c>
      <c r="Q830" s="59" t="s">
        <v>115</v>
      </c>
      <c r="R830" s="59" t="s">
        <v>0</v>
      </c>
      <c r="S830" s="59" t="s">
        <v>1</v>
      </c>
      <c r="U830" s="59" t="s">
        <v>115</v>
      </c>
      <c r="V830" s="59" t="s">
        <v>0</v>
      </c>
      <c r="W830" s="59" t="s">
        <v>1</v>
      </c>
      <c r="X830" s="59" t="s">
        <v>122</v>
      </c>
      <c r="AA830" s="27" t="str">
        <f>IF(R831="Yes","LRA-Soil","")</f>
        <v/>
      </c>
      <c r="AB830" s="27" t="str">
        <f>IF(R832="Yes","LRA-Paint","")</f>
        <v>LRA-Paint</v>
      </c>
      <c r="AC830" s="27" t="str">
        <f>IF(R833="Yes","LRA-Dust","")</f>
        <v/>
      </c>
      <c r="AD830" s="27" t="str">
        <f>IF(S831="Yes","LSK-Soil","")</f>
        <v/>
      </c>
      <c r="AE830" s="27" t="str">
        <f>IF(S832="Yes","LSK-Paint","")</f>
        <v>LSK-Paint</v>
      </c>
      <c r="AF830" s="27" t="str">
        <f>IF(S833="Yes","LSK-Dust","")</f>
        <v/>
      </c>
      <c r="AI830" s="27" t="s">
        <v>46</v>
      </c>
      <c r="AJ830" s="27" t="s">
        <v>43</v>
      </c>
      <c r="AK830" s="27" t="s">
        <v>116</v>
      </c>
      <c r="AL830" s="27" t="s">
        <v>117</v>
      </c>
    </row>
    <row r="831" spans="1:38" x14ac:dyDescent="0.2">
      <c r="A831" s="27" t="s">
        <v>63</v>
      </c>
      <c r="B831" s="27" t="s">
        <v>10</v>
      </c>
      <c r="C831" s="27">
        <v>2.2999999999999998</v>
      </c>
      <c r="D831" s="27" t="s">
        <v>4</v>
      </c>
      <c r="F831" s="27" t="str">
        <f t="shared" ref="F831:F836" si="347">IF(C831&gt;=$W$2,"Yes","No")</f>
        <v>Yes</v>
      </c>
      <c r="G831" s="27" t="s">
        <v>5</v>
      </c>
      <c r="H831" s="27" t="s">
        <v>46</v>
      </c>
      <c r="J831" s="27" t="s">
        <v>6</v>
      </c>
      <c r="K831" s="27" t="s">
        <v>120</v>
      </c>
      <c r="L831" s="27" t="s">
        <v>12</v>
      </c>
      <c r="M831" s="27" t="s">
        <v>66</v>
      </c>
      <c r="N831" s="27" t="str">
        <f>IF(K831="N/A","No", IF(K831&gt;1200,"Yes","No"))</f>
        <v>No</v>
      </c>
      <c r="O831" s="27" t="str">
        <f>IF(K831="Not","No",IF(K831="n/a","N/A",IF(K831&gt;=$Y$3,"Yes","No")))</f>
        <v>N/A</v>
      </c>
      <c r="Q831" s="27" t="s">
        <v>116</v>
      </c>
      <c r="R831" s="27" t="str">
        <f>_xlfn.XLOOKUP("ppm",D831:D842,F831:F842,"N/A")</f>
        <v>No</v>
      </c>
      <c r="S831" s="27" t="str">
        <f>IF(COUNTIF(O831:O833,"Yes"),"Yes","No")</f>
        <v>No</v>
      </c>
      <c r="U831" s="27" t="s">
        <v>92</v>
      </c>
      <c r="V831" s="27" t="s">
        <v>9</v>
      </c>
      <c r="W831" s="27" t="s">
        <v>120</v>
      </c>
      <c r="X831" s="27" t="str">
        <f>IF(V831="N/A","N/A",IF(W831="N/A", "N/A", IF(V831=W831, "Yes","No")))</f>
        <v>N/A</v>
      </c>
      <c r="AI831" s="27">
        <f>COUNTIF(H830:H842,"Exterior")</f>
        <v>6</v>
      </c>
      <c r="AJ831" s="27">
        <f>COUNTIF(H830:H842, "Interior")</f>
        <v>3</v>
      </c>
      <c r="AK831" s="27">
        <f>COUNTIFS(D830:D842,"ppm")+COUNTIFS(D830:D842,"mg/Kg")</f>
        <v>1</v>
      </c>
      <c r="AL831" s="27">
        <f>COUNTIF(D830:D842,"ug/ft2")</f>
        <v>2</v>
      </c>
    </row>
    <row r="832" spans="1:38" x14ac:dyDescent="0.2">
      <c r="A832" s="27" t="s">
        <v>63</v>
      </c>
      <c r="B832" s="27" t="s">
        <v>24</v>
      </c>
      <c r="C832" s="27">
        <v>2.2000000000000002</v>
      </c>
      <c r="D832" s="27" t="s">
        <v>4</v>
      </c>
      <c r="F832" s="27" t="str">
        <f t="shared" si="347"/>
        <v>Yes</v>
      </c>
      <c r="G832" s="27" t="s">
        <v>5</v>
      </c>
      <c r="H832" s="27" t="s">
        <v>46</v>
      </c>
      <c r="J832" s="27" t="s">
        <v>11</v>
      </c>
      <c r="K832" s="27">
        <v>28</v>
      </c>
      <c r="L832" s="27" t="s">
        <v>12</v>
      </c>
      <c r="M832" s="27" t="s">
        <v>38</v>
      </c>
      <c r="N832" s="27" t="str">
        <f t="shared" ref="N832:N833" si="348">IF(K832="N/A","No", IF(K832&gt;1200,"Yes","No"))</f>
        <v>No</v>
      </c>
      <c r="O832" s="27" t="str">
        <f t="shared" ref="O832:O833" si="349">IF(K832="Not","No",IF(K832="n/a","N/A",IF(K832&gt;$Y$3,"Yes","No")))</f>
        <v>No</v>
      </c>
      <c r="Q832" s="27" t="s">
        <v>98</v>
      </c>
      <c r="R832" s="63" t="s">
        <v>5</v>
      </c>
      <c r="S832" s="27" t="str">
        <f>IF(COUNTIF(O834:O835,"Yes"),"Yes","No")</f>
        <v>Yes</v>
      </c>
      <c r="U832" s="27" t="s">
        <v>95</v>
      </c>
      <c r="V832" s="27" t="str">
        <f>R831</f>
        <v>No</v>
      </c>
      <c r="W832" s="27" t="str">
        <f>S831</f>
        <v>No</v>
      </c>
      <c r="X832" s="27" t="str">
        <f t="shared" ref="X832:X835" si="350">IF(V832="N/A","N/A",IF(W832="N/A", "N/A", IF(V832=W832, "Yes","No")))</f>
        <v>Yes</v>
      </c>
    </row>
    <row r="833" spans="1:38" x14ac:dyDescent="0.2">
      <c r="A833" s="27" t="s">
        <v>63</v>
      </c>
      <c r="B833" s="27" t="s">
        <v>24</v>
      </c>
      <c r="C833" s="27">
        <v>2.8</v>
      </c>
      <c r="D833" s="27" t="s">
        <v>4</v>
      </c>
      <c r="F833" s="27" t="str">
        <f t="shared" si="347"/>
        <v>Yes</v>
      </c>
      <c r="G833" s="27" t="s">
        <v>9</v>
      </c>
      <c r="H833" s="27" t="s">
        <v>46</v>
      </c>
      <c r="J833" s="27" t="s">
        <v>15</v>
      </c>
      <c r="K833" s="27">
        <v>22</v>
      </c>
      <c r="L833" s="27" t="s">
        <v>12</v>
      </c>
      <c r="M833" s="27" t="s">
        <v>324</v>
      </c>
      <c r="N833" s="27" t="str">
        <f t="shared" si="348"/>
        <v>No</v>
      </c>
      <c r="O833" s="27" t="str">
        <f t="shared" si="349"/>
        <v>No</v>
      </c>
      <c r="Q833" s="27" t="s">
        <v>117</v>
      </c>
      <c r="R833" s="27" t="str">
        <f>_xlfn.XLOOKUP("ug/ft2",D831:D842,F831:F842,"N/A")</f>
        <v>No</v>
      </c>
      <c r="S833" s="27" t="str">
        <f>IF(COUNTIF(O836:O839,"Yes"),"Yes","No")</f>
        <v>No</v>
      </c>
      <c r="U833" s="27" t="s">
        <v>163</v>
      </c>
      <c r="V833" s="27" t="s">
        <v>5</v>
      </c>
      <c r="W833" s="27" t="s">
        <v>120</v>
      </c>
      <c r="X833" s="27" t="str">
        <f t="shared" si="350"/>
        <v>N/A</v>
      </c>
    </row>
    <row r="834" spans="1:38" x14ac:dyDescent="0.2">
      <c r="A834" s="27" t="s">
        <v>63</v>
      </c>
      <c r="B834" s="27" t="s">
        <v>24</v>
      </c>
      <c r="C834" s="27">
        <v>3</v>
      </c>
      <c r="D834" s="27" t="s">
        <v>4</v>
      </c>
      <c r="F834" s="27" t="str">
        <f t="shared" si="347"/>
        <v>Yes</v>
      </c>
      <c r="G834" s="27" t="s">
        <v>5</v>
      </c>
      <c r="H834" s="27" t="s">
        <v>46</v>
      </c>
      <c r="J834" s="27" t="s">
        <v>19</v>
      </c>
      <c r="K834" s="27" t="s">
        <v>120</v>
      </c>
      <c r="L834" s="27" t="s">
        <v>12</v>
      </c>
      <c r="M834" s="27" t="s">
        <v>66</v>
      </c>
      <c r="N834" s="27" t="str">
        <f>IF(K834="N/A","No", IF(K834&gt;5000,"Yes","No"))</f>
        <v>No</v>
      </c>
      <c r="O834" s="27" t="str">
        <f>IF(K834="Not","No",IF(K834="n/a","N/A",IF(K834&gt;$Y$2,"Yes","No")))</f>
        <v>N/A</v>
      </c>
      <c r="Q834" s="27" t="s">
        <v>118</v>
      </c>
      <c r="R834" s="27" t="str">
        <f>IF(COUNTIF(R831:R833,"Yes"),"Yes","No")</f>
        <v>Yes</v>
      </c>
      <c r="S834" s="27" t="str">
        <f>IF(COUNTIF(S831:S833,"Yes"),"Yes","No")</f>
        <v>Yes</v>
      </c>
      <c r="U834" s="27" t="s">
        <v>164</v>
      </c>
      <c r="V834" s="27" t="s">
        <v>5</v>
      </c>
      <c r="W834" s="27" t="s">
        <v>5</v>
      </c>
      <c r="X834" s="27" t="str">
        <f t="shared" si="350"/>
        <v>Yes</v>
      </c>
    </row>
    <row r="835" spans="1:38" x14ac:dyDescent="0.2">
      <c r="A835" s="27" t="s">
        <v>63</v>
      </c>
      <c r="B835" s="27" t="s">
        <v>24</v>
      </c>
      <c r="C835" s="27">
        <v>2.8</v>
      </c>
      <c r="D835" s="27" t="s">
        <v>4</v>
      </c>
      <c r="F835" s="27" t="str">
        <f t="shared" si="347"/>
        <v>Yes</v>
      </c>
      <c r="G835" s="27" t="s">
        <v>9</v>
      </c>
      <c r="H835" s="27" t="s">
        <v>46</v>
      </c>
      <c r="J835" s="27" t="s">
        <v>22</v>
      </c>
      <c r="K835" s="27">
        <v>29145</v>
      </c>
      <c r="L835" s="27" t="s">
        <v>12</v>
      </c>
      <c r="M835" s="27" t="s">
        <v>325</v>
      </c>
      <c r="N835" s="27" t="str">
        <f>IF(K835="N/A","No", IF(K835&gt;5000,"Yes","No"))</f>
        <v>Yes</v>
      </c>
      <c r="O835" s="27" t="str">
        <f>IF(K835="Not","No",IF(K835="n/a","N/A",IF(K835&gt;$Y$2,"Yes","No")))</f>
        <v>Yes</v>
      </c>
      <c r="U835" s="27" t="s">
        <v>162</v>
      </c>
      <c r="V835" s="27" t="str">
        <f>R832</f>
        <v>Yes</v>
      </c>
      <c r="W835" s="27" t="str">
        <f>S832</f>
        <v>Yes</v>
      </c>
      <c r="X835" s="27" t="str">
        <f t="shared" si="350"/>
        <v>Yes</v>
      </c>
    </row>
    <row r="836" spans="1:38" x14ac:dyDescent="0.2">
      <c r="A836" s="27" t="s">
        <v>63</v>
      </c>
      <c r="B836" s="27" t="s">
        <v>24</v>
      </c>
      <c r="C836" s="27">
        <v>3</v>
      </c>
      <c r="D836" s="27" t="s">
        <v>4</v>
      </c>
      <c r="F836" s="27" t="str">
        <f t="shared" si="347"/>
        <v>Yes</v>
      </c>
      <c r="G836" s="27" t="s">
        <v>5</v>
      </c>
      <c r="H836" s="27" t="s">
        <v>46</v>
      </c>
      <c r="J836" s="27" t="s">
        <v>25</v>
      </c>
      <c r="K836" s="27">
        <v>0</v>
      </c>
      <c r="L836" s="27" t="s">
        <v>12</v>
      </c>
      <c r="M836" s="27" t="s">
        <v>59</v>
      </c>
      <c r="N836" s="27" t="str">
        <f>IF(K836="N/A","No", IF(K836&gt;20,"Yes","No"))</f>
        <v>No</v>
      </c>
      <c r="O836" s="27" t="str">
        <f t="shared" ref="O836:O837" si="351">IF(K836="Not","No",IF(K836="n/a","N/A",IF(K836&gt;$Y$6,"Yes","No")))</f>
        <v>No</v>
      </c>
      <c r="U836" s="27" t="s">
        <v>101</v>
      </c>
      <c r="V836" s="27" t="s">
        <v>9</v>
      </c>
      <c r="W836" s="27" t="s">
        <v>9</v>
      </c>
      <c r="X836" s="27" t="str">
        <f>IF(V836="N/A","N/A",IF(W836="N/A", "N/A", IF(V836=W836, "Yes","No")))</f>
        <v>Yes</v>
      </c>
    </row>
    <row r="837" spans="1:38" x14ac:dyDescent="0.2">
      <c r="A837" s="27" t="s">
        <v>83</v>
      </c>
      <c r="B837" s="27" t="s">
        <v>327</v>
      </c>
      <c r="C837" s="27">
        <v>53</v>
      </c>
      <c r="D837" s="27" t="s">
        <v>12</v>
      </c>
      <c r="F837" s="27" t="str">
        <f>IF(C837&gt;$W$3,"Yes","No")</f>
        <v>No</v>
      </c>
      <c r="G837" s="27" t="s">
        <v>9</v>
      </c>
      <c r="J837" s="27" t="s">
        <v>29</v>
      </c>
      <c r="K837" s="27">
        <v>0</v>
      </c>
      <c r="L837" s="27" t="s">
        <v>12</v>
      </c>
      <c r="M837" s="27" t="s">
        <v>60</v>
      </c>
      <c r="N837" s="27" t="str">
        <f>IF(K837="N/A","No", IF(K837&gt;20,"Yes","No"))</f>
        <v>No</v>
      </c>
      <c r="O837" s="27" t="str">
        <f t="shared" si="351"/>
        <v>No</v>
      </c>
      <c r="U837" s="27" t="s">
        <v>104</v>
      </c>
      <c r="V837" s="27" t="s">
        <v>9</v>
      </c>
      <c r="W837" s="27" t="str">
        <f>O838</f>
        <v>No</v>
      </c>
      <c r="X837" s="27" t="str">
        <f>IF(V837="N/A","N/A",IF(W837="N/A", "N/A", IF(V837=W837, "Yes","No")))</f>
        <v>Yes</v>
      </c>
    </row>
    <row r="838" spans="1:38" x14ac:dyDescent="0.2">
      <c r="A838" s="27" t="s">
        <v>293</v>
      </c>
      <c r="B838" s="27" t="s">
        <v>174</v>
      </c>
      <c r="C838" s="27">
        <v>0.06</v>
      </c>
      <c r="D838" s="27" t="s">
        <v>4</v>
      </c>
      <c r="F838" s="27" t="str">
        <f t="shared" ref="F838:F840" si="352">IF(C838&gt;=$W$2,"Yes","No")</f>
        <v>No</v>
      </c>
      <c r="G838" s="27" t="s">
        <v>9</v>
      </c>
      <c r="H838" s="27" t="s">
        <v>43</v>
      </c>
      <c r="J838" s="27" t="s">
        <v>34</v>
      </c>
      <c r="K838" s="27">
        <v>0</v>
      </c>
      <c r="L838" s="27" t="s">
        <v>12</v>
      </c>
      <c r="M838" s="27" t="s">
        <v>326</v>
      </c>
      <c r="N838" s="27" t="str">
        <f>IF(K838="N/A","No", IF(K838&gt;230,"Yes","No"))</f>
        <v>No</v>
      </c>
      <c r="O838" s="27" t="str">
        <f>IF(K838="Not","No",IF(K838="n/a","N/A",IF(K838&gt;$Y$5,"Yes","No")))</f>
        <v>No</v>
      </c>
      <c r="U838" s="27" t="s">
        <v>106</v>
      </c>
      <c r="V838" s="27" t="str">
        <f>R833</f>
        <v>No</v>
      </c>
      <c r="W838" s="27" t="str">
        <f>S833</f>
        <v>No</v>
      </c>
      <c r="X838" s="27" t="str">
        <f>IF(V838="N/A","N/A",IF(W838="N/A", "N/A", IF(V838=W838, "Yes","No")))</f>
        <v>Yes</v>
      </c>
    </row>
    <row r="839" spans="1:38" x14ac:dyDescent="0.2">
      <c r="A839" s="27" t="s">
        <v>70</v>
      </c>
      <c r="B839" s="27" t="s">
        <v>77</v>
      </c>
      <c r="C839" s="27">
        <v>2.5</v>
      </c>
      <c r="D839" s="27" t="s">
        <v>4</v>
      </c>
      <c r="F839" s="27" t="str">
        <f t="shared" si="352"/>
        <v>Yes</v>
      </c>
      <c r="G839" s="27" t="s">
        <v>9</v>
      </c>
      <c r="H839" s="27" t="s">
        <v>43</v>
      </c>
      <c r="J839" s="27" t="s">
        <v>208</v>
      </c>
      <c r="K839" s="27" t="s">
        <v>120</v>
      </c>
      <c r="L839" s="27" t="s">
        <v>12</v>
      </c>
      <c r="M839" s="27" t="s">
        <v>320</v>
      </c>
      <c r="N839" s="27" t="str">
        <f>IF(K839="N/A","No", IF(K839&gt;20,"Yes","No"))</f>
        <v>No</v>
      </c>
      <c r="O839" s="27" t="str">
        <f>IF(K839="Not","No",IF(K839="n/a","N/A",IF(K839&gt;$Y$7,"Yes","No")))</f>
        <v>N/A</v>
      </c>
      <c r="U839" s="27" t="s">
        <v>121</v>
      </c>
      <c r="V839" s="27" t="str">
        <f>R834</f>
        <v>Yes</v>
      </c>
      <c r="W839" s="27" t="str">
        <f>S834</f>
        <v>Yes</v>
      </c>
      <c r="X839" s="27" t="str">
        <f>IF(V839="N/A","N/A",IF(W839="N/A", "N/A", IF(V839=W839, "Yes","No")))</f>
        <v>Yes</v>
      </c>
    </row>
    <row r="840" spans="1:38" x14ac:dyDescent="0.2">
      <c r="A840" s="27" t="s">
        <v>64</v>
      </c>
      <c r="B840" s="27" t="s">
        <v>24</v>
      </c>
      <c r="C840" s="27">
        <v>2.2000000000000002</v>
      </c>
      <c r="D840" s="27" t="s">
        <v>4</v>
      </c>
      <c r="F840" s="27" t="str">
        <f t="shared" si="352"/>
        <v>Yes</v>
      </c>
      <c r="G840" s="27" t="s">
        <v>9</v>
      </c>
      <c r="H840" s="27" t="s">
        <v>43</v>
      </c>
    </row>
    <row r="841" spans="1:38" x14ac:dyDescent="0.2">
      <c r="A841" s="27" t="s">
        <v>293</v>
      </c>
      <c r="B841" s="27" t="s">
        <v>32</v>
      </c>
      <c r="C841" s="27">
        <v>3</v>
      </c>
      <c r="D841" s="27" t="s">
        <v>33</v>
      </c>
      <c r="F841" s="27" t="str">
        <f t="shared" ref="F841" si="353">IF(C841&gt;$W$6,"Yes","No")</f>
        <v>No</v>
      </c>
      <c r="G841" s="27" t="s">
        <v>9</v>
      </c>
    </row>
    <row r="842" spans="1:38" x14ac:dyDescent="0.2">
      <c r="A842" s="27" t="s">
        <v>293</v>
      </c>
      <c r="B842" s="27" t="s">
        <v>54</v>
      </c>
      <c r="C842" s="27">
        <v>43</v>
      </c>
      <c r="D842" s="27" t="s">
        <v>33</v>
      </c>
      <c r="F842" s="27" t="str">
        <f>IF(C842&gt;$W$5,"Yes","No")</f>
        <v>No</v>
      </c>
      <c r="G842" s="27" t="s">
        <v>9</v>
      </c>
    </row>
    <row r="844" spans="1:38" x14ac:dyDescent="0.2">
      <c r="A844" s="27">
        <v>1263</v>
      </c>
      <c r="B844" s="27" t="s">
        <v>319</v>
      </c>
      <c r="C844" s="27">
        <v>55</v>
      </c>
    </row>
    <row r="845" spans="1:38" x14ac:dyDescent="0.2">
      <c r="A845" s="59" t="s">
        <v>0</v>
      </c>
      <c r="E845" s="27" t="s">
        <v>274</v>
      </c>
      <c r="F845" s="27" t="s">
        <v>275</v>
      </c>
      <c r="G845" s="27" t="s">
        <v>119</v>
      </c>
      <c r="J845" s="59" t="s">
        <v>1</v>
      </c>
      <c r="N845" s="27" t="s">
        <v>277</v>
      </c>
      <c r="O845" s="27" t="s">
        <v>278</v>
      </c>
      <c r="Q845" s="59" t="s">
        <v>115</v>
      </c>
      <c r="R845" s="59" t="s">
        <v>0</v>
      </c>
      <c r="S845" s="59" t="s">
        <v>1</v>
      </c>
      <c r="U845" s="59" t="s">
        <v>115</v>
      </c>
      <c r="V845" s="59" t="s">
        <v>0</v>
      </c>
      <c r="W845" s="59" t="s">
        <v>1</v>
      </c>
      <c r="X845" s="59" t="s">
        <v>122</v>
      </c>
      <c r="AA845" s="27" t="str">
        <f>IF(R846="Yes","LRA-Soil","")</f>
        <v/>
      </c>
      <c r="AB845" s="27" t="str">
        <f>IF(R847="Yes","LRA-Paint","")</f>
        <v/>
      </c>
      <c r="AC845" s="27" t="str">
        <f>IF(R848="Yes","LRA-Dust","")</f>
        <v/>
      </c>
      <c r="AD845" s="27" t="str">
        <f>IF(S846="Yes","LSK-Soil","")</f>
        <v/>
      </c>
      <c r="AE845" s="27" t="str">
        <f>IF(S847="Yes","LSK-Paint","")</f>
        <v/>
      </c>
      <c r="AF845" s="27" t="str">
        <f>IF(S848="Yes","LSK-Dust","")</f>
        <v/>
      </c>
      <c r="AI845" s="27" t="s">
        <v>46</v>
      </c>
      <c r="AJ845" s="27" t="s">
        <v>43</v>
      </c>
      <c r="AK845" s="27" t="s">
        <v>116</v>
      </c>
      <c r="AL845" s="27" t="s">
        <v>117</v>
      </c>
    </row>
    <row r="846" spans="1:38" x14ac:dyDescent="0.2">
      <c r="A846" s="27" t="s">
        <v>63</v>
      </c>
      <c r="B846" s="27" t="s">
        <v>18</v>
      </c>
      <c r="C846" s="27">
        <v>0</v>
      </c>
      <c r="D846" s="27" t="s">
        <v>4</v>
      </c>
      <c r="F846" s="27" t="str">
        <f t="shared" ref="F846:F848" si="354">IF(C846&gt;=$W$2,"Yes","No")</f>
        <v>No</v>
      </c>
      <c r="G846" s="27" t="s">
        <v>9</v>
      </c>
      <c r="H846" s="27" t="s">
        <v>46</v>
      </c>
      <c r="J846" s="27" t="s">
        <v>6</v>
      </c>
      <c r="K846" s="27">
        <v>12</v>
      </c>
      <c r="L846" s="27" t="s">
        <v>12</v>
      </c>
      <c r="M846" s="27" t="s">
        <v>51</v>
      </c>
      <c r="N846" s="27" t="str">
        <f>IF(K846="N/A","No", IF(K846&gt;1200,"Yes","No"))</f>
        <v>No</v>
      </c>
      <c r="O846" s="27" t="str">
        <f>IF(K846="Not","No",IF(K846="n/a","N/A",IF(K846&gt;=$Y$3,"Yes","No")))</f>
        <v>No</v>
      </c>
      <c r="Q846" s="27" t="s">
        <v>116</v>
      </c>
      <c r="R846" s="27" t="str">
        <f>_xlfn.XLOOKUP("ppm",D846:D850,F846:F850,"N/A")</f>
        <v>No</v>
      </c>
      <c r="S846" s="27" t="str">
        <f>IF(COUNTIF(O846:O848,"Yes"),"Yes","No")</f>
        <v>No</v>
      </c>
      <c r="U846" s="27" t="s">
        <v>92</v>
      </c>
      <c r="V846" s="27" t="s">
        <v>120</v>
      </c>
      <c r="W846" s="27" t="s">
        <v>120</v>
      </c>
      <c r="X846" s="27" t="str">
        <f>IF(V846="N/A","N/A",IF(W846="N/A", "N/A", IF(V846=W846, "Yes","No")))</f>
        <v>N/A</v>
      </c>
      <c r="AI846" s="27">
        <f>COUNTIF(H845:H850,"Exterior")</f>
        <v>1</v>
      </c>
      <c r="AJ846" s="27">
        <f>COUNTIF(H845:H850, "Interior")</f>
        <v>1</v>
      </c>
      <c r="AK846" s="27">
        <f>COUNTIFS(D845:D850,"ppm")+COUNTIFS(D845:D850,"mg/Kg")</f>
        <v>1</v>
      </c>
      <c r="AL846" s="27">
        <f>COUNTIF(D845:D850,"ug/ft2")</f>
        <v>2</v>
      </c>
    </row>
    <row r="847" spans="1:38" x14ac:dyDescent="0.2">
      <c r="A847" s="27" t="s">
        <v>83</v>
      </c>
      <c r="B847" s="27" t="s">
        <v>69</v>
      </c>
      <c r="C847" s="65" t="s">
        <v>328</v>
      </c>
      <c r="D847" s="27" t="s">
        <v>12</v>
      </c>
      <c r="F847" s="63" t="s">
        <v>9</v>
      </c>
      <c r="G847" s="27" t="s">
        <v>9</v>
      </c>
      <c r="J847" s="27" t="s">
        <v>11</v>
      </c>
      <c r="K847" s="27">
        <v>3</v>
      </c>
      <c r="L847" s="27" t="s">
        <v>12</v>
      </c>
      <c r="M847" s="27" t="s">
        <v>51</v>
      </c>
      <c r="N847" s="27" t="str">
        <f t="shared" ref="N847:N848" si="355">IF(K847="N/A","No", IF(K847&gt;1200,"Yes","No"))</f>
        <v>No</v>
      </c>
      <c r="O847" s="27" t="str">
        <f t="shared" ref="O847:O848" si="356">IF(K847="Not","No",IF(K847="n/a","N/A",IF(K847&gt;$Y$3,"Yes","No")))</f>
        <v>No</v>
      </c>
      <c r="Q847" s="27" t="s">
        <v>98</v>
      </c>
      <c r="R847" s="63" t="s">
        <v>9</v>
      </c>
      <c r="S847" s="27" t="str">
        <f>IF(COUNTIF(O849:O850,"Yes"),"Yes","No")</f>
        <v>No</v>
      </c>
      <c r="U847" s="27" t="s">
        <v>95</v>
      </c>
      <c r="V847" s="27" t="str">
        <f>R846</f>
        <v>No</v>
      </c>
      <c r="W847" s="27" t="str">
        <f>S846</f>
        <v>No</v>
      </c>
      <c r="X847" s="27" t="str">
        <f t="shared" ref="X847:X850" si="357">IF(V847="N/A","N/A",IF(W847="N/A", "N/A", IF(V847=W847, "Yes","No")))</f>
        <v>Yes</v>
      </c>
    </row>
    <row r="848" spans="1:38" x14ac:dyDescent="0.2">
      <c r="A848" s="27" t="s">
        <v>71</v>
      </c>
      <c r="B848" s="27" t="s">
        <v>40</v>
      </c>
      <c r="C848" s="27">
        <v>0</v>
      </c>
      <c r="D848" s="27" t="s">
        <v>4</v>
      </c>
      <c r="F848" s="27" t="str">
        <f t="shared" si="354"/>
        <v>No</v>
      </c>
      <c r="G848" s="27" t="s">
        <v>9</v>
      </c>
      <c r="H848" s="27" t="s">
        <v>43</v>
      </c>
      <c r="J848" s="27" t="s">
        <v>15</v>
      </c>
      <c r="K848" s="27">
        <v>14</v>
      </c>
      <c r="L848" s="27" t="s">
        <v>12</v>
      </c>
      <c r="M848" s="27" t="s">
        <v>51</v>
      </c>
      <c r="N848" s="27" t="str">
        <f t="shared" si="355"/>
        <v>No</v>
      </c>
      <c r="O848" s="27" t="str">
        <f t="shared" si="356"/>
        <v>No</v>
      </c>
      <c r="Q848" s="27" t="s">
        <v>117</v>
      </c>
      <c r="R848" s="27" t="str">
        <f>_xlfn.XLOOKUP("ug/ft2",D846:D850,F846:F850,"N/A")</f>
        <v>No</v>
      </c>
      <c r="S848" s="27" t="str">
        <f>IF(COUNTIF(O851:O854,"Yes"),"Yes","No")</f>
        <v>No</v>
      </c>
      <c r="U848" s="27" t="s">
        <v>163</v>
      </c>
      <c r="V848" s="27" t="s">
        <v>5</v>
      </c>
      <c r="W848" s="27" t="s">
        <v>120</v>
      </c>
      <c r="X848" s="27" t="str">
        <f t="shared" si="357"/>
        <v>N/A</v>
      </c>
    </row>
    <row r="849" spans="1:38" x14ac:dyDescent="0.2">
      <c r="A849" s="27" t="s">
        <v>71</v>
      </c>
      <c r="B849" s="27" t="s">
        <v>32</v>
      </c>
      <c r="C849" s="27">
        <v>3</v>
      </c>
      <c r="D849" s="27" t="s">
        <v>33</v>
      </c>
      <c r="F849" s="27" t="str">
        <f t="shared" ref="F849:F850" si="358">IF(C849&gt;$W$6,"Yes","No")</f>
        <v>No</v>
      </c>
      <c r="G849" s="27" t="s">
        <v>9</v>
      </c>
      <c r="J849" s="27" t="s">
        <v>19</v>
      </c>
      <c r="K849" s="27">
        <v>7</v>
      </c>
      <c r="L849" s="27" t="s">
        <v>12</v>
      </c>
      <c r="M849" s="27" t="s">
        <v>51</v>
      </c>
      <c r="N849" s="27" t="str">
        <f>IF(K849="N/A","No", IF(K849&gt;5000,"Yes","No"))</f>
        <v>No</v>
      </c>
      <c r="O849" s="27" t="str">
        <f>IF(K849="Not","No",IF(K849="n/a","N/A",IF(K849&gt;$Y$2,"Yes","No")))</f>
        <v>No</v>
      </c>
      <c r="Q849" s="27" t="s">
        <v>118</v>
      </c>
      <c r="R849" s="27" t="str">
        <f>IF(COUNTIF(R846:R848,"Yes"),"Yes","No")</f>
        <v>No</v>
      </c>
      <c r="S849" s="27" t="str">
        <f>IF(COUNTIF(S846:S848,"Yes"),"Yes","No")</f>
        <v>No</v>
      </c>
      <c r="U849" s="27" t="s">
        <v>164</v>
      </c>
      <c r="V849" s="27" t="s">
        <v>5</v>
      </c>
      <c r="W849" s="27" t="s">
        <v>120</v>
      </c>
      <c r="X849" s="27" t="str">
        <f t="shared" si="357"/>
        <v>N/A</v>
      </c>
    </row>
    <row r="850" spans="1:38" x14ac:dyDescent="0.2">
      <c r="A850" s="27" t="s">
        <v>64</v>
      </c>
      <c r="B850" s="27" t="s">
        <v>32</v>
      </c>
      <c r="C850" s="27">
        <v>3</v>
      </c>
      <c r="D850" s="27" t="s">
        <v>33</v>
      </c>
      <c r="F850" s="27" t="str">
        <f t="shared" si="358"/>
        <v>No</v>
      </c>
      <c r="G850" s="27" t="s">
        <v>9</v>
      </c>
      <c r="J850" s="27" t="s">
        <v>22</v>
      </c>
      <c r="K850" s="27" t="s">
        <v>120</v>
      </c>
      <c r="L850" s="27" t="s">
        <v>12</v>
      </c>
      <c r="M850" s="27" t="s">
        <v>66</v>
      </c>
      <c r="N850" s="27" t="str">
        <f>IF(K850="N/A","No", IF(K850&gt;5000,"Yes","No"))</f>
        <v>No</v>
      </c>
      <c r="O850" s="27" t="str">
        <f>IF(K850="Not","No",IF(K850="n/a","N/A",IF(K850&gt;$Y$2,"Yes","No")))</f>
        <v>N/A</v>
      </c>
      <c r="U850" s="27" t="s">
        <v>162</v>
      </c>
      <c r="V850" s="27" t="str">
        <f>R847</f>
        <v>No</v>
      </c>
      <c r="W850" s="27" t="str">
        <f>S847</f>
        <v>No</v>
      </c>
      <c r="X850" s="27" t="str">
        <f t="shared" si="357"/>
        <v>Yes</v>
      </c>
    </row>
    <row r="851" spans="1:38" x14ac:dyDescent="0.2">
      <c r="J851" s="27" t="s">
        <v>25</v>
      </c>
      <c r="K851" s="27">
        <v>0</v>
      </c>
      <c r="L851" s="27" t="s">
        <v>12</v>
      </c>
      <c r="M851" s="27" t="s">
        <v>51</v>
      </c>
      <c r="N851" s="27" t="str">
        <f>IF(K851="N/A","No", IF(K851&gt;20,"Yes","No"))</f>
        <v>No</v>
      </c>
      <c r="O851" s="27" t="str">
        <f t="shared" ref="O851:O852" si="359">IF(K851="Not","No",IF(K851="n/a","N/A",IF(K851&gt;$Y$6,"Yes","No")))</f>
        <v>No</v>
      </c>
      <c r="U851" s="27" t="s">
        <v>101</v>
      </c>
      <c r="V851" s="27" t="s">
        <v>9</v>
      </c>
      <c r="W851" s="27" t="s">
        <v>120</v>
      </c>
      <c r="X851" s="27" t="str">
        <f>IF(V851="N/A","N/A",IF(W851="N/A", "N/A", IF(V851=W851, "Yes","No")))</f>
        <v>N/A</v>
      </c>
    </row>
    <row r="852" spans="1:38" x14ac:dyDescent="0.2">
      <c r="J852" s="27" t="s">
        <v>29</v>
      </c>
      <c r="K852" s="27">
        <v>0</v>
      </c>
      <c r="L852" s="27" t="s">
        <v>12</v>
      </c>
      <c r="M852" s="27" t="s">
        <v>51</v>
      </c>
      <c r="N852" s="27" t="str">
        <f>IF(K852="N/A","No", IF(K852&gt;20,"Yes","No"))</f>
        <v>No</v>
      </c>
      <c r="O852" s="27" t="str">
        <f t="shared" si="359"/>
        <v>No</v>
      </c>
      <c r="U852" s="27" t="s">
        <v>104</v>
      </c>
      <c r="V852" s="27" t="s">
        <v>120</v>
      </c>
      <c r="W852" s="27" t="s">
        <v>120</v>
      </c>
      <c r="X852" s="27" t="str">
        <f>IF(V852="N/A","N/A",IF(W852="N/A", "N/A", IF(V852=W852, "Yes","No")))</f>
        <v>N/A</v>
      </c>
    </row>
    <row r="853" spans="1:38" x14ac:dyDescent="0.2">
      <c r="J853" s="27" t="s">
        <v>34</v>
      </c>
      <c r="K853" s="27">
        <v>0</v>
      </c>
      <c r="L853" s="27" t="s">
        <v>12</v>
      </c>
      <c r="M853" s="27" t="s">
        <v>51</v>
      </c>
      <c r="N853" s="27" t="str">
        <f>IF(K853="N/A","No", IF(K853&gt;230,"Yes","No"))</f>
        <v>No</v>
      </c>
      <c r="O853" s="27" t="str">
        <f>IF(K853="Not","No",IF(K853="n/a","N/A",IF(K853&gt;$Y$5,"Yes","No")))</f>
        <v>No</v>
      </c>
      <c r="U853" s="27" t="s">
        <v>106</v>
      </c>
      <c r="V853" s="27" t="str">
        <f>R848</f>
        <v>No</v>
      </c>
      <c r="W853" s="27" t="str">
        <f>S848</f>
        <v>No</v>
      </c>
      <c r="X853" s="27" t="str">
        <f>IF(V853="N/A","N/A",IF(W853="N/A", "N/A", IF(V853=W853, "Yes","No")))</f>
        <v>Yes</v>
      </c>
    </row>
    <row r="854" spans="1:38" x14ac:dyDescent="0.2">
      <c r="J854" s="27" t="s">
        <v>208</v>
      </c>
      <c r="K854" s="27" t="s">
        <v>120</v>
      </c>
      <c r="L854" s="27" t="s">
        <v>12</v>
      </c>
      <c r="M854" s="27" t="s">
        <v>320</v>
      </c>
      <c r="N854" s="27" t="str">
        <f>IF(K854="N/A","No", IF(K854&gt;20,"Yes","No"))</f>
        <v>No</v>
      </c>
      <c r="O854" s="27" t="str">
        <f>IF(K854="Not","No",IF(K854="n/a","N/A",IF(K854&gt;$Y$7,"Yes","No")))</f>
        <v>N/A</v>
      </c>
      <c r="U854" s="27" t="s">
        <v>121</v>
      </c>
      <c r="V854" s="27" t="str">
        <f>R849</f>
        <v>No</v>
      </c>
      <c r="W854" s="27" t="str">
        <f>S849</f>
        <v>No</v>
      </c>
      <c r="X854" s="27" t="str">
        <f>IF(V854="N/A","N/A",IF(W854="N/A", "N/A", IF(V854=W854, "Yes","No")))</f>
        <v>Yes</v>
      </c>
    </row>
    <row r="856" spans="1:38" x14ac:dyDescent="0.2">
      <c r="A856" s="27">
        <v>1265</v>
      </c>
      <c r="B856" s="27" t="s">
        <v>111</v>
      </c>
      <c r="C856" s="27">
        <v>56</v>
      </c>
    </row>
    <row r="857" spans="1:38" x14ac:dyDescent="0.2">
      <c r="A857" s="59" t="s">
        <v>0</v>
      </c>
      <c r="E857" s="27" t="s">
        <v>274</v>
      </c>
      <c r="F857" s="27" t="s">
        <v>275</v>
      </c>
      <c r="G857" s="27" t="s">
        <v>119</v>
      </c>
      <c r="J857" s="59" t="s">
        <v>1</v>
      </c>
      <c r="N857" s="27" t="s">
        <v>277</v>
      </c>
      <c r="O857" s="27" t="s">
        <v>278</v>
      </c>
      <c r="Q857" s="59" t="s">
        <v>115</v>
      </c>
      <c r="R857" s="59" t="s">
        <v>0</v>
      </c>
      <c r="S857" s="59" t="s">
        <v>1</v>
      </c>
      <c r="U857" s="59" t="s">
        <v>115</v>
      </c>
      <c r="V857" s="59" t="s">
        <v>0</v>
      </c>
      <c r="W857" s="59" t="s">
        <v>1</v>
      </c>
      <c r="X857" s="59" t="s">
        <v>122</v>
      </c>
      <c r="AA857" s="27" t="str">
        <f>IF(R858="Yes","LRA-Soil","")</f>
        <v/>
      </c>
      <c r="AB857" s="27" t="str">
        <f>IF(R859="Yes","LRA-Paint","")</f>
        <v>LRA-Paint</v>
      </c>
      <c r="AC857" s="27" t="str">
        <f>IF(R860="Yes","LRA-Dust","")</f>
        <v/>
      </c>
      <c r="AD857" s="27" t="str">
        <f>IF(S858="Yes","LSK-Soil","")</f>
        <v/>
      </c>
      <c r="AE857" s="27" t="str">
        <f>IF(S859="Yes","LSK-Paint","")</f>
        <v>LSK-Paint</v>
      </c>
      <c r="AF857" s="27" t="str">
        <f>IF(S860="Yes","LSK-Dust","")</f>
        <v>LSK-Dust</v>
      </c>
      <c r="AI857" s="27" t="s">
        <v>46</v>
      </c>
      <c r="AJ857" s="27" t="s">
        <v>43</v>
      </c>
      <c r="AK857" s="27" t="s">
        <v>116</v>
      </c>
      <c r="AL857" s="27" t="s">
        <v>117</v>
      </c>
    </row>
    <row r="858" spans="1:38" x14ac:dyDescent="0.2">
      <c r="A858" s="27" t="s">
        <v>63</v>
      </c>
      <c r="B858" s="27" t="s">
        <v>10</v>
      </c>
      <c r="C858" s="27">
        <v>0.4</v>
      </c>
      <c r="D858" s="27" t="s">
        <v>4</v>
      </c>
      <c r="F858" s="27" t="str">
        <f t="shared" ref="F858:F859" si="360">IF(C858&gt;=$W$2,"Yes","No")</f>
        <v>No</v>
      </c>
      <c r="G858" s="27" t="s">
        <v>9</v>
      </c>
      <c r="H858" s="27" t="s">
        <v>46</v>
      </c>
      <c r="J858" s="27" t="s">
        <v>6</v>
      </c>
      <c r="K858" s="27">
        <v>15</v>
      </c>
      <c r="L858" s="27" t="s">
        <v>12</v>
      </c>
      <c r="M858" s="27" t="s">
        <v>114</v>
      </c>
      <c r="N858" s="27" t="str">
        <f>IF(K858="N/A","No", IF(K858&gt;1200,"Yes","No"))</f>
        <v>No</v>
      </c>
      <c r="O858" s="27" t="str">
        <f>IF(K858="Not","No",IF(K858="n/a","N/A",IF(K858&gt;=$Y$3,"Yes","No")))</f>
        <v>No</v>
      </c>
      <c r="Q858" s="27" t="s">
        <v>116</v>
      </c>
      <c r="R858" s="27" t="str">
        <f>_xlfn.XLOOKUP("ppm",D858:D862,F858:F862,"N/A")</f>
        <v>No</v>
      </c>
      <c r="S858" s="27" t="str">
        <f>IF(COUNTIF(O858:O860,"Yes"),"Yes","No")</f>
        <v>No</v>
      </c>
      <c r="U858" s="27" t="s">
        <v>92</v>
      </c>
      <c r="V858" s="27" t="s">
        <v>9</v>
      </c>
      <c r="W858" s="27" t="s">
        <v>120</v>
      </c>
      <c r="X858" s="27" t="str">
        <f>IF(V858="N/A","N/A",IF(W858="N/A", "N/A", IF(V858=W858, "Yes","No")))</f>
        <v>N/A</v>
      </c>
      <c r="AI858" s="27">
        <f>COUNTIF(H857:H869,"Exterior")</f>
        <v>2</v>
      </c>
      <c r="AJ858" s="27">
        <f>COUNTIF(H857:H869, "Interior")</f>
        <v>2</v>
      </c>
      <c r="AK858" s="27">
        <f>COUNTIFS(D857:D869,"ppm")+COUNTIFS(D857:D869,"mg/Kg")</f>
        <v>1</v>
      </c>
      <c r="AL858" s="27">
        <f>COUNTIF(D857:D869,"ug/ft2")</f>
        <v>6</v>
      </c>
    </row>
    <row r="859" spans="1:38" x14ac:dyDescent="0.2">
      <c r="A859" s="27" t="s">
        <v>63</v>
      </c>
      <c r="B859" s="27" t="s">
        <v>24</v>
      </c>
      <c r="C859" s="27">
        <v>0.9</v>
      </c>
      <c r="D859" s="27" t="s">
        <v>4</v>
      </c>
      <c r="F859" s="27" t="str">
        <f t="shared" si="360"/>
        <v>No</v>
      </c>
      <c r="G859" s="27" t="s">
        <v>9</v>
      </c>
      <c r="H859" s="27" t="s">
        <v>46</v>
      </c>
      <c r="J859" s="27" t="s">
        <v>11</v>
      </c>
      <c r="K859" s="27">
        <v>39.6</v>
      </c>
      <c r="L859" s="27" t="s">
        <v>12</v>
      </c>
      <c r="M859" s="27" t="s">
        <v>67</v>
      </c>
      <c r="N859" s="27" t="str">
        <f t="shared" ref="N859:N860" si="361">IF(K859="N/A","No", IF(K859&gt;1200,"Yes","No"))</f>
        <v>No</v>
      </c>
      <c r="O859" s="27" t="str">
        <f t="shared" ref="O859:O860" si="362">IF(K859="Not","No",IF(K859="n/a","N/A",IF(K859&gt;$Y$3,"Yes","No")))</f>
        <v>No</v>
      </c>
      <c r="Q859" s="27" t="s">
        <v>98</v>
      </c>
      <c r="R859" s="27" t="str">
        <f>_xlfn.XLOOKUP("mg/cm2",D858:D862,G858:G862,"N/A",1,-1)</f>
        <v>Yes</v>
      </c>
      <c r="S859" s="27" t="str">
        <f>IF(COUNTIF(O861:O862,"Yes"),"Yes","No")</f>
        <v>Yes</v>
      </c>
      <c r="U859" s="27" t="s">
        <v>95</v>
      </c>
      <c r="V859" s="27" t="str">
        <f>R858</f>
        <v>No</v>
      </c>
      <c r="W859" s="27" t="str">
        <f>S858</f>
        <v>No</v>
      </c>
      <c r="X859" s="27" t="str">
        <f t="shared" ref="X859:X862" si="363">IF(V859="N/A","N/A",IF(W859="N/A", "N/A", IF(V859=W859, "Yes","No")))</f>
        <v>Yes</v>
      </c>
    </row>
    <row r="860" spans="1:38" x14ac:dyDescent="0.2">
      <c r="A860" s="27" t="s">
        <v>161</v>
      </c>
      <c r="B860" s="27" t="s">
        <v>28</v>
      </c>
      <c r="C860" s="27">
        <v>27.6</v>
      </c>
      <c r="D860" s="27" t="s">
        <v>12</v>
      </c>
      <c r="F860" s="27" t="str">
        <f>IF(C860&gt;$W$3,"Yes","No")</f>
        <v>No</v>
      </c>
      <c r="G860" s="27" t="s">
        <v>9</v>
      </c>
      <c r="J860" s="27" t="s">
        <v>15</v>
      </c>
      <c r="K860" s="27">
        <v>216</v>
      </c>
      <c r="L860" s="27" t="s">
        <v>12</v>
      </c>
      <c r="M860" s="27" t="s">
        <v>112</v>
      </c>
      <c r="N860" s="27" t="str">
        <f t="shared" si="361"/>
        <v>No</v>
      </c>
      <c r="O860" s="27" t="str">
        <f t="shared" si="362"/>
        <v>No</v>
      </c>
      <c r="Q860" s="27" t="s">
        <v>117</v>
      </c>
      <c r="R860" s="27" t="str">
        <f>_xlfn.XLOOKUP("ug/ft2",D858:D862,F858:F862,"N/A")</f>
        <v>N/A</v>
      </c>
      <c r="S860" s="27" t="str">
        <f>IF(COUNTIF(O863:O866,"Yes"),"Yes","No")</f>
        <v>Yes</v>
      </c>
      <c r="U860" s="27" t="s">
        <v>163</v>
      </c>
      <c r="V860" s="27" t="s">
        <v>5</v>
      </c>
      <c r="W860" s="27" t="str">
        <f>O862</f>
        <v>No</v>
      </c>
      <c r="X860" s="27" t="str">
        <f t="shared" si="363"/>
        <v>No</v>
      </c>
    </row>
    <row r="861" spans="1:38" x14ac:dyDescent="0.2">
      <c r="A861" s="27" t="s">
        <v>64</v>
      </c>
      <c r="B861" s="27" t="s">
        <v>40</v>
      </c>
      <c r="C861" s="27">
        <v>6.5</v>
      </c>
      <c r="D861" s="27" t="s">
        <v>4</v>
      </c>
      <c r="F861" s="27" t="str">
        <f t="shared" ref="F861:F862" si="364">IF(C861&gt;=$W$2,"Yes","No")</f>
        <v>Yes</v>
      </c>
      <c r="G861" s="27" t="s">
        <v>5</v>
      </c>
      <c r="H861" s="27" t="s">
        <v>43</v>
      </c>
      <c r="J861" s="27" t="s">
        <v>19</v>
      </c>
      <c r="K861" s="27">
        <v>13467</v>
      </c>
      <c r="L861" s="27" t="s">
        <v>12</v>
      </c>
      <c r="M861" s="27" t="s">
        <v>46</v>
      </c>
      <c r="N861" s="27" t="str">
        <f>IF(K861="N/A","No", IF(K861&gt;5000,"Yes","No"))</f>
        <v>Yes</v>
      </c>
      <c r="O861" s="27" t="str">
        <f>IF(K861="Not","No",IF(K861="n/a","N/A",IF(K861&gt;$Y$2,"Yes","No")))</f>
        <v>Yes</v>
      </c>
      <c r="Q861" s="27" t="s">
        <v>118</v>
      </c>
      <c r="R861" s="27" t="str">
        <f>IF(COUNTIF(R858:R860,"Yes"),"Yes","No")</f>
        <v>Yes</v>
      </c>
      <c r="S861" s="27" t="str">
        <f>IF(COUNTIF(S858:S860,"Yes"),"Yes","No")</f>
        <v>Yes</v>
      </c>
      <c r="U861" s="27" t="s">
        <v>164</v>
      </c>
      <c r="V861" s="27" t="s">
        <v>9</v>
      </c>
      <c r="W861" s="27" t="str">
        <f>O861</f>
        <v>Yes</v>
      </c>
      <c r="X861" s="27" t="str">
        <f t="shared" si="363"/>
        <v>No</v>
      </c>
    </row>
    <row r="862" spans="1:38" x14ac:dyDescent="0.2">
      <c r="A862" s="27" t="s">
        <v>64</v>
      </c>
      <c r="B862" s="27" t="s">
        <v>40</v>
      </c>
      <c r="C862" s="27">
        <v>7.1</v>
      </c>
      <c r="D862" s="27" t="s">
        <v>4</v>
      </c>
      <c r="F862" s="27" t="str">
        <f t="shared" si="364"/>
        <v>Yes</v>
      </c>
      <c r="G862" s="27" t="s">
        <v>5</v>
      </c>
      <c r="H862" s="27" t="s">
        <v>43</v>
      </c>
      <c r="J862" s="27" t="s">
        <v>22</v>
      </c>
      <c r="K862" s="27">
        <v>40</v>
      </c>
      <c r="L862" s="27" t="s">
        <v>12</v>
      </c>
      <c r="M862" s="27" t="s">
        <v>43</v>
      </c>
      <c r="N862" s="27" t="str">
        <f>IF(K862="N/A","No", IF(K862&gt;5000,"Yes","No"))</f>
        <v>No</v>
      </c>
      <c r="O862" s="27" t="str">
        <f>IF(K862="Not","No",IF(K862="n/a","N/A",IF(K862&gt;$Y$2,"Yes","No")))</f>
        <v>No</v>
      </c>
      <c r="U862" s="27" t="s">
        <v>162</v>
      </c>
      <c r="V862" s="27" t="str">
        <f>R859</f>
        <v>Yes</v>
      </c>
      <c r="W862" s="27" t="str">
        <f>S859</f>
        <v>Yes</v>
      </c>
      <c r="X862" s="27" t="str">
        <f t="shared" si="363"/>
        <v>Yes</v>
      </c>
    </row>
    <row r="863" spans="1:38" x14ac:dyDescent="0.2">
      <c r="A863" s="27" t="s">
        <v>113</v>
      </c>
      <c r="B863" s="27" t="s">
        <v>32</v>
      </c>
      <c r="C863" s="27">
        <v>19.7</v>
      </c>
      <c r="D863" s="27" t="s">
        <v>33</v>
      </c>
      <c r="F863" s="27" t="str">
        <f t="shared" ref="F863:F864" si="365">IF(C863&gt;$W$6,"Yes","No")</f>
        <v>Yes</v>
      </c>
      <c r="G863" s="27" t="s">
        <v>5</v>
      </c>
      <c r="J863" s="27" t="s">
        <v>25</v>
      </c>
      <c r="K863" s="27">
        <v>11</v>
      </c>
      <c r="L863" s="27" t="s">
        <v>12</v>
      </c>
      <c r="M863" s="27" t="s">
        <v>126</v>
      </c>
      <c r="N863" s="27" t="str">
        <f>IF(K863="N/A","No", IF(K863&gt;20,"Yes","No"))</f>
        <v>No</v>
      </c>
      <c r="O863" s="27" t="str">
        <f t="shared" ref="O863:O864" si="366">IF(K863="Not","No",IF(K863="n/a","N/A",IF(K863&gt;$Y$6,"Yes","No")))</f>
        <v>No</v>
      </c>
      <c r="U863" s="27" t="s">
        <v>101</v>
      </c>
      <c r="V863" s="27" t="s">
        <v>5</v>
      </c>
      <c r="W863" s="27" t="s">
        <v>9</v>
      </c>
      <c r="X863" s="27" t="str">
        <f>IF(V863="N/A","N/A",IF(W863="N/A", "N/A", IF(V863=W863, "Yes","No")))</f>
        <v>No</v>
      </c>
    </row>
    <row r="864" spans="1:38" x14ac:dyDescent="0.2">
      <c r="A864" s="27" t="s">
        <v>109</v>
      </c>
      <c r="B864" s="27" t="s">
        <v>32</v>
      </c>
      <c r="C864" s="27">
        <v>51.3</v>
      </c>
      <c r="D864" s="27" t="s">
        <v>33</v>
      </c>
      <c r="F864" s="27" t="str">
        <f t="shared" si="365"/>
        <v>Yes</v>
      </c>
      <c r="G864" s="27" t="s">
        <v>5</v>
      </c>
      <c r="J864" s="27" t="s">
        <v>29</v>
      </c>
      <c r="K864" s="27">
        <v>28</v>
      </c>
      <c r="L864" s="27" t="s">
        <v>12</v>
      </c>
      <c r="M864" s="27" t="s">
        <v>222</v>
      </c>
      <c r="N864" s="27" t="str">
        <f>IF(K864="N/A","No", IF(K864&gt;20,"Yes","No"))</f>
        <v>Yes</v>
      </c>
      <c r="O864" s="27" t="str">
        <f t="shared" si="366"/>
        <v>Yes</v>
      </c>
      <c r="U864" s="27" t="s">
        <v>104</v>
      </c>
      <c r="V864" s="27" t="s">
        <v>5</v>
      </c>
      <c r="W864" s="27" t="str">
        <f>O865</f>
        <v>No</v>
      </c>
      <c r="X864" s="27" t="str">
        <f>IF(V864="N/A","N/A",IF(W864="N/A", "N/A", IF(V864=W864, "Yes","No")))</f>
        <v>No</v>
      </c>
    </row>
    <row r="865" spans="1:38" x14ac:dyDescent="0.2">
      <c r="A865" s="27" t="s">
        <v>109</v>
      </c>
      <c r="B865" s="27" t="s">
        <v>54</v>
      </c>
      <c r="C865" s="27">
        <v>101.4</v>
      </c>
      <c r="D865" s="27" t="s">
        <v>33</v>
      </c>
      <c r="F865" s="27" t="str">
        <f>IF(C865&gt;$W$5,"Yes","No")</f>
        <v>Yes</v>
      </c>
      <c r="G865" s="27" t="s">
        <v>5</v>
      </c>
      <c r="J865" s="27" t="s">
        <v>34</v>
      </c>
      <c r="K865" s="27">
        <v>44</v>
      </c>
      <c r="L865" s="27" t="s">
        <v>12</v>
      </c>
      <c r="M865" s="27" t="s">
        <v>210</v>
      </c>
      <c r="N865" s="27" t="str">
        <f>IF(K865="N/A","No", IF(K865&gt;230,"Yes","No"))</f>
        <v>No</v>
      </c>
      <c r="O865" s="27" t="str">
        <f>IF(K865="Not","No",IF(K865="n/a","N/A",IF(K865&gt;$Y$5,"Yes","No")))</f>
        <v>No</v>
      </c>
      <c r="U865" s="27" t="s">
        <v>106</v>
      </c>
      <c r="V865" s="27" t="s">
        <v>5</v>
      </c>
      <c r="W865" s="27" t="str">
        <f>S860</f>
        <v>Yes</v>
      </c>
      <c r="X865" s="27" t="str">
        <f>IF(V865="N/A","N/A",IF(W865="N/A", "N/A", IF(V865=W865, "Yes","No")))</f>
        <v>Yes</v>
      </c>
    </row>
    <row r="866" spans="1:38" x14ac:dyDescent="0.2">
      <c r="A866" s="27" t="s">
        <v>71</v>
      </c>
      <c r="B866" s="27" t="s">
        <v>32</v>
      </c>
      <c r="C866" s="27">
        <v>12.8</v>
      </c>
      <c r="D866" s="27" t="s">
        <v>33</v>
      </c>
      <c r="F866" s="27" t="str">
        <f t="shared" ref="F866:F867" si="367">IF(C866&gt;$W$6,"Yes","No")</f>
        <v>Yes</v>
      </c>
      <c r="G866" s="27" t="s">
        <v>5</v>
      </c>
      <c r="J866" s="27" t="s">
        <v>208</v>
      </c>
      <c r="K866" s="27">
        <v>1110</v>
      </c>
      <c r="L866" s="27" t="s">
        <v>12</v>
      </c>
      <c r="M866" s="27" t="s">
        <v>223</v>
      </c>
      <c r="N866" s="27" t="str">
        <f>IF(K866="N/A","No", IF(K866&gt;20,"Yes","No"))</f>
        <v>Yes</v>
      </c>
      <c r="O866" s="27" t="str">
        <f>IF(K866="Not","No",IF(K866="n/a","N/A",IF(K866&gt;$Y$7,"Yes","No")))</f>
        <v>Yes</v>
      </c>
      <c r="U866" s="27" t="s">
        <v>121</v>
      </c>
      <c r="V866" s="27" t="str">
        <f>R861</f>
        <v>Yes</v>
      </c>
      <c r="W866" s="27" t="str">
        <f>S861</f>
        <v>Yes</v>
      </c>
      <c r="X866" s="27" t="str">
        <f>IF(V866="N/A","N/A",IF(W866="N/A", "N/A", IF(V866=W866, "Yes","No")))</f>
        <v>Yes</v>
      </c>
    </row>
    <row r="867" spans="1:38" x14ac:dyDescent="0.2">
      <c r="A867" s="27" t="s">
        <v>71</v>
      </c>
      <c r="B867" s="27" t="s">
        <v>32</v>
      </c>
      <c r="C867" s="27">
        <v>28.3</v>
      </c>
      <c r="D867" s="27" t="s">
        <v>33</v>
      </c>
      <c r="F867" s="27" t="str">
        <f t="shared" si="367"/>
        <v>Yes</v>
      </c>
      <c r="G867" s="27" t="s">
        <v>5</v>
      </c>
    </row>
    <row r="868" spans="1:38" x14ac:dyDescent="0.2">
      <c r="A868" s="27" t="s">
        <v>158</v>
      </c>
      <c r="B868" s="27" t="s">
        <v>54</v>
      </c>
      <c r="C868" s="27">
        <v>429</v>
      </c>
      <c r="D868" s="27" t="s">
        <v>33</v>
      </c>
      <c r="F868" s="27" t="str">
        <f>IF(C868&gt;$W$5,"Yes","No")</f>
        <v>Yes</v>
      </c>
      <c r="G868" s="27" t="s">
        <v>5</v>
      </c>
    </row>
    <row r="871" spans="1:38" x14ac:dyDescent="0.2">
      <c r="A871" s="27">
        <v>1269</v>
      </c>
      <c r="B871" s="27" t="s">
        <v>319</v>
      </c>
      <c r="C871" s="27">
        <v>57</v>
      </c>
    </row>
    <row r="872" spans="1:38" x14ac:dyDescent="0.2">
      <c r="A872" s="59" t="s">
        <v>0</v>
      </c>
      <c r="E872" s="27" t="s">
        <v>274</v>
      </c>
      <c r="F872" s="27" t="s">
        <v>275</v>
      </c>
      <c r="G872" s="27" t="s">
        <v>119</v>
      </c>
      <c r="J872" s="59" t="s">
        <v>1</v>
      </c>
      <c r="N872" s="27" t="s">
        <v>277</v>
      </c>
      <c r="O872" s="27" t="s">
        <v>278</v>
      </c>
      <c r="Q872" s="59" t="s">
        <v>115</v>
      </c>
      <c r="R872" s="59" t="s">
        <v>0</v>
      </c>
      <c r="S872" s="59" t="s">
        <v>1</v>
      </c>
      <c r="U872" s="59" t="s">
        <v>115</v>
      </c>
      <c r="V872" s="59" t="s">
        <v>0</v>
      </c>
      <c r="W872" s="59" t="s">
        <v>1</v>
      </c>
      <c r="X872" s="59" t="s">
        <v>122</v>
      </c>
      <c r="AA872" s="27" t="str">
        <f>IF(R873="Yes","LRA-Soil","")</f>
        <v/>
      </c>
      <c r="AB872" s="27" t="str">
        <f>IF(R874="Yes","LRA-Paint","")</f>
        <v>LRA-Paint</v>
      </c>
      <c r="AC872" s="27" t="str">
        <f>IF(R875="Yes","LRA-Dust","")</f>
        <v>LRA-Dust</v>
      </c>
      <c r="AD872" s="27" t="str">
        <f>IF(S873="Yes","LSK-Soil","")</f>
        <v/>
      </c>
      <c r="AE872" s="27" t="str">
        <f>IF(S874="Yes","LSK-Paint","")</f>
        <v>LSK-Paint</v>
      </c>
      <c r="AF872" s="27" t="str">
        <f>IF(S875="Yes","LSK-Dust","")</f>
        <v/>
      </c>
      <c r="AI872" s="27" t="s">
        <v>46</v>
      </c>
      <c r="AJ872" s="27" t="s">
        <v>43</v>
      </c>
      <c r="AK872" s="27" t="s">
        <v>116</v>
      </c>
      <c r="AL872" s="27" t="s">
        <v>117</v>
      </c>
    </row>
    <row r="873" spans="1:38" x14ac:dyDescent="0.2">
      <c r="A873" s="27" t="s">
        <v>250</v>
      </c>
      <c r="B873" s="27" t="s">
        <v>211</v>
      </c>
      <c r="C873" s="27">
        <v>1</v>
      </c>
      <c r="D873" s="27" t="s">
        <v>4</v>
      </c>
      <c r="F873" s="27" t="str">
        <f t="shared" ref="F873:F878" si="368">IF(C873&gt;=$W$2,"Yes","No")</f>
        <v>Yes</v>
      </c>
      <c r="G873" s="27" t="s">
        <v>5</v>
      </c>
      <c r="H873" s="27" t="s">
        <v>46</v>
      </c>
      <c r="J873" s="27" t="s">
        <v>6</v>
      </c>
      <c r="K873" s="27">
        <v>73</v>
      </c>
      <c r="L873" s="27" t="s">
        <v>12</v>
      </c>
      <c r="M873" s="27" t="s">
        <v>36</v>
      </c>
      <c r="N873" s="27" t="str">
        <f>IF(K873="N/A","No", IF(K873&gt;1200,"Yes","No"))</f>
        <v>No</v>
      </c>
      <c r="O873" s="27" t="str">
        <f>IF(K873="Not","No",IF(K873="n/a","N/A",IF(K873&gt;=$Y$3,"Yes","No")))</f>
        <v>No</v>
      </c>
      <c r="Q873" s="27" t="s">
        <v>116</v>
      </c>
      <c r="R873" s="27" t="str">
        <f>_xlfn.XLOOKUP("ppm",D873:D890,F873:F890,"N/A")</f>
        <v>No</v>
      </c>
      <c r="S873" s="27" t="str">
        <f>IF(COUNTIF(O873:O875,"Yes"),"Yes","No")</f>
        <v>No</v>
      </c>
      <c r="U873" s="27" t="s">
        <v>92</v>
      </c>
      <c r="V873" s="27" t="s">
        <v>120</v>
      </c>
      <c r="W873" s="27" t="s">
        <v>5</v>
      </c>
      <c r="X873" s="27" t="str">
        <f>IF(V873="N/A","N/A",IF(W873="N/A", "N/A", IF(V873=W873, "Yes","No")))</f>
        <v>N/A</v>
      </c>
      <c r="AI873" s="27">
        <f>COUNTIF(H872:H890,"Exterior")</f>
        <v>5</v>
      </c>
      <c r="AJ873" s="27">
        <f>COUNTIF(H872:H890, "Interior")</f>
        <v>10</v>
      </c>
      <c r="AK873" s="27">
        <f>COUNTIFS(D872:D890,"ppm")+COUNTIFS(D872:D890,"mg/Kg")</f>
        <v>1</v>
      </c>
      <c r="AL873" s="27">
        <f>COUNTIF(D872:D890,"ug/ft2")</f>
        <v>2</v>
      </c>
    </row>
    <row r="874" spans="1:38" x14ac:dyDescent="0.2">
      <c r="A874" s="27" t="s">
        <v>235</v>
      </c>
      <c r="B874" s="27" t="s">
        <v>236</v>
      </c>
      <c r="C874" s="27">
        <v>12</v>
      </c>
      <c r="D874" s="27" t="s">
        <v>4</v>
      </c>
      <c r="F874" s="27" t="str">
        <f t="shared" si="368"/>
        <v>Yes</v>
      </c>
      <c r="G874" s="27" t="s">
        <v>5</v>
      </c>
      <c r="H874" s="27" t="s">
        <v>46</v>
      </c>
      <c r="J874" s="27" t="s">
        <v>11</v>
      </c>
      <c r="K874" s="27">
        <v>294</v>
      </c>
      <c r="L874" s="27" t="s">
        <v>12</v>
      </c>
      <c r="M874" s="27" t="s">
        <v>38</v>
      </c>
      <c r="N874" s="27" t="str">
        <f t="shared" ref="N874:N875" si="369">IF(K874="N/A","No", IF(K874&gt;1200,"Yes","No"))</f>
        <v>No</v>
      </c>
      <c r="O874" s="27" t="str">
        <f t="shared" ref="O874:O875" si="370">IF(K874="Not","No",IF(K874="n/a","N/A",IF(K874&gt;$Y$3,"Yes","No")))</f>
        <v>No</v>
      </c>
      <c r="Q874" s="27" t="s">
        <v>98</v>
      </c>
      <c r="R874" s="27" t="str">
        <f>_xlfn.XLOOKUP("mg/cm2",D873:D890,G873:G890,"N/A",1,-1)</f>
        <v>Yes</v>
      </c>
      <c r="S874" s="27" t="str">
        <f>IF(COUNTIF(O876:O877,"Yes"),"Yes","No")</f>
        <v>Yes</v>
      </c>
      <c r="U874" s="27" t="s">
        <v>95</v>
      </c>
      <c r="V874" s="27" t="str">
        <f>R873</f>
        <v>No</v>
      </c>
      <c r="W874" s="27" t="str">
        <f>S873</f>
        <v>No</v>
      </c>
      <c r="X874" s="27" t="str">
        <f t="shared" ref="X874:X877" si="371">IF(V874="N/A","N/A",IF(W874="N/A", "N/A", IF(V874=W874, "Yes","No")))</f>
        <v>Yes</v>
      </c>
    </row>
    <row r="875" spans="1:38" x14ac:dyDescent="0.2">
      <c r="A875" s="27" t="s">
        <v>235</v>
      </c>
      <c r="B875" s="27" t="s">
        <v>211</v>
      </c>
      <c r="C875" s="27">
        <v>2.4</v>
      </c>
      <c r="D875" s="27" t="s">
        <v>4</v>
      </c>
      <c r="F875" s="27" t="str">
        <f t="shared" si="368"/>
        <v>Yes</v>
      </c>
      <c r="G875" s="27" t="s">
        <v>5</v>
      </c>
      <c r="H875" s="27" t="s">
        <v>46</v>
      </c>
      <c r="J875" s="27" t="s">
        <v>15</v>
      </c>
      <c r="K875" s="27">
        <v>35</v>
      </c>
      <c r="L875" s="27" t="s">
        <v>12</v>
      </c>
      <c r="M875" s="27" t="s">
        <v>41</v>
      </c>
      <c r="N875" s="27" t="str">
        <f t="shared" si="369"/>
        <v>No</v>
      </c>
      <c r="O875" s="27" t="str">
        <f t="shared" si="370"/>
        <v>No</v>
      </c>
      <c r="Q875" s="27" t="s">
        <v>117</v>
      </c>
      <c r="R875" s="27" t="str">
        <f>_xlfn.XLOOKUP("ug/ft2",D873:D890,F873:F890,"N/A")</f>
        <v>Yes</v>
      </c>
      <c r="S875" s="27" t="str">
        <f>IF(COUNTIF(O878:O881,"Yes"),"Yes","No")</f>
        <v>No</v>
      </c>
      <c r="U875" s="27" t="s">
        <v>163</v>
      </c>
      <c r="V875" s="27" t="s">
        <v>5</v>
      </c>
      <c r="W875" s="27" t="s">
        <v>9</v>
      </c>
      <c r="X875" s="27" t="str">
        <f t="shared" si="371"/>
        <v>No</v>
      </c>
    </row>
    <row r="876" spans="1:38" x14ac:dyDescent="0.2">
      <c r="A876" s="27" t="s">
        <v>185</v>
      </c>
      <c r="B876" s="27" t="s">
        <v>211</v>
      </c>
      <c r="C876" s="27">
        <v>4.5</v>
      </c>
      <c r="D876" s="27" t="s">
        <v>4</v>
      </c>
      <c r="F876" s="27" t="str">
        <f t="shared" si="368"/>
        <v>Yes</v>
      </c>
      <c r="G876" s="27" t="s">
        <v>5</v>
      </c>
      <c r="H876" s="27" t="s">
        <v>46</v>
      </c>
      <c r="J876" s="27" t="s">
        <v>19</v>
      </c>
      <c r="K876" s="27">
        <v>3</v>
      </c>
      <c r="L876" s="27" t="s">
        <v>12</v>
      </c>
      <c r="M876" s="27" t="s">
        <v>329</v>
      </c>
      <c r="N876" s="27" t="str">
        <f>IF(K876="N/A","No", IF(K876&gt;5000,"Yes","No"))</f>
        <v>No</v>
      </c>
      <c r="O876" s="27" t="str">
        <f>IF(K876="Not","No",IF(K876="n/a","N/A",IF(K876&gt;$Y$2,"Yes","No")))</f>
        <v>No</v>
      </c>
      <c r="Q876" s="27" t="s">
        <v>118</v>
      </c>
      <c r="R876" s="27" t="str">
        <f>IF(COUNTIF(R873:R875,"Yes"),"Yes","No")</f>
        <v>Yes</v>
      </c>
      <c r="S876" s="27" t="str">
        <f>IF(COUNTIF(S873:S875,"Yes"),"Yes","No")</f>
        <v>Yes</v>
      </c>
      <c r="U876" s="27" t="s">
        <v>164</v>
      </c>
      <c r="V876" s="27" t="s">
        <v>5</v>
      </c>
      <c r="W876" s="27" t="s">
        <v>5</v>
      </c>
      <c r="X876" s="27" t="str">
        <f t="shared" si="371"/>
        <v>Yes</v>
      </c>
    </row>
    <row r="877" spans="1:38" x14ac:dyDescent="0.2">
      <c r="A877" s="27" t="s">
        <v>200</v>
      </c>
      <c r="B877" s="27" t="s">
        <v>286</v>
      </c>
      <c r="C877" s="27">
        <v>235</v>
      </c>
      <c r="D877" s="27" t="s">
        <v>12</v>
      </c>
      <c r="F877" s="27" t="str">
        <f>IF(C877&gt;$W$3,"Yes","No")</f>
        <v>No</v>
      </c>
      <c r="G877" s="27" t="s">
        <v>9</v>
      </c>
      <c r="H877" s="27" t="s">
        <v>46</v>
      </c>
      <c r="J877" s="27" t="s">
        <v>22</v>
      </c>
      <c r="K877" s="27">
        <v>224856</v>
      </c>
      <c r="L877" s="27" t="s">
        <v>12</v>
      </c>
      <c r="M877" s="27" t="s">
        <v>330</v>
      </c>
      <c r="N877" s="27" t="str">
        <f>IF(K877="N/A","No", IF(K877&gt;5000,"Yes","No"))</f>
        <v>Yes</v>
      </c>
      <c r="O877" s="27" t="str">
        <f>IF(K877="Not","No",IF(K877="n/a","N/A",IF(K877&gt;$Y$2,"Yes","No")))</f>
        <v>Yes</v>
      </c>
      <c r="U877" s="27" t="s">
        <v>162</v>
      </c>
      <c r="V877" s="27" t="str">
        <f>R874</f>
        <v>Yes</v>
      </c>
      <c r="W877" s="27" t="str">
        <f>S874</f>
        <v>Yes</v>
      </c>
      <c r="X877" s="27" t="str">
        <f t="shared" si="371"/>
        <v>Yes</v>
      </c>
    </row>
    <row r="878" spans="1:38" x14ac:dyDescent="0.2">
      <c r="A878" s="27" t="s">
        <v>287</v>
      </c>
      <c r="B878" s="27" t="s">
        <v>211</v>
      </c>
      <c r="C878" s="27">
        <v>1.7</v>
      </c>
      <c r="D878" s="27" t="s">
        <v>4</v>
      </c>
      <c r="F878" s="27" t="str">
        <f t="shared" si="368"/>
        <v>Yes</v>
      </c>
      <c r="G878" s="27" t="s">
        <v>5</v>
      </c>
      <c r="J878" s="27" t="s">
        <v>25</v>
      </c>
      <c r="K878" s="27">
        <v>5</v>
      </c>
      <c r="L878" s="27" t="s">
        <v>12</v>
      </c>
      <c r="M878" s="27" t="s">
        <v>331</v>
      </c>
      <c r="N878" s="27" t="str">
        <f>IF(K878="N/A","No", IF(K878&gt;20,"Yes","No"))</f>
        <v>No</v>
      </c>
      <c r="O878" s="27" t="str">
        <f t="shared" ref="O878:O879" si="372">IF(K878="Not","No",IF(K878="n/a","N/A",IF(K878&gt;$Y$6,"Yes","No")))</f>
        <v>No</v>
      </c>
      <c r="U878" s="27" t="s">
        <v>101</v>
      </c>
      <c r="V878" s="27" t="s">
        <v>5</v>
      </c>
      <c r="W878" s="27" t="s">
        <v>9</v>
      </c>
      <c r="X878" s="27" t="str">
        <f>IF(V878="N/A","N/A",IF(W878="N/A", "N/A", IF(V878=W878, "Yes","No")))</f>
        <v>No</v>
      </c>
    </row>
    <row r="879" spans="1:38" x14ac:dyDescent="0.2">
      <c r="A879" s="27" t="s">
        <v>213</v>
      </c>
      <c r="B879" s="27" t="s">
        <v>189</v>
      </c>
      <c r="C879" s="27">
        <v>1.4</v>
      </c>
      <c r="D879" s="27" t="s">
        <v>4</v>
      </c>
      <c r="F879" s="27" t="str">
        <f t="shared" ref="F879:F888" si="373">IF(C879&gt;=$W$2,"Yes","No")</f>
        <v>Yes</v>
      </c>
      <c r="G879" s="27" t="s">
        <v>5</v>
      </c>
      <c r="H879" s="27" t="s">
        <v>43</v>
      </c>
      <c r="J879" s="27" t="s">
        <v>29</v>
      </c>
      <c r="K879" s="27">
        <v>0</v>
      </c>
      <c r="L879" s="27" t="s">
        <v>12</v>
      </c>
      <c r="M879" s="27" t="s">
        <v>332</v>
      </c>
      <c r="N879" s="27" t="str">
        <f>IF(K879="N/A","No", IF(K879&gt;20,"Yes","No"))</f>
        <v>No</v>
      </c>
      <c r="O879" s="27" t="str">
        <f t="shared" si="372"/>
        <v>No</v>
      </c>
      <c r="U879" s="27" t="s">
        <v>104</v>
      </c>
      <c r="V879" s="27" t="s">
        <v>9</v>
      </c>
      <c r="W879" s="27" t="s">
        <v>9</v>
      </c>
      <c r="X879" s="27" t="str">
        <f>IF(V879="N/A","N/A",IF(W879="N/A", "N/A", IF(V879=W879, "Yes","No")))</f>
        <v>Yes</v>
      </c>
    </row>
    <row r="880" spans="1:38" x14ac:dyDescent="0.2">
      <c r="A880" s="27" t="s">
        <v>213</v>
      </c>
      <c r="B880" s="27" t="s">
        <v>189</v>
      </c>
      <c r="C880" s="27">
        <v>1.2</v>
      </c>
      <c r="D880" s="27" t="s">
        <v>4</v>
      </c>
      <c r="F880" s="27" t="str">
        <f t="shared" si="373"/>
        <v>Yes</v>
      </c>
      <c r="G880" s="27" t="s">
        <v>9</v>
      </c>
      <c r="H880" s="27" t="s">
        <v>43</v>
      </c>
      <c r="J880" s="27" t="s">
        <v>34</v>
      </c>
      <c r="K880" s="27">
        <v>0</v>
      </c>
      <c r="L880" s="27" t="s">
        <v>12</v>
      </c>
      <c r="M880" s="27" t="s">
        <v>207</v>
      </c>
      <c r="N880" s="27" t="str">
        <f>IF(K880="N/A","No", IF(K880&gt;230,"Yes","No"))</f>
        <v>No</v>
      </c>
      <c r="O880" s="27" t="str">
        <f>IF(K880="Not","No",IF(K880="n/a","N/A",IF(K880&gt;$Y$5,"Yes","No")))</f>
        <v>No</v>
      </c>
      <c r="U880" s="27" t="s">
        <v>106</v>
      </c>
      <c r="V880" s="27" t="str">
        <f>R875</f>
        <v>Yes</v>
      </c>
      <c r="W880" s="27" t="str">
        <f>S875</f>
        <v>No</v>
      </c>
      <c r="X880" s="27" t="str">
        <f>IF(V880="N/A","N/A",IF(W880="N/A", "N/A", IF(V880=W880, "Yes","No")))</f>
        <v>No</v>
      </c>
    </row>
    <row r="881" spans="1:38" x14ac:dyDescent="0.2">
      <c r="A881" s="27" t="s">
        <v>239</v>
      </c>
      <c r="B881" s="27" t="s">
        <v>221</v>
      </c>
      <c r="C881" s="27">
        <v>1.4</v>
      </c>
      <c r="D881" s="27" t="s">
        <v>4</v>
      </c>
      <c r="F881" s="27" t="str">
        <f t="shared" si="373"/>
        <v>Yes</v>
      </c>
      <c r="G881" s="27" t="s">
        <v>9</v>
      </c>
      <c r="H881" s="27" t="s">
        <v>43</v>
      </c>
      <c r="J881" s="27" t="s">
        <v>208</v>
      </c>
      <c r="K881" s="27" t="s">
        <v>120</v>
      </c>
      <c r="L881" s="27" t="s">
        <v>12</v>
      </c>
      <c r="M881" s="27" t="s">
        <v>320</v>
      </c>
      <c r="N881" s="27" t="str">
        <f>IF(K881="N/A","No", IF(K881&gt;20,"Yes","No"))</f>
        <v>No</v>
      </c>
      <c r="O881" s="27" t="str">
        <f>IF(K881="Not","No",IF(K881="n/a","N/A",IF(K881&gt;$Y$7,"Yes","No")))</f>
        <v>N/A</v>
      </c>
      <c r="U881" s="27" t="s">
        <v>121</v>
      </c>
      <c r="V881" s="27" t="str">
        <f>R876</f>
        <v>Yes</v>
      </c>
      <c r="W881" s="27" t="str">
        <f>S876</f>
        <v>Yes</v>
      </c>
      <c r="X881" s="27" t="str">
        <f>IF(V881="N/A","N/A",IF(W881="N/A", "N/A", IF(V881=W881, "Yes","No")))</f>
        <v>Yes</v>
      </c>
    </row>
    <row r="882" spans="1:38" x14ac:dyDescent="0.2">
      <c r="A882" s="27" t="s">
        <v>239</v>
      </c>
      <c r="B882" s="27" t="s">
        <v>236</v>
      </c>
      <c r="C882" s="27">
        <v>1.7</v>
      </c>
      <c r="D882" s="27" t="s">
        <v>4</v>
      </c>
      <c r="F882" s="27" t="str">
        <f t="shared" si="373"/>
        <v>Yes</v>
      </c>
      <c r="G882" s="27" t="s">
        <v>9</v>
      </c>
      <c r="H882" s="27" t="s">
        <v>43</v>
      </c>
    </row>
    <row r="883" spans="1:38" x14ac:dyDescent="0.2">
      <c r="A883" s="27" t="s">
        <v>239</v>
      </c>
      <c r="B883" s="27" t="s">
        <v>211</v>
      </c>
      <c r="C883" s="27">
        <v>1.3</v>
      </c>
      <c r="D883" s="27" t="s">
        <v>4</v>
      </c>
      <c r="F883" s="27" t="str">
        <f t="shared" si="373"/>
        <v>Yes</v>
      </c>
      <c r="G883" s="27" t="s">
        <v>9</v>
      </c>
      <c r="H883" s="27" t="s">
        <v>43</v>
      </c>
    </row>
    <row r="884" spans="1:38" x14ac:dyDescent="0.2">
      <c r="A884" s="27" t="s">
        <v>239</v>
      </c>
      <c r="B884" s="27" t="s">
        <v>211</v>
      </c>
      <c r="C884" s="27">
        <v>1.5</v>
      </c>
      <c r="D884" s="27" t="s">
        <v>4</v>
      </c>
      <c r="F884" s="27" t="str">
        <f t="shared" si="373"/>
        <v>Yes</v>
      </c>
      <c r="G884" s="27" t="s">
        <v>9</v>
      </c>
      <c r="H884" s="27" t="s">
        <v>43</v>
      </c>
    </row>
    <row r="885" spans="1:38" x14ac:dyDescent="0.2">
      <c r="A885" s="27" t="s">
        <v>239</v>
      </c>
      <c r="B885" s="27" t="s">
        <v>211</v>
      </c>
      <c r="C885" s="27">
        <v>2.7</v>
      </c>
      <c r="D885" s="27" t="s">
        <v>4</v>
      </c>
      <c r="F885" s="27" t="str">
        <f t="shared" si="373"/>
        <v>Yes</v>
      </c>
      <c r="G885" s="27" t="s">
        <v>9</v>
      </c>
      <c r="H885" s="27" t="s">
        <v>43</v>
      </c>
    </row>
    <row r="886" spans="1:38" x14ac:dyDescent="0.2">
      <c r="A886" s="27" t="s">
        <v>201</v>
      </c>
      <c r="B886" s="27" t="s">
        <v>211</v>
      </c>
      <c r="C886" s="27">
        <v>1.7</v>
      </c>
      <c r="D886" s="27" t="s">
        <v>4</v>
      </c>
      <c r="F886" s="27" t="str">
        <f t="shared" si="373"/>
        <v>Yes</v>
      </c>
      <c r="G886" s="27" t="s">
        <v>5</v>
      </c>
      <c r="H886" s="27" t="s">
        <v>43</v>
      </c>
    </row>
    <row r="887" spans="1:38" x14ac:dyDescent="0.2">
      <c r="A887" s="27" t="s">
        <v>201</v>
      </c>
      <c r="B887" s="27" t="s">
        <v>211</v>
      </c>
      <c r="C887" s="27">
        <v>1.7</v>
      </c>
      <c r="D887" s="27" t="s">
        <v>4</v>
      </c>
      <c r="F887" s="27" t="str">
        <f t="shared" si="373"/>
        <v>Yes</v>
      </c>
      <c r="G887" s="27" t="s">
        <v>9</v>
      </c>
      <c r="H887" s="27" t="s">
        <v>43</v>
      </c>
    </row>
    <row r="888" spans="1:38" x14ac:dyDescent="0.2">
      <c r="A888" s="27" t="s">
        <v>249</v>
      </c>
      <c r="B888" s="27" t="s">
        <v>211</v>
      </c>
      <c r="C888" s="27">
        <v>1.8</v>
      </c>
      <c r="D888" s="27" t="s">
        <v>4</v>
      </c>
      <c r="F888" s="27" t="str">
        <f t="shared" si="373"/>
        <v>Yes</v>
      </c>
      <c r="G888" s="27" t="s">
        <v>5</v>
      </c>
      <c r="H888" s="27" t="s">
        <v>43</v>
      </c>
    </row>
    <row r="889" spans="1:38" x14ac:dyDescent="0.2">
      <c r="A889" s="27" t="s">
        <v>213</v>
      </c>
      <c r="B889" s="27" t="s">
        <v>214</v>
      </c>
      <c r="C889" s="27">
        <v>15</v>
      </c>
      <c r="D889" s="27" t="s">
        <v>33</v>
      </c>
      <c r="F889" s="27" t="str">
        <f t="shared" ref="F889" si="374">IF(C889&gt;$W$6,"Yes","No")</f>
        <v>Yes</v>
      </c>
      <c r="G889" s="27" t="s">
        <v>5</v>
      </c>
    </row>
    <row r="890" spans="1:38" x14ac:dyDescent="0.2">
      <c r="A890" s="27" t="s">
        <v>213</v>
      </c>
      <c r="B890" s="27" t="s">
        <v>54</v>
      </c>
      <c r="C890" s="27">
        <v>54</v>
      </c>
      <c r="D890" s="27" t="s">
        <v>33</v>
      </c>
      <c r="F890" s="27" t="str">
        <f>IF(C890&gt;$W$5,"Yes","No")</f>
        <v>No</v>
      </c>
      <c r="G890" s="27" t="s">
        <v>9</v>
      </c>
    </row>
    <row r="892" spans="1:38" x14ac:dyDescent="0.2">
      <c r="A892" s="27">
        <v>1279</v>
      </c>
      <c r="B892" s="27" t="s">
        <v>111</v>
      </c>
      <c r="C892" s="27">
        <v>58</v>
      </c>
    </row>
    <row r="893" spans="1:38" x14ac:dyDescent="0.2">
      <c r="A893" s="59" t="s">
        <v>0</v>
      </c>
      <c r="E893" s="27" t="s">
        <v>274</v>
      </c>
      <c r="F893" s="27" t="s">
        <v>275</v>
      </c>
      <c r="G893" s="27" t="s">
        <v>119</v>
      </c>
      <c r="J893" s="59" t="s">
        <v>1</v>
      </c>
      <c r="N893" s="27" t="s">
        <v>277</v>
      </c>
      <c r="O893" s="27" t="s">
        <v>278</v>
      </c>
      <c r="Q893" s="59" t="s">
        <v>115</v>
      </c>
      <c r="R893" s="59" t="s">
        <v>0</v>
      </c>
      <c r="S893" s="59" t="s">
        <v>1</v>
      </c>
      <c r="U893" s="59" t="s">
        <v>115</v>
      </c>
      <c r="V893" s="59" t="s">
        <v>0</v>
      </c>
      <c r="W893" s="59" t="s">
        <v>1</v>
      </c>
      <c r="X893" s="59" t="s">
        <v>122</v>
      </c>
      <c r="AA893" s="27" t="str">
        <f>IF(R894="Yes","LRA-Soil","")</f>
        <v/>
      </c>
      <c r="AB893" s="27" t="str">
        <f>IF(R895="Yes","LRA-Paint","")</f>
        <v/>
      </c>
      <c r="AC893" s="27" t="str">
        <f>IF(R896="Yes","LRA-Dust","")</f>
        <v>LRA-Dust</v>
      </c>
      <c r="AD893" s="27" t="str">
        <f>IF(S894="Yes","LSK-Soil","")</f>
        <v>LSK-Soil</v>
      </c>
      <c r="AE893" s="27" t="str">
        <f>IF(S895="Yes","LSK-Paint","")</f>
        <v/>
      </c>
      <c r="AF893" s="27" t="str">
        <f>IF(S896="Yes","LSK-Dust","")</f>
        <v>LSK-Dust</v>
      </c>
      <c r="AI893" s="27" t="s">
        <v>46</v>
      </c>
      <c r="AJ893" s="27" t="s">
        <v>43</v>
      </c>
      <c r="AK893" s="27" t="s">
        <v>116</v>
      </c>
      <c r="AL893" s="27" t="s">
        <v>117</v>
      </c>
    </row>
    <row r="894" spans="1:38" x14ac:dyDescent="0.2">
      <c r="A894" s="27" t="s">
        <v>63</v>
      </c>
      <c r="B894" s="27" t="s">
        <v>18</v>
      </c>
      <c r="C894" s="27">
        <v>0</v>
      </c>
      <c r="D894" s="27" t="s">
        <v>4</v>
      </c>
      <c r="F894" s="27" t="str">
        <f t="shared" ref="F894" si="375">IF(C894&gt;=$W$2,"Yes","No")</f>
        <v>No</v>
      </c>
      <c r="G894" s="27" t="s">
        <v>9</v>
      </c>
      <c r="H894" s="27" t="s">
        <v>46</v>
      </c>
      <c r="J894" s="27" t="s">
        <v>6</v>
      </c>
      <c r="K894" s="27">
        <v>24.2</v>
      </c>
      <c r="L894" s="27" t="s">
        <v>12</v>
      </c>
      <c r="M894" s="27" t="s">
        <v>114</v>
      </c>
      <c r="N894" s="27" t="str">
        <f>IF(K894="N/A","No", IF(K894&gt;1200,"Yes","No"))</f>
        <v>No</v>
      </c>
      <c r="O894" s="27" t="str">
        <f>IF(K894="Not","No",IF(K894="n/a","N/A",IF(K894&gt;=$Y$3,"Yes","No")))</f>
        <v>No</v>
      </c>
      <c r="Q894" s="27" t="s">
        <v>116</v>
      </c>
      <c r="R894" s="27" t="str">
        <f>_xlfn.XLOOKUP("ppm",D894:D903,F894:F903,"N/A")</f>
        <v>No</v>
      </c>
      <c r="S894" s="27" t="str">
        <f>IF(COUNTIF(O894:O896,"Yes"),"Yes","No")</f>
        <v>Yes</v>
      </c>
      <c r="U894" s="27" t="s">
        <v>92</v>
      </c>
      <c r="V894" s="27" t="s">
        <v>9</v>
      </c>
      <c r="W894" s="27" t="s">
        <v>120</v>
      </c>
      <c r="X894" s="27" t="str">
        <f>IF(V894="N/A","N/A",IF(W894="N/A", "N/A", IF(V894=W894, "Yes","No")))</f>
        <v>N/A</v>
      </c>
      <c r="AI894" s="27">
        <f>COUNTIF(H893:H903,"Exterior")</f>
        <v>1</v>
      </c>
      <c r="AJ894" s="27">
        <f>COUNTIF(H893:H903, "Interior")</f>
        <v>1</v>
      </c>
      <c r="AK894" s="27">
        <f>COUNTIFS(D893:D903,"ppm")+COUNTIFS(D893:D903,"mg/Kg")</f>
        <v>1</v>
      </c>
      <c r="AL894" s="27">
        <f>COUNTIF(D893:D903,"ug/ft2")</f>
        <v>7</v>
      </c>
    </row>
    <row r="895" spans="1:38" x14ac:dyDescent="0.2">
      <c r="A895" s="27" t="s">
        <v>161</v>
      </c>
      <c r="B895" s="27" t="s">
        <v>28</v>
      </c>
      <c r="C895" s="27">
        <v>58.1</v>
      </c>
      <c r="D895" s="27" t="s">
        <v>12</v>
      </c>
      <c r="F895" s="27" t="str">
        <f>IF(C895&gt;$W$3,"Yes","No")</f>
        <v>No</v>
      </c>
      <c r="G895" s="27" t="s">
        <v>9</v>
      </c>
      <c r="J895" s="27" t="s">
        <v>11</v>
      </c>
      <c r="K895" s="27">
        <v>130</v>
      </c>
      <c r="L895" s="27" t="s">
        <v>12</v>
      </c>
      <c r="M895" s="27" t="s">
        <v>67</v>
      </c>
      <c r="N895" s="27" t="str">
        <f t="shared" ref="N895:N896" si="376">IF(K895="N/A","No", IF(K895&gt;1200,"Yes","No"))</f>
        <v>No</v>
      </c>
      <c r="O895" s="27" t="str">
        <f t="shared" ref="O895:O896" si="377">IF(K895="Not","No",IF(K895="n/a","N/A",IF(K895&gt;$Y$3,"Yes","No")))</f>
        <v>No</v>
      </c>
      <c r="Q895" s="27" t="s">
        <v>98</v>
      </c>
      <c r="R895" s="27" t="str">
        <f>_xlfn.XLOOKUP("mg/cm2",D894:D903,G894:G903,"N/A",1,-1)</f>
        <v>No</v>
      </c>
      <c r="S895" s="27" t="str">
        <f>IF(COUNTIF(O897:O898,"Yes"),"Yes","No")</f>
        <v>No</v>
      </c>
      <c r="U895" s="27" t="s">
        <v>95</v>
      </c>
      <c r="V895" s="27" t="str">
        <f>R894</f>
        <v>No</v>
      </c>
      <c r="W895" s="27" t="str">
        <f>S894</f>
        <v>Yes</v>
      </c>
      <c r="X895" s="27" t="str">
        <f t="shared" ref="X895:X898" si="378">IF(V895="N/A","N/A",IF(W895="N/A", "N/A", IF(V895=W895, "Yes","No")))</f>
        <v>No</v>
      </c>
    </row>
    <row r="896" spans="1:38" x14ac:dyDescent="0.2">
      <c r="A896" s="27" t="s">
        <v>158</v>
      </c>
      <c r="B896" s="27" t="s">
        <v>40</v>
      </c>
      <c r="C896" s="27">
        <v>0</v>
      </c>
      <c r="D896" s="27" t="s">
        <v>4</v>
      </c>
      <c r="F896" s="27" t="str">
        <f t="shared" ref="F896" si="379">IF(C896&gt;=$W$2,"Yes","No")</f>
        <v>No</v>
      </c>
      <c r="G896" s="27" t="s">
        <v>9</v>
      </c>
      <c r="H896" s="27" t="s">
        <v>43</v>
      </c>
      <c r="J896" s="27" t="s">
        <v>15</v>
      </c>
      <c r="K896" s="27">
        <v>480</v>
      </c>
      <c r="L896" s="27" t="s">
        <v>12</v>
      </c>
      <c r="M896" s="27" t="s">
        <v>112</v>
      </c>
      <c r="N896" s="27" t="str">
        <f t="shared" si="376"/>
        <v>No</v>
      </c>
      <c r="O896" s="27" t="str">
        <f t="shared" si="377"/>
        <v>Yes</v>
      </c>
      <c r="Q896" s="27" t="s">
        <v>117</v>
      </c>
      <c r="R896" s="63" t="s">
        <v>5</v>
      </c>
      <c r="S896" s="27" t="str">
        <f>IF(COUNTIF(O899:O902,"Yes"),"Yes","No")</f>
        <v>Yes</v>
      </c>
      <c r="U896" s="27" t="s">
        <v>163</v>
      </c>
      <c r="V896" s="27" t="s">
        <v>9</v>
      </c>
      <c r="W896" s="27" t="str">
        <f>O898</f>
        <v>N/A</v>
      </c>
      <c r="X896" s="27" t="str">
        <f t="shared" si="378"/>
        <v>N/A</v>
      </c>
    </row>
    <row r="897" spans="1:38" x14ac:dyDescent="0.2">
      <c r="A897" s="27" t="s">
        <v>109</v>
      </c>
      <c r="B897" s="27" t="s">
        <v>32</v>
      </c>
      <c r="C897" s="27">
        <v>2.2000000000000002</v>
      </c>
      <c r="D897" s="27" t="s">
        <v>33</v>
      </c>
      <c r="F897" s="27" t="str">
        <f t="shared" ref="F897:F898" si="380">IF(C897&gt;$W$6,"Yes","No")</f>
        <v>No</v>
      </c>
      <c r="G897" s="27" t="s">
        <v>9</v>
      </c>
      <c r="J897" s="27" t="s">
        <v>19</v>
      </c>
      <c r="K897" s="27">
        <v>32</v>
      </c>
      <c r="L897" s="27" t="s">
        <v>12</v>
      </c>
      <c r="M897" s="27" t="s">
        <v>46</v>
      </c>
      <c r="N897" s="27" t="str">
        <f>IF(K897="N/A","No", IF(K897&gt;5000,"Yes","No"))</f>
        <v>No</v>
      </c>
      <c r="O897" s="27" t="str">
        <f>IF(K897="Not","No",IF(K897="n/a","N/A",IF(K897&gt;$Y$2,"Yes","No")))</f>
        <v>No</v>
      </c>
      <c r="Q897" s="27" t="s">
        <v>118</v>
      </c>
      <c r="R897" s="27" t="str">
        <f>IF(COUNTIF(R894:R896,"Yes"),"Yes","No")</f>
        <v>Yes</v>
      </c>
      <c r="S897" s="27" t="str">
        <f>IF(COUNTIF(S894:S896,"Yes"),"Yes","No")</f>
        <v>Yes</v>
      </c>
      <c r="U897" s="27" t="s">
        <v>164</v>
      </c>
      <c r="V897" s="27" t="s">
        <v>9</v>
      </c>
      <c r="W897" s="27" t="str">
        <f>O897</f>
        <v>No</v>
      </c>
      <c r="X897" s="27" t="str">
        <f t="shared" si="378"/>
        <v>Yes</v>
      </c>
    </row>
    <row r="898" spans="1:38" x14ac:dyDescent="0.2">
      <c r="A898" s="27" t="s">
        <v>109</v>
      </c>
      <c r="B898" s="27" t="s">
        <v>32</v>
      </c>
      <c r="C898" s="27">
        <v>5.9</v>
      </c>
      <c r="D898" s="27" t="s">
        <v>33</v>
      </c>
      <c r="F898" s="27" t="str">
        <f t="shared" si="380"/>
        <v>No</v>
      </c>
      <c r="G898" s="27" t="s">
        <v>9</v>
      </c>
      <c r="J898" s="27" t="s">
        <v>22</v>
      </c>
      <c r="K898" s="27" t="s">
        <v>120</v>
      </c>
      <c r="L898" s="27" t="s">
        <v>12</v>
      </c>
      <c r="M898" s="27" t="s">
        <v>43</v>
      </c>
      <c r="N898" s="27" t="str">
        <f>IF(K898="N/A","No", IF(K898&gt;5000,"Yes","No"))</f>
        <v>No</v>
      </c>
      <c r="O898" s="27" t="str">
        <f>IF(K898="Not","No",IF(K898="n/a","N/A",IF(K898&gt;$Y$2,"Yes","No")))</f>
        <v>N/A</v>
      </c>
      <c r="U898" s="27" t="s">
        <v>162</v>
      </c>
      <c r="V898" s="27" t="str">
        <f>R895</f>
        <v>No</v>
      </c>
      <c r="W898" s="27" t="str">
        <f>S895</f>
        <v>No</v>
      </c>
      <c r="X898" s="27" t="str">
        <f t="shared" si="378"/>
        <v>Yes</v>
      </c>
    </row>
    <row r="899" spans="1:38" x14ac:dyDescent="0.2">
      <c r="A899" s="27" t="s">
        <v>109</v>
      </c>
      <c r="B899" s="27" t="s">
        <v>54</v>
      </c>
      <c r="C899" s="27">
        <v>154.19999999999999</v>
      </c>
      <c r="D899" s="27" t="s">
        <v>33</v>
      </c>
      <c r="F899" s="27" t="str">
        <f t="shared" ref="F899:F902" si="381">IF(C899&gt;$W$6,"Yes","No")</f>
        <v>Yes</v>
      </c>
      <c r="G899" s="27" t="s">
        <v>5</v>
      </c>
      <c r="J899" s="27" t="s">
        <v>25</v>
      </c>
      <c r="K899" s="27">
        <v>5</v>
      </c>
      <c r="L899" s="27" t="s">
        <v>12</v>
      </c>
      <c r="M899" s="27" t="s">
        <v>126</v>
      </c>
      <c r="N899" s="27" t="str">
        <f>IF(K899="N/A","No", IF(K899&gt;20,"Yes","No"))</f>
        <v>No</v>
      </c>
      <c r="O899" s="27" t="str">
        <f t="shared" ref="O899:O900" si="382">IF(K899="Not","No",IF(K899="n/a","N/A",IF(K899&gt;$Y$6,"Yes","No")))</f>
        <v>No</v>
      </c>
      <c r="U899" s="27" t="s">
        <v>101</v>
      </c>
      <c r="V899" s="27" t="s">
        <v>5</v>
      </c>
      <c r="W899" s="27" t="s">
        <v>9</v>
      </c>
      <c r="X899" s="27" t="str">
        <f>IF(V899="N/A","N/A",IF(W899="N/A", "N/A", IF(V899=W899, "Yes","No")))</f>
        <v>No</v>
      </c>
    </row>
    <row r="900" spans="1:38" x14ac:dyDescent="0.2">
      <c r="A900" s="27" t="s">
        <v>307</v>
      </c>
      <c r="B900" s="27" t="s">
        <v>32</v>
      </c>
      <c r="C900" s="27">
        <v>5.4</v>
      </c>
      <c r="D900" s="27" t="s">
        <v>33</v>
      </c>
      <c r="F900" s="27" t="str">
        <f t="shared" si="381"/>
        <v>No</v>
      </c>
      <c r="G900" s="27" t="s">
        <v>9</v>
      </c>
      <c r="J900" s="27" t="s">
        <v>29</v>
      </c>
      <c r="K900" s="27">
        <v>2.5</v>
      </c>
      <c r="L900" s="27" t="s">
        <v>12</v>
      </c>
      <c r="M900" s="27" t="s">
        <v>222</v>
      </c>
      <c r="N900" s="27" t="str">
        <f>IF(K900="N/A","No", IF(K900&gt;20,"Yes","No"))</f>
        <v>No</v>
      </c>
      <c r="O900" s="27" t="str">
        <f t="shared" si="382"/>
        <v>No</v>
      </c>
      <c r="U900" s="27" t="s">
        <v>104</v>
      </c>
      <c r="V900" s="27" t="s">
        <v>5</v>
      </c>
      <c r="W900" s="27" t="str">
        <f>O901</f>
        <v>Yes</v>
      </c>
      <c r="X900" s="27" t="str">
        <f>IF(V900="N/A","N/A",IF(W900="N/A", "N/A", IF(V900=W900, "Yes","No")))</f>
        <v>Yes</v>
      </c>
    </row>
    <row r="901" spans="1:38" x14ac:dyDescent="0.2">
      <c r="A901" s="27" t="s">
        <v>71</v>
      </c>
      <c r="B901" s="27" t="s">
        <v>32</v>
      </c>
      <c r="C901" s="27">
        <v>10.4</v>
      </c>
      <c r="D901" s="27" t="s">
        <v>33</v>
      </c>
      <c r="F901" s="27" t="str">
        <f t="shared" si="381"/>
        <v>Yes</v>
      </c>
      <c r="G901" s="27" t="s">
        <v>5</v>
      </c>
      <c r="J901" s="27" t="s">
        <v>34</v>
      </c>
      <c r="K901" s="27">
        <v>290</v>
      </c>
      <c r="L901" s="27" t="s">
        <v>12</v>
      </c>
      <c r="M901" s="27" t="s">
        <v>210</v>
      </c>
      <c r="N901" s="27" t="str">
        <f>IF(K901="N/A","No", IF(K901&gt;230,"Yes","No"))</f>
        <v>Yes</v>
      </c>
      <c r="O901" s="27" t="str">
        <f>IF(K901="Not","No",IF(K901="n/a","N/A",IF(K901&gt;$Y$5,"Yes","No")))</f>
        <v>Yes</v>
      </c>
      <c r="U901" s="27" t="s">
        <v>106</v>
      </c>
      <c r="V901" s="27" t="s">
        <v>5</v>
      </c>
      <c r="W901" s="27" t="str">
        <f>S896</f>
        <v>Yes</v>
      </c>
      <c r="X901" s="27" t="str">
        <f>IF(V901="N/A","N/A",IF(W901="N/A", "N/A", IF(V901=W901, "Yes","No")))</f>
        <v>Yes</v>
      </c>
    </row>
    <row r="902" spans="1:38" x14ac:dyDescent="0.2">
      <c r="A902" s="27" t="s">
        <v>70</v>
      </c>
      <c r="B902" s="27" t="s">
        <v>32</v>
      </c>
      <c r="C902" s="27">
        <v>9.5</v>
      </c>
      <c r="D902" s="27" t="s">
        <v>33</v>
      </c>
      <c r="F902" s="27" t="str">
        <f t="shared" si="381"/>
        <v>No</v>
      </c>
      <c r="G902" s="27" t="s">
        <v>5</v>
      </c>
      <c r="J902" s="27" t="s">
        <v>208</v>
      </c>
      <c r="K902" s="27">
        <v>20</v>
      </c>
      <c r="L902" s="27" t="s">
        <v>12</v>
      </c>
      <c r="M902" s="27" t="s">
        <v>223</v>
      </c>
      <c r="N902" s="27" t="str">
        <f>IF(K902="N/A","No", IF(K902&gt;20,"Yes","No"))</f>
        <v>No</v>
      </c>
      <c r="O902" s="27" t="str">
        <f>IF(K902="Not","No",IF(K902="n/a","N/A",IF(K902&gt;$Y$7,"Yes","No")))</f>
        <v>No</v>
      </c>
      <c r="U902" s="27" t="s">
        <v>121</v>
      </c>
      <c r="V902" s="27" t="str">
        <f>R897</f>
        <v>Yes</v>
      </c>
      <c r="W902" s="27" t="str">
        <f>S897</f>
        <v>Yes</v>
      </c>
      <c r="X902" s="27" t="str">
        <f>IF(V902="N/A","N/A",IF(W902="N/A", "N/A", IF(V902=W902, "Yes","No")))</f>
        <v>Yes</v>
      </c>
    </row>
    <row r="903" spans="1:38" x14ac:dyDescent="0.2">
      <c r="A903" s="27" t="s">
        <v>158</v>
      </c>
      <c r="B903" s="27" t="s">
        <v>54</v>
      </c>
      <c r="C903" s="27">
        <v>39</v>
      </c>
      <c r="D903" s="27" t="s">
        <v>33</v>
      </c>
      <c r="F903" s="27" t="str">
        <f>IF(C903&gt;$W$5,"Yes","No")</f>
        <v>No</v>
      </c>
      <c r="G903" s="27" t="s">
        <v>9</v>
      </c>
    </row>
    <row r="905" spans="1:38" x14ac:dyDescent="0.2">
      <c r="A905" s="27">
        <v>1282</v>
      </c>
      <c r="B905" s="27" t="s">
        <v>111</v>
      </c>
      <c r="C905" s="27">
        <v>59</v>
      </c>
    </row>
    <row r="906" spans="1:38" x14ac:dyDescent="0.2">
      <c r="A906" s="59" t="s">
        <v>0</v>
      </c>
      <c r="E906" s="27" t="s">
        <v>274</v>
      </c>
      <c r="F906" s="27" t="s">
        <v>275</v>
      </c>
      <c r="G906" s="27" t="s">
        <v>119</v>
      </c>
      <c r="J906" s="59" t="s">
        <v>1</v>
      </c>
      <c r="N906" s="27" t="s">
        <v>277</v>
      </c>
      <c r="O906" s="27" t="s">
        <v>278</v>
      </c>
      <c r="Q906" s="59" t="s">
        <v>115</v>
      </c>
      <c r="R906" s="59" t="s">
        <v>0</v>
      </c>
      <c r="S906" s="59" t="s">
        <v>1</v>
      </c>
      <c r="U906" s="59" t="s">
        <v>115</v>
      </c>
      <c r="V906" s="59" t="s">
        <v>0</v>
      </c>
      <c r="W906" s="59" t="s">
        <v>1</v>
      </c>
      <c r="X906" s="59" t="s">
        <v>122</v>
      </c>
      <c r="AA906" s="27" t="str">
        <f>IF(R907="Yes","LRA-Soil","")</f>
        <v/>
      </c>
      <c r="AB906" s="27" t="str">
        <f>IF(R908="Yes","LRA-Paint","")</f>
        <v>LRA-Paint</v>
      </c>
      <c r="AC906" s="27" t="str">
        <f>IF(R909="Yes","LRA-Dust","")</f>
        <v>LRA-Dust</v>
      </c>
      <c r="AD906" s="27" t="str">
        <f>IF(S907="Yes","LSK-Soil","")</f>
        <v>LSK-Soil</v>
      </c>
      <c r="AE906" s="27" t="str">
        <f>IF(S908="Yes","LSK-Paint","")</f>
        <v/>
      </c>
      <c r="AF906" s="27" t="str">
        <f>IF(S909="Yes","LSK-Dust","")</f>
        <v/>
      </c>
      <c r="AI906" s="27" t="s">
        <v>46</v>
      </c>
      <c r="AJ906" s="27" t="s">
        <v>43</v>
      </c>
      <c r="AK906" s="27" t="s">
        <v>116</v>
      </c>
      <c r="AL906" s="27" t="s">
        <v>117</v>
      </c>
    </row>
    <row r="907" spans="1:38" x14ac:dyDescent="0.2">
      <c r="A907" s="27" t="s">
        <v>63</v>
      </c>
      <c r="B907" s="27" t="s">
        <v>3</v>
      </c>
      <c r="C907" s="27">
        <v>0.02</v>
      </c>
      <c r="D907" s="27" t="s">
        <v>4</v>
      </c>
      <c r="F907" s="27" t="str">
        <f t="shared" ref="F907:F908" si="383">IF(C907&gt;=$W$2,"Yes","No")</f>
        <v>No</v>
      </c>
      <c r="G907" s="27" t="s">
        <v>9</v>
      </c>
      <c r="H907" s="27" t="s">
        <v>46</v>
      </c>
      <c r="J907" s="27" t="s">
        <v>6</v>
      </c>
      <c r="K907" s="27">
        <v>95</v>
      </c>
      <c r="L907" s="27" t="s">
        <v>12</v>
      </c>
      <c r="M907" s="27" t="s">
        <v>114</v>
      </c>
      <c r="N907" s="27" t="str">
        <f>IF(K907="N/A","No", IF(K907&gt;1200,"Yes","No"))</f>
        <v>No</v>
      </c>
      <c r="O907" s="27" t="str">
        <f>IF(K907="Not","No",IF(K907="n/a","N/A",IF(K907&gt;=$Y$3,"Yes","No")))</f>
        <v>No</v>
      </c>
      <c r="Q907" s="27" t="s">
        <v>116</v>
      </c>
      <c r="R907" s="27" t="str">
        <f>_xlfn.XLOOKUP("ppm",D907:D916,F907:F916,"N/A")</f>
        <v>No</v>
      </c>
      <c r="S907" s="27" t="str">
        <f>IF(COUNTIF(O907:O909,"Yes"),"Yes","No")</f>
        <v>Yes</v>
      </c>
      <c r="U907" s="27" t="s">
        <v>92</v>
      </c>
      <c r="V907" s="27" t="s">
        <v>5</v>
      </c>
      <c r="W907" s="27" t="s">
        <v>120</v>
      </c>
      <c r="X907" s="27" t="str">
        <f>IF(V907="N/A","N/A",IF(W907="N/A", "N/A", IF(V907=W907, "Yes","No")))</f>
        <v>N/A</v>
      </c>
      <c r="AI907" s="27">
        <f>COUNTIF(H906:H920,"Exterior")</f>
        <v>2</v>
      </c>
      <c r="AJ907" s="27">
        <f>COUNTIF(H906:H920, "Interior")</f>
        <v>3</v>
      </c>
      <c r="AK907" s="27">
        <f>COUNTIFS(D906:D920,"ppm")+COUNTIFS(D906:D920,"mg/Kg")</f>
        <v>1</v>
      </c>
      <c r="AL907" s="27">
        <f>COUNTIF(D906:D920,"ug/ft2")</f>
        <v>8</v>
      </c>
    </row>
    <row r="908" spans="1:38" x14ac:dyDescent="0.2">
      <c r="A908" s="27" t="s">
        <v>63</v>
      </c>
      <c r="B908" s="27" t="s">
        <v>18</v>
      </c>
      <c r="C908" s="27">
        <v>0.2</v>
      </c>
      <c r="D908" s="27" t="s">
        <v>4</v>
      </c>
      <c r="F908" s="27" t="str">
        <f t="shared" si="383"/>
        <v>No</v>
      </c>
      <c r="G908" s="27" t="s">
        <v>9</v>
      </c>
      <c r="H908" s="27" t="s">
        <v>46</v>
      </c>
      <c r="J908" s="27" t="s">
        <v>11</v>
      </c>
      <c r="K908" s="27">
        <v>1279</v>
      </c>
      <c r="L908" s="27" t="s">
        <v>12</v>
      </c>
      <c r="M908" s="27" t="s">
        <v>67</v>
      </c>
      <c r="N908" s="27" t="str">
        <f t="shared" ref="N908:N909" si="384">IF(K908="N/A","No", IF(K908&gt;1200,"Yes","No"))</f>
        <v>Yes</v>
      </c>
      <c r="O908" s="27" t="str">
        <f t="shared" ref="O908:O909" si="385">IF(K908="Not","No",IF(K908="n/a","N/A",IF(K908&gt;$Y$3,"Yes","No")))</f>
        <v>Yes</v>
      </c>
      <c r="Q908" s="27" t="s">
        <v>98</v>
      </c>
      <c r="R908" s="27" t="str">
        <f>_xlfn.XLOOKUP("mg/cm2",D907:D916,G907:G916,"N/A",1,-1)</f>
        <v>Yes</v>
      </c>
      <c r="S908" s="27" t="str">
        <f>IF(COUNTIF(O910:O911,"Yes"),"Yes","No")</f>
        <v>No</v>
      </c>
      <c r="U908" s="27" t="s">
        <v>95</v>
      </c>
      <c r="V908" s="27" t="str">
        <f>R907</f>
        <v>No</v>
      </c>
      <c r="W908" s="27" t="str">
        <f>S907</f>
        <v>Yes</v>
      </c>
      <c r="X908" s="27" t="str">
        <f t="shared" ref="X908:X911" si="386">IF(V908="N/A","N/A",IF(W908="N/A", "N/A", IF(V908=W908, "Yes","No")))</f>
        <v>No</v>
      </c>
    </row>
    <row r="909" spans="1:38" x14ac:dyDescent="0.2">
      <c r="A909" s="27" t="s">
        <v>161</v>
      </c>
      <c r="B909" s="27" t="s">
        <v>28</v>
      </c>
      <c r="C909" s="27">
        <v>270</v>
      </c>
      <c r="D909" s="27" t="s">
        <v>12</v>
      </c>
      <c r="F909" s="27" t="str">
        <f>IF(C909&gt;$W$3,"Yes","No")</f>
        <v>No</v>
      </c>
      <c r="G909" s="27" t="s">
        <v>9</v>
      </c>
      <c r="J909" s="27" t="s">
        <v>15</v>
      </c>
      <c r="K909" s="27">
        <v>1159</v>
      </c>
      <c r="L909" s="27" t="s">
        <v>12</v>
      </c>
      <c r="M909" s="27" t="s">
        <v>112</v>
      </c>
      <c r="N909" s="27" t="str">
        <f t="shared" si="384"/>
        <v>No</v>
      </c>
      <c r="O909" s="27" t="str">
        <f t="shared" si="385"/>
        <v>Yes</v>
      </c>
      <c r="Q909" s="27" t="s">
        <v>117</v>
      </c>
      <c r="R909" s="63" t="s">
        <v>5</v>
      </c>
      <c r="S909" s="27" t="str">
        <f>IF(COUNTIF(O912:O915,"Yes"),"Yes","No")</f>
        <v>No</v>
      </c>
      <c r="U909" s="27" t="s">
        <v>163</v>
      </c>
      <c r="V909" s="27" t="s">
        <v>5</v>
      </c>
      <c r="W909" s="27" t="str">
        <f>O911</f>
        <v>No</v>
      </c>
      <c r="X909" s="27" t="str">
        <f t="shared" si="386"/>
        <v>No</v>
      </c>
    </row>
    <row r="910" spans="1:38" x14ac:dyDescent="0.2">
      <c r="A910" s="27" t="s">
        <v>64</v>
      </c>
      <c r="B910" s="27" t="s">
        <v>10</v>
      </c>
      <c r="C910" s="27">
        <v>1.3</v>
      </c>
      <c r="D910" s="27" t="s">
        <v>4</v>
      </c>
      <c r="F910" s="27" t="str">
        <f t="shared" ref="F910:F912" si="387">IF(C910&gt;=$W$2,"Yes","No")</f>
        <v>Yes</v>
      </c>
      <c r="G910" s="27" t="s">
        <v>5</v>
      </c>
      <c r="H910" s="27" t="s">
        <v>43</v>
      </c>
      <c r="J910" s="27" t="s">
        <v>19</v>
      </c>
      <c r="K910" s="27">
        <v>245</v>
      </c>
      <c r="L910" s="27" t="s">
        <v>12</v>
      </c>
      <c r="M910" s="27" t="s">
        <v>46</v>
      </c>
      <c r="N910" s="27" t="str">
        <f>IF(K910="N/A","No", IF(K910&gt;5000,"Yes","No"))</f>
        <v>No</v>
      </c>
      <c r="O910" s="27" t="str">
        <f>IF(K910="Not","No",IF(K910="n/a","N/A",IF(K910&gt;$Y$2,"Yes","No")))</f>
        <v>No</v>
      </c>
      <c r="Q910" s="27" t="s">
        <v>118</v>
      </c>
      <c r="R910" s="27" t="str">
        <f>IF(COUNTIF(R907:R909,"Yes"),"Yes","No")</f>
        <v>Yes</v>
      </c>
      <c r="S910" s="27" t="str">
        <f>IF(COUNTIF(S907:S909,"Yes"),"Yes","No")</f>
        <v>Yes</v>
      </c>
      <c r="U910" s="27" t="s">
        <v>164</v>
      </c>
      <c r="V910" s="27" t="s">
        <v>9</v>
      </c>
      <c r="W910" s="27" t="str">
        <f>O910</f>
        <v>No</v>
      </c>
      <c r="X910" s="27" t="str">
        <f t="shared" si="386"/>
        <v>Yes</v>
      </c>
    </row>
    <row r="911" spans="1:38" x14ac:dyDescent="0.2">
      <c r="A911" s="27" t="s">
        <v>64</v>
      </c>
      <c r="B911" s="27" t="s">
        <v>77</v>
      </c>
      <c r="C911" s="27">
        <v>4.0999999999999996</v>
      </c>
      <c r="D911" s="27" t="s">
        <v>4</v>
      </c>
      <c r="F911" s="27" t="str">
        <f t="shared" si="387"/>
        <v>Yes</v>
      </c>
      <c r="G911" s="27" t="s">
        <v>5</v>
      </c>
      <c r="H911" s="27" t="s">
        <v>43</v>
      </c>
      <c r="J911" s="27" t="s">
        <v>22</v>
      </c>
      <c r="K911" s="27">
        <v>74</v>
      </c>
      <c r="L911" s="27" t="s">
        <v>12</v>
      </c>
      <c r="M911" s="27" t="s">
        <v>43</v>
      </c>
      <c r="N911" s="27" t="str">
        <f>IF(K911="N/A","No", IF(K911&gt;5000,"Yes","No"))</f>
        <v>No</v>
      </c>
      <c r="O911" s="27" t="str">
        <f>IF(K911="Not","No",IF(K911="n/a","N/A",IF(K911&gt;$Y$2,"Yes","No")))</f>
        <v>No</v>
      </c>
      <c r="U911" s="27" t="s">
        <v>162</v>
      </c>
      <c r="V911" s="27" t="str">
        <f>R908</f>
        <v>Yes</v>
      </c>
      <c r="W911" s="27" t="str">
        <f>S908</f>
        <v>No</v>
      </c>
      <c r="X911" s="27" t="str">
        <f t="shared" si="386"/>
        <v>No</v>
      </c>
    </row>
    <row r="912" spans="1:38" x14ac:dyDescent="0.2">
      <c r="A912" s="27" t="s">
        <v>64</v>
      </c>
      <c r="B912" s="27" t="s">
        <v>40</v>
      </c>
      <c r="C912" s="27">
        <v>4.8</v>
      </c>
      <c r="D912" s="27" t="s">
        <v>4</v>
      </c>
      <c r="F912" s="27" t="str">
        <f t="shared" si="387"/>
        <v>Yes</v>
      </c>
      <c r="G912" s="27" t="s">
        <v>5</v>
      </c>
      <c r="H912" s="27" t="s">
        <v>43</v>
      </c>
      <c r="J912" s="27" t="s">
        <v>25</v>
      </c>
      <c r="K912" s="27">
        <v>7</v>
      </c>
      <c r="L912" s="27" t="s">
        <v>12</v>
      </c>
      <c r="M912" s="27" t="s">
        <v>126</v>
      </c>
      <c r="N912" s="27" t="str">
        <f>IF(K912="N/A","No", IF(K912&gt;20,"Yes","No"))</f>
        <v>No</v>
      </c>
      <c r="O912" s="27" t="str">
        <f t="shared" ref="O912:O913" si="388">IF(K912="Not","No",IF(K912="n/a","N/A",IF(K912&gt;$Y$6,"Yes","No")))</f>
        <v>No</v>
      </c>
      <c r="U912" s="27" t="s">
        <v>101</v>
      </c>
      <c r="V912" s="27" t="s">
        <v>5</v>
      </c>
      <c r="W912" s="27" t="s">
        <v>9</v>
      </c>
      <c r="X912" s="27" t="str">
        <f>IF(V912="N/A","N/A",IF(W912="N/A", "N/A", IF(V912=W912, "Yes","No")))</f>
        <v>No</v>
      </c>
    </row>
    <row r="913" spans="1:38" x14ac:dyDescent="0.2">
      <c r="A913" s="27" t="s">
        <v>113</v>
      </c>
      <c r="B913" s="27" t="s">
        <v>32</v>
      </c>
      <c r="C913" s="27">
        <v>3.4</v>
      </c>
      <c r="D913" s="27" t="s">
        <v>33</v>
      </c>
      <c r="F913" s="27" t="str">
        <f t="shared" ref="F913:F919" si="389">IF(C913&gt;$W$6,"Yes","No")</f>
        <v>No</v>
      </c>
      <c r="G913" s="27" t="s">
        <v>9</v>
      </c>
      <c r="J913" s="27" t="s">
        <v>29</v>
      </c>
      <c r="K913" s="27">
        <v>10</v>
      </c>
      <c r="L913" s="27" t="s">
        <v>12</v>
      </c>
      <c r="M913" s="27" t="s">
        <v>222</v>
      </c>
      <c r="N913" s="27" t="str">
        <f>IF(K913="N/A","No", IF(K913&gt;20,"Yes","No"))</f>
        <v>No</v>
      </c>
      <c r="O913" s="27" t="str">
        <f t="shared" si="388"/>
        <v>No</v>
      </c>
      <c r="U913" s="27" t="s">
        <v>104</v>
      </c>
      <c r="V913" s="27" t="s">
        <v>5</v>
      </c>
      <c r="W913" s="27" t="str">
        <f>O914</f>
        <v>No</v>
      </c>
      <c r="X913" s="27" t="str">
        <f>IF(V913="N/A","N/A",IF(W913="N/A", "N/A", IF(V913=W913, "Yes","No")))</f>
        <v>No</v>
      </c>
    </row>
    <row r="914" spans="1:38" x14ac:dyDescent="0.2">
      <c r="A914" s="27" t="s">
        <v>109</v>
      </c>
      <c r="B914" s="27" t="s">
        <v>32</v>
      </c>
      <c r="C914" s="27">
        <v>3.6</v>
      </c>
      <c r="D914" s="27" t="s">
        <v>33</v>
      </c>
      <c r="F914" s="27" t="str">
        <f t="shared" si="389"/>
        <v>No</v>
      </c>
      <c r="G914" s="27" t="s">
        <v>9</v>
      </c>
      <c r="J914" s="27" t="s">
        <v>34</v>
      </c>
      <c r="K914" s="27">
        <v>19</v>
      </c>
      <c r="L914" s="27" t="s">
        <v>12</v>
      </c>
      <c r="M914" s="27" t="s">
        <v>210</v>
      </c>
      <c r="N914" s="27" t="str">
        <f>IF(K914="N/A","No", IF(K914&gt;230,"Yes","No"))</f>
        <v>No</v>
      </c>
      <c r="O914" s="27" t="str">
        <f>IF(K914="Not","No",IF(K914="n/a","N/A",IF(K914&gt;$Y$5,"Yes","No")))</f>
        <v>No</v>
      </c>
      <c r="U914" s="27" t="s">
        <v>106</v>
      </c>
      <c r="V914" s="27" t="s">
        <v>5</v>
      </c>
      <c r="W914" s="27" t="str">
        <f>S909</f>
        <v>No</v>
      </c>
      <c r="X914" s="27" t="str">
        <f>IF(V914="N/A","N/A",IF(W914="N/A", "N/A", IF(V914=W914, "Yes","No")))</f>
        <v>No</v>
      </c>
    </row>
    <row r="915" spans="1:38" x14ac:dyDescent="0.2">
      <c r="A915" s="27" t="s">
        <v>293</v>
      </c>
      <c r="B915" s="27" t="s">
        <v>32</v>
      </c>
      <c r="C915" s="27">
        <v>5.8</v>
      </c>
      <c r="D915" s="27" t="s">
        <v>33</v>
      </c>
      <c r="F915" s="27" t="str">
        <f t="shared" si="389"/>
        <v>No</v>
      </c>
      <c r="G915" s="27" t="s">
        <v>9</v>
      </c>
      <c r="J915" s="27" t="s">
        <v>208</v>
      </c>
      <c r="K915" s="27">
        <v>295</v>
      </c>
      <c r="L915" s="27" t="s">
        <v>12</v>
      </c>
      <c r="M915" s="27" t="s">
        <v>223</v>
      </c>
      <c r="N915" s="27" t="str">
        <f>IF(K915="N/A","No", IF(K915&gt;20,"Yes","No"))</f>
        <v>Yes</v>
      </c>
      <c r="O915" s="27" t="str">
        <f>IF(K915="Not","No",IF(K915="n/a","N/A",IF(K915&gt;$Y$7,"Yes","No")))</f>
        <v>No</v>
      </c>
      <c r="U915" s="27" t="s">
        <v>121</v>
      </c>
      <c r="V915" s="27" t="str">
        <f>R910</f>
        <v>Yes</v>
      </c>
      <c r="W915" s="27" t="str">
        <f>S910</f>
        <v>Yes</v>
      </c>
      <c r="X915" s="27" t="str">
        <f>IF(V915="N/A","N/A",IF(W915="N/A", "N/A", IF(V915=W915, "Yes","No")))</f>
        <v>Yes</v>
      </c>
    </row>
    <row r="916" spans="1:38" x14ac:dyDescent="0.2">
      <c r="A916" s="27" t="s">
        <v>293</v>
      </c>
      <c r="B916" s="27" t="s">
        <v>32</v>
      </c>
      <c r="C916" s="27">
        <v>72</v>
      </c>
      <c r="D916" s="27" t="s">
        <v>33</v>
      </c>
      <c r="F916" s="27" t="str">
        <f t="shared" si="389"/>
        <v>Yes</v>
      </c>
      <c r="G916" s="27" t="s">
        <v>9</v>
      </c>
    </row>
    <row r="917" spans="1:38" x14ac:dyDescent="0.2">
      <c r="A917" s="27" t="s">
        <v>71</v>
      </c>
      <c r="B917" s="27" t="s">
        <v>32</v>
      </c>
      <c r="C917" s="27">
        <v>483</v>
      </c>
      <c r="D917" s="27" t="s">
        <v>33</v>
      </c>
      <c r="F917" s="27" t="str">
        <f t="shared" si="389"/>
        <v>Yes</v>
      </c>
      <c r="G917" s="27" t="s">
        <v>5</v>
      </c>
    </row>
    <row r="918" spans="1:38" x14ac:dyDescent="0.2">
      <c r="A918" s="27" t="s">
        <v>71</v>
      </c>
      <c r="B918" s="27" t="s">
        <v>32</v>
      </c>
      <c r="C918" s="27">
        <v>24.9</v>
      </c>
      <c r="D918" s="27" t="s">
        <v>33</v>
      </c>
      <c r="F918" s="27" t="str">
        <f t="shared" si="389"/>
        <v>Yes</v>
      </c>
      <c r="G918" s="27" t="s">
        <v>5</v>
      </c>
    </row>
    <row r="919" spans="1:38" x14ac:dyDescent="0.2">
      <c r="A919" s="27" t="s">
        <v>70</v>
      </c>
      <c r="B919" s="27" t="s">
        <v>32</v>
      </c>
      <c r="C919" s="27">
        <v>20.5</v>
      </c>
      <c r="D919" s="27" t="s">
        <v>33</v>
      </c>
      <c r="F919" s="27" t="str">
        <f t="shared" si="389"/>
        <v>Yes</v>
      </c>
      <c r="G919" s="27" t="s">
        <v>5</v>
      </c>
    </row>
    <row r="920" spans="1:38" x14ac:dyDescent="0.2">
      <c r="A920" s="27" t="s">
        <v>158</v>
      </c>
      <c r="B920" s="27" t="s">
        <v>54</v>
      </c>
      <c r="C920" s="27">
        <v>153</v>
      </c>
      <c r="D920" s="27" t="s">
        <v>33</v>
      </c>
      <c r="F920" s="27" t="str">
        <f>IF(C920&gt;$W$5,"Yes","No")</f>
        <v>Yes</v>
      </c>
      <c r="G920" s="27" t="s">
        <v>5</v>
      </c>
    </row>
    <row r="922" spans="1:38" x14ac:dyDescent="0.2">
      <c r="A922" s="27">
        <v>1283</v>
      </c>
      <c r="B922" s="27" t="s">
        <v>111</v>
      </c>
      <c r="C922" s="27">
        <v>60</v>
      </c>
    </row>
    <row r="923" spans="1:38" x14ac:dyDescent="0.2">
      <c r="A923" s="59" t="s">
        <v>0</v>
      </c>
      <c r="E923" s="27" t="s">
        <v>274</v>
      </c>
      <c r="F923" s="27" t="s">
        <v>275</v>
      </c>
      <c r="G923" s="27" t="s">
        <v>119</v>
      </c>
      <c r="J923" s="59" t="s">
        <v>1</v>
      </c>
      <c r="N923" s="27" t="s">
        <v>277</v>
      </c>
      <c r="O923" s="27" t="s">
        <v>278</v>
      </c>
      <c r="Q923" s="59" t="s">
        <v>115</v>
      </c>
      <c r="R923" s="59" t="s">
        <v>0</v>
      </c>
      <c r="S923" s="59" t="s">
        <v>1</v>
      </c>
      <c r="U923" s="59" t="s">
        <v>115</v>
      </c>
      <c r="V923" s="59" t="s">
        <v>0</v>
      </c>
      <c r="W923" s="59" t="s">
        <v>1</v>
      </c>
      <c r="X923" s="59" t="s">
        <v>122</v>
      </c>
      <c r="AA923" s="27" t="str">
        <f>IF(R924="Yes","LRA-Soil","")</f>
        <v/>
      </c>
      <c r="AB923" s="27" t="str">
        <f>IF(R925="Yes","LRA-Paint","")</f>
        <v/>
      </c>
      <c r="AC923" s="27" t="str">
        <f>IF(R926="Yes","LRA-Dust","")</f>
        <v/>
      </c>
      <c r="AD923" s="27" t="str">
        <f>IF(S924="Yes","LSK-Soil","")</f>
        <v/>
      </c>
      <c r="AE923" s="27" t="str">
        <f>IF(S925="Yes","LSK-Paint","")</f>
        <v/>
      </c>
      <c r="AF923" s="27" t="str">
        <f>IF(S926="Yes","LSK-Dust","")</f>
        <v/>
      </c>
      <c r="AI923" s="27" t="s">
        <v>46</v>
      </c>
      <c r="AJ923" s="27" t="s">
        <v>43</v>
      </c>
      <c r="AK923" s="27" t="s">
        <v>116</v>
      </c>
      <c r="AL923" s="27" t="s">
        <v>117</v>
      </c>
    </row>
    <row r="924" spans="1:38" x14ac:dyDescent="0.2">
      <c r="A924" s="27" t="s">
        <v>63</v>
      </c>
      <c r="B924" s="27" t="s">
        <v>77</v>
      </c>
      <c r="C924" s="27">
        <v>0</v>
      </c>
      <c r="D924" s="27" t="s">
        <v>4</v>
      </c>
      <c r="F924" s="27" t="str">
        <f t="shared" ref="F924" si="390">IF(C924&gt;=$W$2,"Yes","No")</f>
        <v>No</v>
      </c>
      <c r="G924" s="27" t="s">
        <v>9</v>
      </c>
      <c r="H924" s="27" t="s">
        <v>46</v>
      </c>
      <c r="J924" s="27" t="s">
        <v>6</v>
      </c>
      <c r="K924" s="27">
        <v>44.5</v>
      </c>
      <c r="L924" s="27" t="s">
        <v>12</v>
      </c>
      <c r="M924" s="27" t="s">
        <v>114</v>
      </c>
      <c r="N924" s="27" t="str">
        <f>IF(K924="N/A","No", IF(K924&gt;1200,"Yes","No"))</f>
        <v>No</v>
      </c>
      <c r="O924" s="27" t="str">
        <f>IF(K924="Not","No",IF(K924="n/a","N/A",IF(K924&gt;=$Y$3,"Yes","No")))</f>
        <v>No</v>
      </c>
      <c r="Q924" s="27" t="s">
        <v>116</v>
      </c>
      <c r="R924" s="27" t="str">
        <f>_xlfn.XLOOKUP("ppm",D924:D933,F924:F933,"N/A")</f>
        <v>No</v>
      </c>
      <c r="S924" s="27" t="str">
        <f>IF(COUNTIF(O924:O926,"Yes"),"Yes","No")</f>
        <v>No</v>
      </c>
      <c r="U924" s="27" t="s">
        <v>92</v>
      </c>
      <c r="V924" s="27" t="s">
        <v>120</v>
      </c>
      <c r="W924" s="27" t="s">
        <v>120</v>
      </c>
      <c r="X924" s="27" t="str">
        <f>IF(V924="N/A","N/A",IF(W924="N/A", "N/A", IF(V924=W924, "Yes","No")))</f>
        <v>N/A</v>
      </c>
      <c r="AI924" s="27">
        <f>COUNTIF(H923:H928,"Exterior")</f>
        <v>1</v>
      </c>
      <c r="AJ924" s="27">
        <f>COUNTIF(H923:H928, "Interior")</f>
        <v>1</v>
      </c>
      <c r="AK924" s="27">
        <f>COUNTIFS(D923:D928,"ppm")+COUNTIFS(D923:D928,"mg/Kg")</f>
        <v>1</v>
      </c>
      <c r="AL924" s="27">
        <f>COUNTIF(D923:D928,"ug/ft2")</f>
        <v>2</v>
      </c>
    </row>
    <row r="925" spans="1:38" x14ac:dyDescent="0.2">
      <c r="A925" s="27" t="s">
        <v>75</v>
      </c>
      <c r="B925" s="27" t="s">
        <v>301</v>
      </c>
      <c r="C925" s="27">
        <v>115</v>
      </c>
      <c r="D925" s="27" t="s">
        <v>12</v>
      </c>
      <c r="F925" s="27" t="str">
        <f>IF(C925&gt;$W$3,"Yes","No")</f>
        <v>No</v>
      </c>
      <c r="G925" s="27" t="s">
        <v>9</v>
      </c>
      <c r="J925" s="27" t="s">
        <v>11</v>
      </c>
      <c r="K925" s="27">
        <v>16.399999999999999</v>
      </c>
      <c r="L925" s="27" t="s">
        <v>12</v>
      </c>
      <c r="M925" s="27" t="s">
        <v>67</v>
      </c>
      <c r="N925" s="27" t="str">
        <f t="shared" ref="N925:N926" si="391">IF(K925="N/A","No", IF(K925&gt;1200,"Yes","No"))</f>
        <v>No</v>
      </c>
      <c r="O925" s="27" t="str">
        <f t="shared" ref="O925:O926" si="392">IF(K925="Not","No",IF(K925="n/a","N/A",IF(K925&gt;$Y$3,"Yes","No")))</f>
        <v>No</v>
      </c>
      <c r="Q925" s="27" t="s">
        <v>98</v>
      </c>
      <c r="R925" s="27" t="str">
        <f>_xlfn.XLOOKUP("mg/cm2",D924:D933,G924:G933,"N/A",1,-1)</f>
        <v>No</v>
      </c>
      <c r="S925" s="27" t="s">
        <v>120</v>
      </c>
      <c r="U925" s="27" t="s">
        <v>95</v>
      </c>
      <c r="V925" s="27" t="str">
        <f>R924</f>
        <v>No</v>
      </c>
      <c r="W925" s="27" t="str">
        <f>S924</f>
        <v>No</v>
      </c>
      <c r="X925" s="27" t="str">
        <f t="shared" ref="X925:X928" si="393">IF(V925="N/A","N/A",IF(W925="N/A", "N/A", IF(V925=W925, "Yes","No")))</f>
        <v>Yes</v>
      </c>
    </row>
    <row r="926" spans="1:38" x14ac:dyDescent="0.2">
      <c r="A926" s="27" t="s">
        <v>71</v>
      </c>
      <c r="B926" s="27" t="s">
        <v>40</v>
      </c>
      <c r="C926" s="27">
        <v>0</v>
      </c>
      <c r="D926" s="27" t="s">
        <v>4</v>
      </c>
      <c r="F926" s="27" t="str">
        <f t="shared" ref="F926" si="394">IF(C926&gt;=$W$2,"Yes","No")</f>
        <v>No</v>
      </c>
      <c r="G926" s="27" t="s">
        <v>9</v>
      </c>
      <c r="H926" s="27" t="s">
        <v>43</v>
      </c>
      <c r="J926" s="27" t="s">
        <v>15</v>
      </c>
      <c r="K926" s="27">
        <v>97</v>
      </c>
      <c r="L926" s="27" t="s">
        <v>12</v>
      </c>
      <c r="M926" s="27" t="s">
        <v>112</v>
      </c>
      <c r="N926" s="27" t="str">
        <f t="shared" si="391"/>
        <v>No</v>
      </c>
      <c r="O926" s="27" t="str">
        <f t="shared" si="392"/>
        <v>No</v>
      </c>
      <c r="Q926" s="27" t="s">
        <v>117</v>
      </c>
      <c r="R926" s="63" t="s">
        <v>9</v>
      </c>
      <c r="S926" s="27" t="str">
        <f>IF(COUNTIF(O929:O931,"Yes"),"Yes","No")</f>
        <v>No</v>
      </c>
      <c r="U926" s="27" t="s">
        <v>163</v>
      </c>
      <c r="V926" s="27" t="s">
        <v>9</v>
      </c>
      <c r="W926" s="27" t="str">
        <f>O928</f>
        <v>N/A</v>
      </c>
      <c r="X926" s="27" t="str">
        <f t="shared" si="393"/>
        <v>N/A</v>
      </c>
    </row>
    <row r="927" spans="1:38" x14ac:dyDescent="0.2">
      <c r="A927" s="27" t="s">
        <v>71</v>
      </c>
      <c r="B927" s="27" t="s">
        <v>32</v>
      </c>
      <c r="C927" s="27">
        <v>3</v>
      </c>
      <c r="D927" s="27" t="s">
        <v>33</v>
      </c>
      <c r="F927" s="27" t="str">
        <f t="shared" ref="F927" si="395">IF(C927&gt;$W$6,"Yes","No")</f>
        <v>No</v>
      </c>
      <c r="G927" s="27" t="s">
        <v>9</v>
      </c>
      <c r="J927" s="27" t="s">
        <v>19</v>
      </c>
      <c r="K927" s="27" t="s">
        <v>120</v>
      </c>
      <c r="L927" s="27" t="s">
        <v>12</v>
      </c>
      <c r="M927" s="27" t="s">
        <v>46</v>
      </c>
      <c r="N927" s="27" t="str">
        <f>IF(K927="N/A","No", IF(K927&gt;5000,"Yes","No"))</f>
        <v>No</v>
      </c>
      <c r="O927" s="27" t="str">
        <f>IF(K927="Not","No",IF(K927="n/a","N/A",IF(K927&gt;$Y$2,"Yes","No")))</f>
        <v>N/A</v>
      </c>
      <c r="Q927" s="27" t="s">
        <v>118</v>
      </c>
      <c r="R927" s="27" t="str">
        <f>IF(COUNTIF(R924:R926,"Yes"),"Yes","No")</f>
        <v>No</v>
      </c>
      <c r="S927" s="27" t="str">
        <f>IF(COUNTIF(S924:S926,"Yes"),"Yes","No")</f>
        <v>No</v>
      </c>
      <c r="U927" s="27" t="s">
        <v>164</v>
      </c>
      <c r="V927" s="27" t="s">
        <v>9</v>
      </c>
      <c r="W927" s="27" t="str">
        <f>O927</f>
        <v>N/A</v>
      </c>
      <c r="X927" s="27" t="str">
        <f t="shared" si="393"/>
        <v>N/A</v>
      </c>
    </row>
    <row r="928" spans="1:38" x14ac:dyDescent="0.2">
      <c r="A928" s="27" t="s">
        <v>158</v>
      </c>
      <c r="B928" s="27" t="s">
        <v>54</v>
      </c>
      <c r="C928" s="27">
        <v>18</v>
      </c>
      <c r="D928" s="27" t="s">
        <v>33</v>
      </c>
      <c r="F928" s="27" t="str">
        <f>IF(C928&gt;$W$5,"Yes","No")</f>
        <v>No</v>
      </c>
      <c r="G928" s="27" t="s">
        <v>9</v>
      </c>
      <c r="J928" s="27" t="s">
        <v>22</v>
      </c>
      <c r="K928" s="27" t="s">
        <v>120</v>
      </c>
      <c r="L928" s="27" t="s">
        <v>12</v>
      </c>
      <c r="M928" s="27" t="s">
        <v>43</v>
      </c>
      <c r="N928" s="27" t="str">
        <f>IF(K928="N/A","No", IF(K928&gt;5000,"Yes","No"))</f>
        <v>No</v>
      </c>
      <c r="O928" s="27" t="str">
        <f>IF(K928="Not","No",IF(K928="n/a","N/A",IF(K928&gt;$Y$2,"Yes","No")))</f>
        <v>N/A</v>
      </c>
      <c r="U928" s="27" t="s">
        <v>162</v>
      </c>
      <c r="V928" s="27" t="str">
        <f>R925</f>
        <v>No</v>
      </c>
      <c r="W928" s="27" t="str">
        <f>S925</f>
        <v>N/A</v>
      </c>
      <c r="X928" s="27" t="str">
        <f t="shared" si="393"/>
        <v>N/A</v>
      </c>
    </row>
    <row r="929" spans="1:38" x14ac:dyDescent="0.2">
      <c r="J929" s="27" t="s">
        <v>25</v>
      </c>
      <c r="K929" s="27">
        <v>2.5</v>
      </c>
      <c r="L929" s="27" t="s">
        <v>12</v>
      </c>
      <c r="M929" s="27" t="s">
        <v>126</v>
      </c>
      <c r="N929" s="27" t="str">
        <f>IF(K929="N/A","No", IF(K929&gt;20,"Yes","No"))</f>
        <v>No</v>
      </c>
      <c r="O929" s="27" t="str">
        <f t="shared" ref="O929:O930" si="396">IF(K929="Not","No",IF(K929="n/a","N/A",IF(K929&gt;$Y$6,"Yes","No")))</f>
        <v>No</v>
      </c>
      <c r="U929" s="27" t="s">
        <v>101</v>
      </c>
      <c r="V929" s="27" t="s">
        <v>9</v>
      </c>
      <c r="W929" s="27" t="s">
        <v>9</v>
      </c>
      <c r="X929" s="27" t="str">
        <f>IF(V929="N/A","N/A",IF(W929="N/A", "N/A", IF(V929=W929, "Yes","No")))</f>
        <v>Yes</v>
      </c>
    </row>
    <row r="930" spans="1:38" x14ac:dyDescent="0.2">
      <c r="J930" s="27" t="s">
        <v>29</v>
      </c>
      <c r="K930" s="27">
        <v>2.5</v>
      </c>
      <c r="L930" s="27" t="s">
        <v>12</v>
      </c>
      <c r="M930" s="27" t="s">
        <v>222</v>
      </c>
      <c r="N930" s="27" t="str">
        <f>IF(K930="N/A","No", IF(K930&gt;20,"Yes","No"))</f>
        <v>No</v>
      </c>
      <c r="O930" s="27" t="str">
        <f t="shared" si="396"/>
        <v>No</v>
      </c>
      <c r="U930" s="27" t="s">
        <v>104</v>
      </c>
      <c r="V930" s="27" t="s">
        <v>9</v>
      </c>
      <c r="W930" s="27" t="str">
        <f>O931</f>
        <v>No</v>
      </c>
      <c r="X930" s="27" t="str">
        <f>IF(V930="N/A","N/A",IF(W930="N/A", "N/A", IF(V930=W930, "Yes","No")))</f>
        <v>Yes</v>
      </c>
    </row>
    <row r="931" spans="1:38" x14ac:dyDescent="0.2">
      <c r="J931" s="27" t="s">
        <v>34</v>
      </c>
      <c r="K931" s="27">
        <v>6</v>
      </c>
      <c r="L931" s="27" t="s">
        <v>12</v>
      </c>
      <c r="M931" s="27" t="s">
        <v>210</v>
      </c>
      <c r="N931" s="27" t="str">
        <f>IF(K931="N/A","No", IF(K931&gt;230,"Yes","No"))</f>
        <v>No</v>
      </c>
      <c r="O931" s="27" t="str">
        <f>IF(K931="Not","No",IF(K931="n/a","N/A",IF(K931&gt;$Y$5,"Yes","No")))</f>
        <v>No</v>
      </c>
      <c r="U931" s="27" t="s">
        <v>106</v>
      </c>
      <c r="V931" s="27" t="str">
        <f>R926</f>
        <v>No</v>
      </c>
      <c r="W931" s="27" t="str">
        <f>S926</f>
        <v>No</v>
      </c>
      <c r="X931" s="27" t="str">
        <f>IF(V931="N/A","N/A",IF(W931="N/A", "N/A", IF(V931=W931, "Yes","No")))</f>
        <v>Yes</v>
      </c>
    </row>
    <row r="932" spans="1:38" x14ac:dyDescent="0.2">
      <c r="J932" s="27" t="s">
        <v>208</v>
      </c>
      <c r="K932" s="27">
        <v>31.2</v>
      </c>
      <c r="L932" s="27" t="s">
        <v>12</v>
      </c>
      <c r="M932" s="27" t="s">
        <v>223</v>
      </c>
      <c r="N932" s="27" t="str">
        <f>IF(K932="N/A","No", IF(K932&gt;20,"Yes","No"))</f>
        <v>Yes</v>
      </c>
      <c r="O932" s="27" t="str">
        <f>IF(K932="Not","No",IF(K932="n/a","N/A",IF(K932&gt;$Y$7,"Yes","No")))</f>
        <v>No</v>
      </c>
      <c r="U932" s="27" t="s">
        <v>121</v>
      </c>
      <c r="V932" s="27" t="str">
        <f>R927</f>
        <v>No</v>
      </c>
      <c r="W932" s="27" t="str">
        <f>S927</f>
        <v>No</v>
      </c>
      <c r="X932" s="27" t="str">
        <f>IF(V932="N/A","N/A",IF(W932="N/A", "N/A", IF(V932=W932, "Yes","No")))</f>
        <v>Yes</v>
      </c>
    </row>
    <row r="934" spans="1:38" x14ac:dyDescent="0.2">
      <c r="A934" s="27">
        <v>1284</v>
      </c>
      <c r="B934" s="27" t="s">
        <v>111</v>
      </c>
      <c r="C934" s="27">
        <v>61</v>
      </c>
    </row>
    <row r="935" spans="1:38" x14ac:dyDescent="0.2">
      <c r="A935" s="59" t="s">
        <v>0</v>
      </c>
      <c r="E935" s="27" t="s">
        <v>274</v>
      </c>
      <c r="F935" s="27" t="s">
        <v>275</v>
      </c>
      <c r="G935" s="27" t="s">
        <v>119</v>
      </c>
      <c r="J935" s="59" t="s">
        <v>1</v>
      </c>
      <c r="N935" s="27" t="s">
        <v>277</v>
      </c>
      <c r="O935" s="27" t="s">
        <v>278</v>
      </c>
      <c r="Q935" s="59" t="s">
        <v>115</v>
      </c>
      <c r="R935" s="59" t="s">
        <v>0</v>
      </c>
      <c r="S935" s="59" t="s">
        <v>1</v>
      </c>
      <c r="U935" s="59" t="s">
        <v>115</v>
      </c>
      <c r="V935" s="59" t="s">
        <v>0</v>
      </c>
      <c r="W935" s="59" t="s">
        <v>1</v>
      </c>
      <c r="X935" s="59" t="s">
        <v>122</v>
      </c>
      <c r="AA935" s="27" t="str">
        <f>IF(R936="Yes","LRA-Soil","")</f>
        <v/>
      </c>
      <c r="AB935" s="27" t="str">
        <f>IF(R937="Yes","LRA-Paint","")</f>
        <v>LRA-Paint</v>
      </c>
      <c r="AC935" s="27" t="str">
        <f>IF(R938="Yes","LRA-Dust","")</f>
        <v/>
      </c>
      <c r="AD935" s="27" t="str">
        <f>IF(S936="Yes","LSK-Soil","")</f>
        <v/>
      </c>
      <c r="AE935" s="27" t="str">
        <f>IF(S937="Yes","LSK-Paint","")</f>
        <v>LSK-Paint</v>
      </c>
      <c r="AF935" s="27" t="str">
        <f>IF(S938="Yes","LSK-Dust","")</f>
        <v/>
      </c>
      <c r="AI935" s="27" t="s">
        <v>46</v>
      </c>
      <c r="AJ935" s="27" t="s">
        <v>43</v>
      </c>
      <c r="AK935" s="27" t="s">
        <v>116</v>
      </c>
      <c r="AL935" s="27" t="s">
        <v>117</v>
      </c>
    </row>
    <row r="936" spans="1:38" x14ac:dyDescent="0.2">
      <c r="A936" s="27" t="s">
        <v>185</v>
      </c>
      <c r="B936" s="27" t="s">
        <v>221</v>
      </c>
      <c r="C936" s="27">
        <v>1.4</v>
      </c>
      <c r="D936" s="27" t="s">
        <v>4</v>
      </c>
      <c r="E936" s="27" t="s">
        <v>5</v>
      </c>
      <c r="F936" s="27" t="str">
        <f t="shared" ref="F936:F943" si="397">IF(C936&gt;=$W$2,"Yes","No")</f>
        <v>Yes</v>
      </c>
      <c r="G936" s="27" t="s">
        <v>5</v>
      </c>
      <c r="H936" s="27" t="s">
        <v>46</v>
      </c>
      <c r="J936" s="27" t="s">
        <v>6</v>
      </c>
      <c r="K936" s="27">
        <v>127</v>
      </c>
      <c r="L936" s="27" t="s">
        <v>12</v>
      </c>
      <c r="M936" s="27" t="s">
        <v>114</v>
      </c>
      <c r="N936" s="27" t="str">
        <f>IF(K936="N/A","No", IF(K936&gt;1200,"Yes","No"))</f>
        <v>No</v>
      </c>
      <c r="O936" s="27" t="str">
        <f>IF(K936="Not","No",IF(K936="n/a","N/A",IF(K936&gt;=$Y$3,"Yes","No")))</f>
        <v>No</v>
      </c>
      <c r="Q936" s="27" t="s">
        <v>116</v>
      </c>
      <c r="R936" s="27" t="str">
        <f>_xlfn.XLOOKUP("ppm",D936:D947,F936:F947,"N/A")</f>
        <v>No</v>
      </c>
      <c r="S936" s="27" t="str">
        <f>IF(COUNTIF(O936:O938,"Yes"),"Yes","No")</f>
        <v>No</v>
      </c>
      <c r="U936" s="27" t="s">
        <v>92</v>
      </c>
      <c r="V936" s="27" t="s">
        <v>120</v>
      </c>
      <c r="W936" s="27" t="s">
        <v>120</v>
      </c>
      <c r="X936" s="27" t="str">
        <f>IF(V936="N/A","N/A",IF(W936="N/A", "N/A", IF(V936=W936, "Yes","No")))</f>
        <v>N/A</v>
      </c>
      <c r="AI936" s="27">
        <f>COUNTIF(H935:H947,"Exterior")</f>
        <v>8</v>
      </c>
      <c r="AJ936" s="27">
        <f>COUNTIF(H935:H947, "Interior")</f>
        <v>1</v>
      </c>
      <c r="AK936" s="27">
        <f>COUNTIFS(D935:D947,"ppm")+COUNTIFS(D935:D947,"mg/Kg")</f>
        <v>1</v>
      </c>
      <c r="AL936" s="27">
        <f>COUNTIF(D935:D947,"ug/ft2")</f>
        <v>2</v>
      </c>
    </row>
    <row r="937" spans="1:38" x14ac:dyDescent="0.2">
      <c r="A937" s="27" t="s">
        <v>185</v>
      </c>
      <c r="B937" s="27" t="s">
        <v>221</v>
      </c>
      <c r="C937" s="27">
        <v>7.2</v>
      </c>
      <c r="D937" s="27" t="s">
        <v>4</v>
      </c>
      <c r="E937" s="27" t="s">
        <v>5</v>
      </c>
      <c r="F937" s="27" t="str">
        <f t="shared" si="397"/>
        <v>Yes</v>
      </c>
      <c r="G937" s="27" t="s">
        <v>5</v>
      </c>
      <c r="H937" s="27" t="s">
        <v>46</v>
      </c>
      <c r="J937" s="27" t="s">
        <v>11</v>
      </c>
      <c r="K937" s="27">
        <v>50</v>
      </c>
      <c r="L937" s="27" t="s">
        <v>12</v>
      </c>
      <c r="M937" s="27" t="s">
        <v>67</v>
      </c>
      <c r="N937" s="27" t="str">
        <f t="shared" ref="N937:N938" si="398">IF(K937="N/A","No", IF(K937&gt;1200,"Yes","No"))</f>
        <v>No</v>
      </c>
      <c r="O937" s="27" t="str">
        <f t="shared" ref="O937:O938" si="399">IF(K937="Not","No",IF(K937="n/a","N/A",IF(K937&gt;$Y$3,"Yes","No")))</f>
        <v>No</v>
      </c>
      <c r="Q937" s="27" t="s">
        <v>98</v>
      </c>
      <c r="R937" s="27" t="str">
        <f>_xlfn.XLOOKUP("mg/cm2",D936:D947,G936:G947,"N/A",1,-1)</f>
        <v>Yes</v>
      </c>
      <c r="S937" s="27" t="str">
        <f>IF(COUNTIF(O939:O940,"Yes"),"Yes","No")</f>
        <v>Yes</v>
      </c>
      <c r="U937" s="27" t="s">
        <v>95</v>
      </c>
      <c r="V937" s="27" t="str">
        <f>R936</f>
        <v>No</v>
      </c>
      <c r="W937" s="27" t="str">
        <f>S936</f>
        <v>No</v>
      </c>
      <c r="X937" s="27" t="str">
        <f t="shared" ref="X937:X940" si="400">IF(V937="N/A","N/A",IF(W937="N/A", "N/A", IF(V937=W937, "Yes","No")))</f>
        <v>Yes</v>
      </c>
    </row>
    <row r="938" spans="1:38" x14ac:dyDescent="0.2">
      <c r="A938" s="27" t="s">
        <v>185</v>
      </c>
      <c r="B938" s="27" t="s">
        <v>236</v>
      </c>
      <c r="C938" s="27">
        <v>1.9</v>
      </c>
      <c r="D938" s="27" t="s">
        <v>4</v>
      </c>
      <c r="E938" s="27" t="s">
        <v>5</v>
      </c>
      <c r="F938" s="27" t="str">
        <f t="shared" si="397"/>
        <v>Yes</v>
      </c>
      <c r="G938" s="27" t="s">
        <v>5</v>
      </c>
      <c r="H938" s="27" t="s">
        <v>46</v>
      </c>
      <c r="J938" s="27" t="s">
        <v>15</v>
      </c>
      <c r="K938" s="27">
        <v>241</v>
      </c>
      <c r="L938" s="27" t="s">
        <v>12</v>
      </c>
      <c r="M938" s="27" t="s">
        <v>112</v>
      </c>
      <c r="N938" s="27" t="str">
        <f t="shared" si="398"/>
        <v>No</v>
      </c>
      <c r="O938" s="27" t="str">
        <f t="shared" si="399"/>
        <v>No</v>
      </c>
      <c r="Q938" s="27" t="s">
        <v>117</v>
      </c>
      <c r="R938" s="27" t="str">
        <f>_xlfn.XLOOKUP("ug/ft2",D936:D947,F936:F947,"N/A")</f>
        <v>No</v>
      </c>
      <c r="S938" s="27" t="str">
        <f>IF(COUNTIF(O941:O943,"Yes"),"Yes","No")</f>
        <v>No</v>
      </c>
      <c r="U938" s="27" t="s">
        <v>163</v>
      </c>
      <c r="V938" s="27" t="s">
        <v>5</v>
      </c>
      <c r="W938" s="27" t="str">
        <f>O940</f>
        <v>No</v>
      </c>
      <c r="X938" s="27" t="str">
        <f t="shared" si="400"/>
        <v>No</v>
      </c>
    </row>
    <row r="939" spans="1:38" x14ac:dyDescent="0.2">
      <c r="A939" s="27" t="s">
        <v>185</v>
      </c>
      <c r="B939" s="27" t="s">
        <v>236</v>
      </c>
      <c r="C939" s="27">
        <v>1.7</v>
      </c>
      <c r="D939" s="27" t="s">
        <v>4</v>
      </c>
      <c r="E939" s="27" t="s">
        <v>5</v>
      </c>
      <c r="F939" s="27" t="str">
        <f t="shared" si="397"/>
        <v>Yes</v>
      </c>
      <c r="G939" s="27" t="s">
        <v>5</v>
      </c>
      <c r="H939" s="27" t="s">
        <v>46</v>
      </c>
      <c r="J939" s="27" t="s">
        <v>19</v>
      </c>
      <c r="K939" s="27">
        <v>18585</v>
      </c>
      <c r="L939" s="27" t="s">
        <v>12</v>
      </c>
      <c r="M939" s="27" t="s">
        <v>46</v>
      </c>
      <c r="N939" s="27" t="str">
        <f>IF(K939="N/A","No", IF(K939&gt;5000,"Yes","No"))</f>
        <v>Yes</v>
      </c>
      <c r="O939" s="27" t="str">
        <f>IF(K939="Not","No",IF(K939="n/a","N/A",IF(K939&gt;$Y$2,"Yes","No")))</f>
        <v>Yes</v>
      </c>
      <c r="Q939" s="27" t="s">
        <v>118</v>
      </c>
      <c r="R939" s="27" t="str">
        <f>IF(COUNTIF(R936:R938,"Yes"),"Yes","No")</f>
        <v>Yes</v>
      </c>
      <c r="S939" s="27" t="str">
        <f>IF(COUNTIF(S936:S938,"Yes"),"Yes","No")</f>
        <v>Yes</v>
      </c>
      <c r="U939" s="27" t="s">
        <v>164</v>
      </c>
      <c r="V939" s="27" t="s">
        <v>5</v>
      </c>
      <c r="W939" s="27" t="str">
        <f>O939</f>
        <v>Yes</v>
      </c>
      <c r="X939" s="27" t="str">
        <f t="shared" si="400"/>
        <v>Yes</v>
      </c>
    </row>
    <row r="940" spans="1:38" x14ac:dyDescent="0.2">
      <c r="A940" s="27" t="s">
        <v>185</v>
      </c>
      <c r="B940" s="27" t="s">
        <v>211</v>
      </c>
      <c r="C940" s="27">
        <v>8.1</v>
      </c>
      <c r="D940" s="27" t="s">
        <v>4</v>
      </c>
      <c r="E940" s="27" t="s">
        <v>5</v>
      </c>
      <c r="F940" s="27" t="str">
        <f t="shared" si="397"/>
        <v>Yes</v>
      </c>
      <c r="G940" s="27" t="s">
        <v>5</v>
      </c>
      <c r="H940" s="27" t="s">
        <v>46</v>
      </c>
      <c r="J940" s="27" t="s">
        <v>22</v>
      </c>
      <c r="K940" s="27">
        <v>1219</v>
      </c>
      <c r="L940" s="27" t="s">
        <v>12</v>
      </c>
      <c r="M940" s="27" t="s">
        <v>43</v>
      </c>
      <c r="N940" s="27" t="str">
        <f>IF(K940="N/A","No", IF(K940&gt;5000,"Yes","No"))</f>
        <v>No</v>
      </c>
      <c r="O940" s="27" t="str">
        <f>IF(K940="Not","No",IF(K940="n/a","N/A",IF(K940&gt;$Y$2,"Yes","No")))</f>
        <v>No</v>
      </c>
      <c r="U940" s="27" t="s">
        <v>162</v>
      </c>
      <c r="V940" s="27" t="str">
        <f>R937</f>
        <v>Yes</v>
      </c>
      <c r="W940" s="27" t="str">
        <f>S937</f>
        <v>Yes</v>
      </c>
      <c r="X940" s="27" t="str">
        <f t="shared" si="400"/>
        <v>Yes</v>
      </c>
    </row>
    <row r="941" spans="1:38" x14ac:dyDescent="0.2">
      <c r="A941" s="27" t="s">
        <v>185</v>
      </c>
      <c r="B941" s="27" t="s">
        <v>211</v>
      </c>
      <c r="C941" s="27">
        <v>6</v>
      </c>
      <c r="D941" s="27" t="s">
        <v>4</v>
      </c>
      <c r="E941" s="27" t="s">
        <v>5</v>
      </c>
      <c r="F941" s="27" t="str">
        <f t="shared" si="397"/>
        <v>Yes</v>
      </c>
      <c r="G941" s="27" t="s">
        <v>5</v>
      </c>
      <c r="H941" s="27" t="s">
        <v>46</v>
      </c>
      <c r="J941" s="27" t="s">
        <v>25</v>
      </c>
      <c r="K941" s="27">
        <v>4</v>
      </c>
      <c r="L941" s="27" t="s">
        <v>12</v>
      </c>
      <c r="M941" s="27" t="s">
        <v>126</v>
      </c>
      <c r="N941" s="27" t="str">
        <f>IF(K941="N/A","No", IF(K941&gt;20,"Yes","No"))</f>
        <v>No</v>
      </c>
      <c r="O941" s="27" t="str">
        <f t="shared" ref="O941:O942" si="401">IF(K941="Not","No",IF(K941="n/a","N/A",IF(K941&gt;$Y$6,"Yes","No")))</f>
        <v>No</v>
      </c>
      <c r="U941" s="27" t="s">
        <v>101</v>
      </c>
      <c r="V941" s="27" t="s">
        <v>9</v>
      </c>
      <c r="W941" s="27" t="s">
        <v>9</v>
      </c>
      <c r="X941" s="27" t="str">
        <f>IF(V941="N/A","N/A",IF(W941="N/A", "N/A", IF(V941=W941, "Yes","No")))</f>
        <v>Yes</v>
      </c>
    </row>
    <row r="942" spans="1:38" x14ac:dyDescent="0.2">
      <c r="A942" s="27" t="s">
        <v>185</v>
      </c>
      <c r="B942" s="27" t="s">
        <v>211</v>
      </c>
      <c r="C942" s="27">
        <v>29.8</v>
      </c>
      <c r="D942" s="27" t="s">
        <v>4</v>
      </c>
      <c r="E942" s="27" t="s">
        <v>5</v>
      </c>
      <c r="F942" s="27" t="str">
        <f t="shared" si="397"/>
        <v>Yes</v>
      </c>
      <c r="G942" s="27" t="s">
        <v>5</v>
      </c>
      <c r="H942" s="27" t="s">
        <v>46</v>
      </c>
      <c r="J942" s="27" t="s">
        <v>29</v>
      </c>
      <c r="K942" s="27">
        <v>15</v>
      </c>
      <c r="L942" s="27" t="s">
        <v>12</v>
      </c>
      <c r="M942" s="27" t="s">
        <v>222</v>
      </c>
      <c r="N942" s="27" t="str">
        <f>IF(K942="N/A","No", IF(K942&gt;20,"Yes","No"))</f>
        <v>No</v>
      </c>
      <c r="O942" s="27" t="str">
        <f t="shared" si="401"/>
        <v>No</v>
      </c>
      <c r="U942" s="27" t="s">
        <v>104</v>
      </c>
      <c r="V942" s="27" t="s">
        <v>9</v>
      </c>
      <c r="W942" s="27" t="str">
        <f>O943</f>
        <v>No</v>
      </c>
      <c r="X942" s="27" t="str">
        <f>IF(V942="N/A","N/A",IF(W942="N/A", "N/A", IF(V942=W942, "Yes","No")))</f>
        <v>Yes</v>
      </c>
    </row>
    <row r="943" spans="1:38" x14ac:dyDescent="0.2">
      <c r="A943" s="27" t="s">
        <v>185</v>
      </c>
      <c r="B943" s="27" t="s">
        <v>211</v>
      </c>
      <c r="C943" s="27">
        <v>7.1</v>
      </c>
      <c r="D943" s="27" t="s">
        <v>4</v>
      </c>
      <c r="E943" s="27" t="s">
        <v>5</v>
      </c>
      <c r="F943" s="27" t="str">
        <f t="shared" si="397"/>
        <v>Yes</v>
      </c>
      <c r="G943" s="27" t="s">
        <v>5</v>
      </c>
      <c r="H943" s="27" t="s">
        <v>46</v>
      </c>
      <c r="J943" s="27" t="s">
        <v>34</v>
      </c>
      <c r="K943" s="27">
        <v>33</v>
      </c>
      <c r="L943" s="27" t="s">
        <v>12</v>
      </c>
      <c r="M943" s="27" t="s">
        <v>210</v>
      </c>
      <c r="N943" s="27" t="str">
        <f>IF(K943="N/A","No", IF(K943&gt;230,"Yes","No"))</f>
        <v>No</v>
      </c>
      <c r="O943" s="27" t="str">
        <f>IF(K943="Not","No",IF(K943="n/a","N/A",IF(K943&gt;$Y$5,"Yes","No")))</f>
        <v>No</v>
      </c>
      <c r="U943" s="27" t="s">
        <v>106</v>
      </c>
      <c r="V943" s="27" t="str">
        <f>R938</f>
        <v>No</v>
      </c>
      <c r="W943" s="27" t="str">
        <f>S938</f>
        <v>No</v>
      </c>
      <c r="X943" s="27" t="str">
        <f>IF(V943="N/A","N/A",IF(W943="N/A", "N/A", IF(V943=W943, "Yes","No")))</f>
        <v>Yes</v>
      </c>
    </row>
    <row r="944" spans="1:38" x14ac:dyDescent="0.2">
      <c r="A944" s="27" t="s">
        <v>200</v>
      </c>
      <c r="B944" s="27" t="s">
        <v>286</v>
      </c>
      <c r="C944" s="27">
        <v>175</v>
      </c>
      <c r="D944" s="27" t="s">
        <v>12</v>
      </c>
      <c r="E944" s="27" t="s">
        <v>9</v>
      </c>
      <c r="F944" s="27" t="str">
        <f>IF(C944&gt;$W$3,"Yes","No")</f>
        <v>No</v>
      </c>
      <c r="G944" s="27" t="s">
        <v>9</v>
      </c>
      <c r="J944" s="27" t="s">
        <v>208</v>
      </c>
      <c r="K944" s="27">
        <v>1037</v>
      </c>
      <c r="L944" s="27" t="s">
        <v>12</v>
      </c>
      <c r="M944" s="27" t="s">
        <v>223</v>
      </c>
      <c r="N944" s="27" t="str">
        <f>IF(K944="N/A","No", IF(K944&gt;20,"Yes","No"))</f>
        <v>Yes</v>
      </c>
      <c r="O944" s="57" t="str">
        <f>IF(K944="Not","No",IF(K944="n/a","N/A",IF(K944&gt;$Y$7,"Yes","No")))</f>
        <v>Yes</v>
      </c>
      <c r="U944" s="27" t="s">
        <v>121</v>
      </c>
      <c r="V944" s="27" t="str">
        <f>R939</f>
        <v>Yes</v>
      </c>
      <c r="W944" s="27" t="str">
        <f>S939</f>
        <v>Yes</v>
      </c>
      <c r="X944" s="27" t="str">
        <f>IF(V944="N/A","N/A",IF(W944="N/A", "N/A", IF(V944=W944, "Yes","No")))</f>
        <v>Yes</v>
      </c>
    </row>
    <row r="945" spans="1:38" x14ac:dyDescent="0.2">
      <c r="A945" s="27" t="s">
        <v>237</v>
      </c>
      <c r="B945" s="27" t="s">
        <v>211</v>
      </c>
      <c r="C945" s="27">
        <v>2.2000000000000002</v>
      </c>
      <c r="D945" s="27" t="s">
        <v>4</v>
      </c>
      <c r="E945" s="27" t="s">
        <v>5</v>
      </c>
      <c r="F945" s="27" t="str">
        <f t="shared" ref="F945" si="402">IF(C945&gt;=$W$2,"Yes","No")</f>
        <v>Yes</v>
      </c>
      <c r="G945" s="27" t="s">
        <v>5</v>
      </c>
      <c r="H945" s="27" t="s">
        <v>43</v>
      </c>
    </row>
    <row r="946" spans="1:38" x14ac:dyDescent="0.2">
      <c r="A946" s="27" t="s">
        <v>333</v>
      </c>
      <c r="B946" s="27" t="s">
        <v>192</v>
      </c>
      <c r="C946" s="27">
        <v>75</v>
      </c>
      <c r="D946" s="27" t="s">
        <v>33</v>
      </c>
      <c r="E946" s="27" t="s">
        <v>9</v>
      </c>
      <c r="F946" s="27" t="str">
        <f>IF(C946&gt;$W$5,"Yes","No")</f>
        <v>No</v>
      </c>
      <c r="G946" s="27" t="s">
        <v>9</v>
      </c>
    </row>
    <row r="947" spans="1:38" x14ac:dyDescent="0.2">
      <c r="A947" s="27" t="s">
        <v>71</v>
      </c>
      <c r="B947" s="27" t="s">
        <v>32</v>
      </c>
      <c r="C947" s="27">
        <v>9.6</v>
      </c>
      <c r="D947" s="27" t="s">
        <v>33</v>
      </c>
      <c r="E947" s="27" t="s">
        <v>9</v>
      </c>
      <c r="F947" s="27" t="str">
        <f t="shared" ref="F947" si="403">IF(C947&gt;$W$6,"Yes","No")</f>
        <v>No</v>
      </c>
      <c r="G947" s="27" t="s">
        <v>5</v>
      </c>
    </row>
    <row r="950" spans="1:38" x14ac:dyDescent="0.2">
      <c r="A950" s="27">
        <v>571</v>
      </c>
      <c r="B950" s="27" t="s">
        <v>319</v>
      </c>
      <c r="C950" s="27">
        <v>62</v>
      </c>
    </row>
    <row r="951" spans="1:38" x14ac:dyDescent="0.2">
      <c r="A951" s="59" t="s">
        <v>0</v>
      </c>
      <c r="E951" s="27" t="s">
        <v>274</v>
      </c>
      <c r="F951" s="27" t="s">
        <v>275</v>
      </c>
      <c r="G951" s="27" t="s">
        <v>119</v>
      </c>
      <c r="J951" s="59" t="s">
        <v>1</v>
      </c>
      <c r="N951" s="27" t="s">
        <v>277</v>
      </c>
      <c r="O951" s="27" t="s">
        <v>278</v>
      </c>
      <c r="Q951" s="59" t="s">
        <v>115</v>
      </c>
      <c r="R951" s="59" t="s">
        <v>0</v>
      </c>
      <c r="S951" s="59" t="s">
        <v>1</v>
      </c>
      <c r="U951" s="59" t="s">
        <v>115</v>
      </c>
      <c r="V951" s="59" t="s">
        <v>0</v>
      </c>
      <c r="W951" s="59" t="s">
        <v>1</v>
      </c>
      <c r="X951" s="59" t="s">
        <v>122</v>
      </c>
      <c r="AA951" s="27" t="str">
        <f>IF(R952="Yes","LRA-Soil","")</f>
        <v/>
      </c>
      <c r="AB951" s="27" t="str">
        <f>IF(R953="Yes","LRA-Paint","")</f>
        <v>LRA-Paint</v>
      </c>
      <c r="AC951" s="27" t="str">
        <f>IF(R954="Yes","LRA-Dust","")</f>
        <v/>
      </c>
      <c r="AD951" s="27" t="str">
        <f>IF(S952="Yes","LSK-Soil","")</f>
        <v>LSK-Soil</v>
      </c>
      <c r="AE951" s="27" t="str">
        <f>IF(S953="Yes","LSK-Paint","")</f>
        <v>LSK-Paint</v>
      </c>
      <c r="AF951" s="27" t="str">
        <f>IF(S954="Yes","LSK-Dust","")</f>
        <v>LSK-Dust</v>
      </c>
      <c r="AI951" s="27" t="s">
        <v>46</v>
      </c>
      <c r="AJ951" s="27" t="s">
        <v>43</v>
      </c>
      <c r="AK951" s="27" t="s">
        <v>116</v>
      </c>
      <c r="AL951" s="27" t="s">
        <v>117</v>
      </c>
    </row>
    <row r="952" spans="1:38" x14ac:dyDescent="0.2">
      <c r="A952" s="27" t="s">
        <v>153</v>
      </c>
      <c r="B952" s="27" t="s">
        <v>18</v>
      </c>
      <c r="C952" s="27">
        <v>0.01</v>
      </c>
      <c r="D952" s="27" t="s">
        <v>4</v>
      </c>
      <c r="F952" s="27" t="str">
        <f t="shared" ref="F952:F962" si="404">IF(C952&gt;=$W$2,"Yes","No")</f>
        <v>No</v>
      </c>
      <c r="G952" s="27" t="s">
        <v>9</v>
      </c>
      <c r="H952" s="27" t="s">
        <v>46</v>
      </c>
      <c r="J952" s="27" t="s">
        <v>6</v>
      </c>
      <c r="K952" s="27">
        <v>515.6</v>
      </c>
      <c r="L952" s="27" t="s">
        <v>12</v>
      </c>
      <c r="M952" s="27" t="s">
        <v>160</v>
      </c>
      <c r="N952" s="27" t="str">
        <f>IF(K952="N/A","No", IF(K952&gt;1200,"Yes","No"))</f>
        <v>No</v>
      </c>
      <c r="O952" s="27" t="str">
        <f>IF(K952="Not","No",IF(K952="n/a","N/A",IF(K952&gt;=$Y$3,"Yes","No")))</f>
        <v>Yes</v>
      </c>
      <c r="Q952" s="27" t="s">
        <v>116</v>
      </c>
      <c r="R952" s="27" t="str">
        <f>_xlfn.XLOOKUP("mg/Kg",D952:D965,F952:F965,"N/A")</f>
        <v>No</v>
      </c>
      <c r="S952" s="27" t="str">
        <f>IF(COUNTIF(O952:O954,"Yes"),"Yes","No")</f>
        <v>Yes</v>
      </c>
      <c r="U952" s="27" t="s">
        <v>92</v>
      </c>
      <c r="V952" s="27" t="s">
        <v>120</v>
      </c>
      <c r="W952" s="27" t="s">
        <v>120</v>
      </c>
      <c r="X952" s="27" t="str">
        <f>IF(V952="N/A","N/A",IF(W952="N/A", "N/A", IF(V952=W952, "Yes","No")))</f>
        <v>N/A</v>
      </c>
      <c r="AI952" s="27">
        <f>COUNTIF(H951:H965,"Exterior")</f>
        <v>1</v>
      </c>
      <c r="AJ952" s="27">
        <f>COUNTIF(H951:H965, "Interior")</f>
        <v>9</v>
      </c>
      <c r="AK952" s="27">
        <f>COUNTIFS(D951:D965,"ppm")+COUNTIFS(D951:D965,"mg/Kg")</f>
        <v>1</v>
      </c>
      <c r="AL952" s="27">
        <f>COUNTIF(D951:D965,"ug/ft2")</f>
        <v>3</v>
      </c>
    </row>
    <row r="953" spans="1:38" x14ac:dyDescent="0.2">
      <c r="A953" s="27" t="s">
        <v>83</v>
      </c>
      <c r="B953" s="27" t="s">
        <v>69</v>
      </c>
      <c r="C953" s="27">
        <v>190</v>
      </c>
      <c r="D953" s="27" t="s">
        <v>37</v>
      </c>
      <c r="F953" s="27" t="str">
        <f>IF(C953&gt;=$W$3,"Yes","No")</f>
        <v>No</v>
      </c>
      <c r="G953" s="27" t="s">
        <v>9</v>
      </c>
      <c r="J953" s="27" t="s">
        <v>11</v>
      </c>
      <c r="K953" s="27">
        <v>1167.0999999999999</v>
      </c>
      <c r="L953" s="27" t="s">
        <v>12</v>
      </c>
      <c r="M953" s="27" t="s">
        <v>38</v>
      </c>
      <c r="N953" s="27" t="str">
        <f t="shared" ref="N953:N954" si="405">IF(K953="N/A","No", IF(K953&gt;1200,"Yes","No"))</f>
        <v>No</v>
      </c>
      <c r="O953" s="27" t="str">
        <f t="shared" ref="O953:O954" si="406">IF(K953="Not","No",IF(K953="n/a","N/A",IF(K953&gt;$Y$3,"Yes","No")))</f>
        <v>Yes</v>
      </c>
      <c r="Q953" s="27" t="s">
        <v>98</v>
      </c>
      <c r="R953" s="27" t="str">
        <f>_xlfn.XLOOKUP("mg/cm2",D952:D965,G952:G965,"N/A",1,-1)</f>
        <v>Yes</v>
      </c>
      <c r="S953" s="27" t="str">
        <f>IF(COUNTIF(O955:O956,"Yes"),"Yes","No")</f>
        <v>Yes</v>
      </c>
      <c r="U953" s="27" t="s">
        <v>95</v>
      </c>
      <c r="V953" s="27" t="str">
        <f>R952</f>
        <v>No</v>
      </c>
      <c r="W953" s="27" t="str">
        <f>S952</f>
        <v>Yes</v>
      </c>
      <c r="X953" s="27" t="str">
        <f t="shared" ref="X953:X956" si="407">IF(V953="N/A","N/A",IF(W953="N/A", "N/A", IF(V953=W953, "Yes","No")))</f>
        <v>No</v>
      </c>
    </row>
    <row r="954" spans="1:38" x14ac:dyDescent="0.2">
      <c r="A954" s="27" t="s">
        <v>245</v>
      </c>
      <c r="B954" s="27" t="s">
        <v>174</v>
      </c>
      <c r="C954" s="27">
        <v>7.1</v>
      </c>
      <c r="D954" s="27" t="s">
        <v>4</v>
      </c>
      <c r="F954" s="27" t="str">
        <f t="shared" si="404"/>
        <v>Yes</v>
      </c>
      <c r="G954" s="27" t="s">
        <v>5</v>
      </c>
      <c r="H954" s="27" t="s">
        <v>43</v>
      </c>
      <c r="J954" s="27" t="s">
        <v>15</v>
      </c>
      <c r="K954" s="27">
        <v>127.4</v>
      </c>
      <c r="L954" s="27" t="s">
        <v>12</v>
      </c>
      <c r="M954" s="27" t="s">
        <v>324</v>
      </c>
      <c r="N954" s="27" t="str">
        <f t="shared" si="405"/>
        <v>No</v>
      </c>
      <c r="O954" s="27" t="str">
        <f t="shared" si="406"/>
        <v>No</v>
      </c>
      <c r="Q954" s="27" t="s">
        <v>117</v>
      </c>
      <c r="R954" s="27" t="str">
        <f>_xlfn.XLOOKUP("ug/ft2",D952:D965,F952:F965,"N/A")</f>
        <v>No</v>
      </c>
      <c r="S954" s="27" t="str">
        <f>IF(COUNTIF(O957:O959,"Yes"),"Yes","No")</f>
        <v>Yes</v>
      </c>
      <c r="U954" s="27" t="s">
        <v>163</v>
      </c>
      <c r="V954" s="27" t="s">
        <v>5</v>
      </c>
      <c r="W954" s="27" t="s">
        <v>5</v>
      </c>
      <c r="X954" s="27" t="str">
        <f t="shared" si="407"/>
        <v>Yes</v>
      </c>
    </row>
    <row r="955" spans="1:38" x14ac:dyDescent="0.2">
      <c r="A955" s="27" t="s">
        <v>113</v>
      </c>
      <c r="B955" s="27" t="s">
        <v>40</v>
      </c>
      <c r="C955" s="27">
        <v>4.0999999999999996</v>
      </c>
      <c r="D955" s="27" t="s">
        <v>4</v>
      </c>
      <c r="F955" s="27" t="str">
        <f t="shared" si="404"/>
        <v>Yes</v>
      </c>
      <c r="G955" s="27" t="s">
        <v>5</v>
      </c>
      <c r="H955" s="27" t="s">
        <v>43</v>
      </c>
      <c r="J955" s="27" t="s">
        <v>19</v>
      </c>
      <c r="K955" s="27">
        <v>328.3</v>
      </c>
      <c r="L955" s="27" t="s">
        <v>12</v>
      </c>
      <c r="M955" s="27" t="s">
        <v>70</v>
      </c>
      <c r="N955" s="27" t="str">
        <f>IF(K955="N/A","No", IF(K955&gt;5000,"Yes","No"))</f>
        <v>No</v>
      </c>
      <c r="O955" s="27" t="str">
        <f>IF(K955="Not","No",IF(K955="n/a","N/A",IF(K955&gt;$Y$2,"Yes","No")))</f>
        <v>No</v>
      </c>
      <c r="Q955" s="27" t="s">
        <v>118</v>
      </c>
      <c r="R955" s="27" t="str">
        <f>IF(COUNTIF(R952:R954,"Yes"),"Yes","No")</f>
        <v>Yes</v>
      </c>
      <c r="S955" s="27" t="str">
        <f>IF(COUNTIF(S952:S954,"Yes"),"Yes","No")</f>
        <v>Yes</v>
      </c>
      <c r="U955" s="27" t="s">
        <v>164</v>
      </c>
      <c r="V955" s="27" t="s">
        <v>9</v>
      </c>
      <c r="W955" s="27" t="s">
        <v>9</v>
      </c>
      <c r="X955" s="27" t="str">
        <f t="shared" si="407"/>
        <v>Yes</v>
      </c>
    </row>
    <row r="956" spans="1:38" x14ac:dyDescent="0.2">
      <c r="A956" s="27" t="s">
        <v>109</v>
      </c>
      <c r="B956" s="27" t="s">
        <v>40</v>
      </c>
      <c r="C956" s="27">
        <v>6</v>
      </c>
      <c r="D956" s="27" t="s">
        <v>4</v>
      </c>
      <c r="F956" s="27" t="str">
        <f t="shared" si="404"/>
        <v>Yes</v>
      </c>
      <c r="G956" s="27" t="s">
        <v>5</v>
      </c>
      <c r="H956" s="27" t="s">
        <v>43</v>
      </c>
      <c r="J956" s="27" t="s">
        <v>22</v>
      </c>
      <c r="K956" s="27">
        <v>10726.7</v>
      </c>
      <c r="L956" s="27" t="s">
        <v>12</v>
      </c>
      <c r="M956" s="27" t="s">
        <v>392</v>
      </c>
      <c r="N956" s="27" t="str">
        <f>IF(K956="N/A","No", IF(K956&gt;5000,"Yes","No"))</f>
        <v>Yes</v>
      </c>
      <c r="O956" s="27" t="str">
        <f>IF(K956="Not","No",IF(K956="n/a","N/A",IF(K956&gt;$Y$2,"Yes","No")))</f>
        <v>Yes</v>
      </c>
      <c r="U956" s="27" t="s">
        <v>162</v>
      </c>
      <c r="V956" s="27" t="str">
        <f>R953</f>
        <v>Yes</v>
      </c>
      <c r="W956" s="27" t="str">
        <f>S953</f>
        <v>Yes</v>
      </c>
      <c r="X956" s="27" t="str">
        <f t="shared" si="407"/>
        <v>Yes</v>
      </c>
    </row>
    <row r="957" spans="1:38" x14ac:dyDescent="0.2">
      <c r="A957" s="27" t="s">
        <v>391</v>
      </c>
      <c r="B957" s="27" t="s">
        <v>40</v>
      </c>
      <c r="C957" s="27">
        <v>4.8</v>
      </c>
      <c r="D957" s="27" t="s">
        <v>4</v>
      </c>
      <c r="F957" s="27" t="str">
        <f t="shared" si="404"/>
        <v>Yes</v>
      </c>
      <c r="G957" s="27" t="s">
        <v>5</v>
      </c>
      <c r="H957" s="27" t="s">
        <v>43</v>
      </c>
      <c r="J957" s="27" t="s">
        <v>25</v>
      </c>
      <c r="K957" s="27" t="s">
        <v>393</v>
      </c>
      <c r="L957" s="27" t="s">
        <v>12</v>
      </c>
      <c r="M957" s="27" t="s">
        <v>394</v>
      </c>
      <c r="N957" s="27" t="str">
        <f>IF(K957="N/A","No", IF(K957&gt;20,"Yes","No"))</f>
        <v>Yes</v>
      </c>
      <c r="O957" s="27" t="s">
        <v>9</v>
      </c>
      <c r="U957" s="27" t="s">
        <v>101</v>
      </c>
      <c r="V957" s="27" t="s">
        <v>9</v>
      </c>
      <c r="W957" s="27" t="s">
        <v>5</v>
      </c>
      <c r="X957" s="27" t="str">
        <f>IF(V957="N/A","N/A",IF(W957="N/A", "N/A", IF(V957=W957, "Yes","No")))</f>
        <v>No</v>
      </c>
    </row>
    <row r="958" spans="1:38" x14ac:dyDescent="0.2">
      <c r="A958" s="27" t="s">
        <v>322</v>
      </c>
      <c r="B958" s="27" t="s">
        <v>40</v>
      </c>
      <c r="C958" s="27">
        <v>3.4</v>
      </c>
      <c r="D958" s="27" t="s">
        <v>4</v>
      </c>
      <c r="F958" s="27" t="str">
        <f t="shared" si="404"/>
        <v>Yes</v>
      </c>
      <c r="G958" s="27" t="s">
        <v>5</v>
      </c>
      <c r="H958" s="27" t="s">
        <v>43</v>
      </c>
      <c r="J958" s="27" t="s">
        <v>29</v>
      </c>
      <c r="K958" s="27" t="s">
        <v>393</v>
      </c>
      <c r="L958" s="27" t="s">
        <v>12</v>
      </c>
      <c r="M958" s="27" t="s">
        <v>72</v>
      </c>
      <c r="N958" s="27" t="str">
        <f>IF(K958="N/A","No", IF(K958&gt;20,"Yes","No"))</f>
        <v>Yes</v>
      </c>
      <c r="O958" s="27" t="s">
        <v>9</v>
      </c>
      <c r="U958" s="27" t="s">
        <v>104</v>
      </c>
      <c r="V958" s="27" t="s">
        <v>120</v>
      </c>
      <c r="W958" s="27" t="s">
        <v>9</v>
      </c>
      <c r="X958" s="27" t="str">
        <f>IF(V958="N/A","N/A",IF(W958="N/A", "N/A", IF(V958=W958, "Yes","No")))</f>
        <v>N/A</v>
      </c>
    </row>
    <row r="959" spans="1:38" x14ac:dyDescent="0.2">
      <c r="A959" s="27" t="s">
        <v>70</v>
      </c>
      <c r="B959" s="27" t="s">
        <v>77</v>
      </c>
      <c r="C959" s="27">
        <v>2.1</v>
      </c>
      <c r="D959" s="27" t="s">
        <v>4</v>
      </c>
      <c r="F959" s="27" t="str">
        <f t="shared" si="404"/>
        <v>Yes</v>
      </c>
      <c r="G959" s="27" t="s">
        <v>9</v>
      </c>
      <c r="H959" s="27" t="s">
        <v>43</v>
      </c>
      <c r="J959" s="27" t="s">
        <v>34</v>
      </c>
      <c r="K959" s="27">
        <v>32.4</v>
      </c>
      <c r="L959" s="27" t="s">
        <v>12</v>
      </c>
      <c r="M959" s="27" t="s">
        <v>74</v>
      </c>
      <c r="N959" s="27" t="str">
        <f>IF(K959="N/A","No", IF(K959&gt;230,"Yes","No"))</f>
        <v>No</v>
      </c>
      <c r="O959" s="27" t="str">
        <f t="shared" ref="O959" si="408">IF(K959="Not","No",IF(K959="n/a","N/A",IF(K959&gt;$Y$6,"Yes","No")))</f>
        <v>Yes</v>
      </c>
      <c r="U959" s="27" t="s">
        <v>106</v>
      </c>
      <c r="V959" s="27" t="str">
        <f>R954</f>
        <v>No</v>
      </c>
      <c r="W959" s="27" t="str">
        <f>S954</f>
        <v>Yes</v>
      </c>
      <c r="X959" s="27" t="str">
        <f>IF(V959="N/A","N/A",IF(W959="N/A", "N/A", IF(V959=W959, "Yes","No")))</f>
        <v>No</v>
      </c>
    </row>
    <row r="960" spans="1:38" x14ac:dyDescent="0.2">
      <c r="A960" s="27" t="s">
        <v>70</v>
      </c>
      <c r="B960" s="27" t="s">
        <v>40</v>
      </c>
      <c r="C960" s="27">
        <v>5.6</v>
      </c>
      <c r="D960" s="27" t="s">
        <v>4</v>
      </c>
      <c r="F960" s="27" t="str">
        <f t="shared" si="404"/>
        <v>Yes</v>
      </c>
      <c r="G960" s="27" t="s">
        <v>5</v>
      </c>
      <c r="H960" s="27" t="s">
        <v>43</v>
      </c>
      <c r="U960" s="27" t="s">
        <v>121</v>
      </c>
      <c r="V960" s="27" t="str">
        <f>R955</f>
        <v>Yes</v>
      </c>
      <c r="W960" s="27" t="str">
        <f>S955</f>
        <v>Yes</v>
      </c>
      <c r="X960" s="27" t="str">
        <f>IF(V960="N/A","N/A",IF(W960="N/A", "N/A", IF(V960=W960, "Yes","No")))</f>
        <v>Yes</v>
      </c>
    </row>
    <row r="961" spans="1:38" x14ac:dyDescent="0.2">
      <c r="A961" s="27" t="s">
        <v>158</v>
      </c>
      <c r="B961" s="27" t="s">
        <v>40</v>
      </c>
      <c r="C961" s="27">
        <v>3.6</v>
      </c>
      <c r="D961" s="27" t="s">
        <v>4</v>
      </c>
      <c r="F961" s="27" t="str">
        <f t="shared" si="404"/>
        <v>Yes</v>
      </c>
      <c r="G961" s="27" t="s">
        <v>5</v>
      </c>
      <c r="H961" s="27" t="s">
        <v>43</v>
      </c>
    </row>
    <row r="962" spans="1:38" x14ac:dyDescent="0.2">
      <c r="A962" s="27" t="s">
        <v>64</v>
      </c>
      <c r="B962" s="27" t="s">
        <v>10</v>
      </c>
      <c r="C962" s="27">
        <v>4.2</v>
      </c>
      <c r="D962" s="27" t="s">
        <v>4</v>
      </c>
      <c r="F962" s="27" t="str">
        <f t="shared" si="404"/>
        <v>Yes</v>
      </c>
      <c r="G962" s="27" t="s">
        <v>5</v>
      </c>
      <c r="H962" s="27" t="s">
        <v>43</v>
      </c>
    </row>
    <row r="963" spans="1:38" x14ac:dyDescent="0.2">
      <c r="A963" s="27" t="s">
        <v>109</v>
      </c>
      <c r="B963" s="27" t="s">
        <v>32</v>
      </c>
      <c r="C963" s="27">
        <v>3</v>
      </c>
      <c r="D963" s="27" t="s">
        <v>33</v>
      </c>
      <c r="F963" s="27" t="str">
        <f t="shared" ref="F963:F965" si="409">IF(C963&gt;$W$6,"Yes","No")</f>
        <v>No</v>
      </c>
      <c r="G963" s="27" t="s">
        <v>9</v>
      </c>
    </row>
    <row r="964" spans="1:38" x14ac:dyDescent="0.2">
      <c r="A964" s="27" t="s">
        <v>293</v>
      </c>
      <c r="B964" s="27" t="s">
        <v>32</v>
      </c>
      <c r="C964" s="27">
        <v>3</v>
      </c>
      <c r="D964" s="27" t="s">
        <v>33</v>
      </c>
      <c r="F964" s="27" t="str">
        <f t="shared" si="409"/>
        <v>No</v>
      </c>
      <c r="G964" s="27" t="s">
        <v>9</v>
      </c>
    </row>
    <row r="965" spans="1:38" x14ac:dyDescent="0.2">
      <c r="A965" s="27" t="s">
        <v>391</v>
      </c>
      <c r="B965" s="27" t="s">
        <v>32</v>
      </c>
      <c r="C965" s="27">
        <v>4</v>
      </c>
      <c r="D965" s="27" t="s">
        <v>33</v>
      </c>
      <c r="F965" s="27" t="str">
        <f t="shared" si="409"/>
        <v>No</v>
      </c>
      <c r="G965" s="27" t="s">
        <v>9</v>
      </c>
    </row>
    <row r="968" spans="1:38" x14ac:dyDescent="0.2">
      <c r="A968" s="57">
        <v>778</v>
      </c>
      <c r="B968" s="27" t="s">
        <v>319</v>
      </c>
      <c r="C968" s="27">
        <v>63</v>
      </c>
    </row>
    <row r="969" spans="1:38" x14ac:dyDescent="0.2">
      <c r="A969" s="59" t="s">
        <v>0</v>
      </c>
      <c r="E969" s="27" t="s">
        <v>274</v>
      </c>
      <c r="F969" s="27" t="s">
        <v>275</v>
      </c>
      <c r="G969" s="27" t="s">
        <v>119</v>
      </c>
      <c r="J969" s="59" t="s">
        <v>1</v>
      </c>
      <c r="N969" s="27" t="s">
        <v>277</v>
      </c>
      <c r="O969" s="27" t="s">
        <v>278</v>
      </c>
      <c r="Q969" s="59" t="s">
        <v>115</v>
      </c>
      <c r="R969" s="59" t="s">
        <v>0</v>
      </c>
      <c r="S969" s="59" t="s">
        <v>1</v>
      </c>
      <c r="U969" s="59" t="s">
        <v>115</v>
      </c>
      <c r="V969" s="59" t="s">
        <v>0</v>
      </c>
      <c r="W969" s="59" t="s">
        <v>1</v>
      </c>
      <c r="X969" s="59" t="s">
        <v>122</v>
      </c>
      <c r="AA969" s="27" t="str">
        <f>IF(R970="Yes","LRA-Soil","")</f>
        <v/>
      </c>
      <c r="AB969" s="27" t="str">
        <f>IF(R971="Yes","LRA-Paint","")</f>
        <v>LRA-Paint</v>
      </c>
      <c r="AC969" s="27" t="str">
        <f>IF(R972="Yes","LRA-Dust","")</f>
        <v/>
      </c>
      <c r="AD969" s="27" t="str">
        <f>IF(S970="Yes","LSK-Soil","")</f>
        <v/>
      </c>
      <c r="AE969" s="27" t="str">
        <f>IF(S971="Yes","LSK-Paint","")</f>
        <v/>
      </c>
      <c r="AF969" s="27" t="str">
        <f>IF(S972="Yes","LSK-Dust","")</f>
        <v/>
      </c>
      <c r="AI969" s="27" t="s">
        <v>46</v>
      </c>
      <c r="AJ969" s="27" t="s">
        <v>43</v>
      </c>
      <c r="AK969" s="27" t="s">
        <v>116</v>
      </c>
      <c r="AL969" s="27" t="s">
        <v>117</v>
      </c>
    </row>
    <row r="970" spans="1:38" x14ac:dyDescent="0.2">
      <c r="A970" s="27" t="s">
        <v>185</v>
      </c>
      <c r="B970" s="27" t="s">
        <v>217</v>
      </c>
      <c r="C970" s="27">
        <v>3.6</v>
      </c>
      <c r="D970" s="27" t="s">
        <v>4</v>
      </c>
      <c r="E970" s="27" t="s">
        <v>5</v>
      </c>
      <c r="F970" s="27" t="str">
        <f t="shared" ref="F970:F980" si="410">IF(C970&gt;=$W$2,"Yes","No")</f>
        <v>Yes</v>
      </c>
      <c r="G970" s="27" t="s">
        <v>5</v>
      </c>
      <c r="H970" s="27" t="s">
        <v>46</v>
      </c>
      <c r="J970" s="27" t="s">
        <v>6</v>
      </c>
      <c r="K970" s="27">
        <v>62</v>
      </c>
      <c r="L970" s="27" t="s">
        <v>12</v>
      </c>
      <c r="M970" s="27" t="s">
        <v>36</v>
      </c>
      <c r="N970" s="27" t="str">
        <f>IF(K970="N/A","No", IF(K970&gt;1200,"Yes","No"))</f>
        <v>No</v>
      </c>
      <c r="O970" s="27" t="str">
        <f>IF(K970="Not","No",IF(K970="n/a","N/A",IF(K970&gt;=$Y$3,"Yes","No")))</f>
        <v>No</v>
      </c>
      <c r="Q970" s="27" t="s">
        <v>116</v>
      </c>
      <c r="R970" s="27" t="str">
        <f>_xlfn.XLOOKUP("mg/Kg",D970:D981,F970:F981,"N/A")</f>
        <v>No</v>
      </c>
      <c r="S970" s="27" t="str">
        <f>IF(COUNTIF(O970:O972,"Yes"),"Yes","No")</f>
        <v>No</v>
      </c>
      <c r="U970" s="27" t="s">
        <v>92</v>
      </c>
      <c r="V970" s="27" t="s">
        <v>120</v>
      </c>
      <c r="W970" s="27" t="s">
        <v>9</v>
      </c>
      <c r="X970" s="27" t="str">
        <f>IF(V970="N/A","N/A",IF(W970="N/A", "N/A", IF(V970=W970, "Yes","No")))</f>
        <v>N/A</v>
      </c>
      <c r="AI970" s="27">
        <f>COUNTIF(H969:H981,"Exterior")</f>
        <v>4</v>
      </c>
      <c r="AJ970" s="27">
        <f>COUNTIF(H969:H981, "Interior")</f>
        <v>6</v>
      </c>
      <c r="AK970" s="27">
        <f>COUNTIFS(D969:D981,"ppm")+COUNTIFS(D969:D981,"mg/Kg")</f>
        <v>1</v>
      </c>
      <c r="AL970" s="27">
        <f>COUNTIF(D969:D981,"ug/ft2")</f>
        <v>1</v>
      </c>
    </row>
    <row r="971" spans="1:38" x14ac:dyDescent="0.2">
      <c r="A971" s="27" t="s">
        <v>185</v>
      </c>
      <c r="B971" s="27" t="s">
        <v>211</v>
      </c>
      <c r="C971" s="27">
        <v>3.1</v>
      </c>
      <c r="D971" s="27" t="s">
        <v>4</v>
      </c>
      <c r="E971" s="27" t="s">
        <v>5</v>
      </c>
      <c r="F971" s="27" t="str">
        <f t="shared" si="410"/>
        <v>Yes</v>
      </c>
      <c r="G971" s="27" t="s">
        <v>5</v>
      </c>
      <c r="H971" s="27" t="s">
        <v>46</v>
      </c>
      <c r="J971" s="27" t="s">
        <v>11</v>
      </c>
      <c r="K971" s="27">
        <v>15</v>
      </c>
      <c r="L971" s="27" t="s">
        <v>12</v>
      </c>
      <c r="M971" s="27" t="s">
        <v>176</v>
      </c>
      <c r="N971" s="27" t="str">
        <f t="shared" ref="N971:N972" si="411">IF(K971="N/A","No", IF(K971&gt;1200,"Yes","No"))</f>
        <v>No</v>
      </c>
      <c r="O971" s="27" t="str">
        <f t="shared" ref="O971:O972" si="412">IF(K971="Not","No",IF(K971="n/a","N/A",IF(K971&gt;$Y$3,"Yes","No")))</f>
        <v>No</v>
      </c>
      <c r="Q971" s="27" t="s">
        <v>98</v>
      </c>
      <c r="R971" s="63" t="s">
        <v>5</v>
      </c>
      <c r="S971" s="27" t="str">
        <f>IF(COUNTIF(O973:O974,"Yes"),"Yes","No")</f>
        <v>No</v>
      </c>
      <c r="U971" s="27" t="s">
        <v>95</v>
      </c>
      <c r="V971" s="27" t="str">
        <f>R970</f>
        <v>No</v>
      </c>
      <c r="W971" s="27" t="str">
        <f>S970</f>
        <v>No</v>
      </c>
      <c r="X971" s="27" t="str">
        <f t="shared" ref="X971:X974" si="413">IF(V971="N/A","N/A",IF(W971="N/A", "N/A", IF(V971=W971, "Yes","No")))</f>
        <v>Yes</v>
      </c>
    </row>
    <row r="972" spans="1:38" x14ac:dyDescent="0.2">
      <c r="A972" s="27" t="s">
        <v>185</v>
      </c>
      <c r="B972" s="27" t="s">
        <v>211</v>
      </c>
      <c r="C972" s="27">
        <v>3.2</v>
      </c>
      <c r="D972" s="27" t="s">
        <v>4</v>
      </c>
      <c r="E972" s="27" t="s">
        <v>5</v>
      </c>
      <c r="F972" s="27" t="str">
        <f t="shared" si="410"/>
        <v>Yes</v>
      </c>
      <c r="G972" s="27" t="s">
        <v>5</v>
      </c>
      <c r="H972" s="27" t="s">
        <v>46</v>
      </c>
      <c r="J972" s="27" t="s">
        <v>15</v>
      </c>
      <c r="K972" s="27">
        <v>7</v>
      </c>
      <c r="L972" s="27" t="s">
        <v>12</v>
      </c>
      <c r="M972" s="27" t="s">
        <v>41</v>
      </c>
      <c r="N972" s="27" t="str">
        <f t="shared" si="411"/>
        <v>No</v>
      </c>
      <c r="O972" s="27" t="str">
        <f t="shared" si="412"/>
        <v>No</v>
      </c>
      <c r="Q972" s="27" t="s">
        <v>117</v>
      </c>
      <c r="R972" s="27" t="str">
        <f>_xlfn.XLOOKUP("ug/ft2",D970:D981,F970:F981,"N/A")</f>
        <v>No</v>
      </c>
      <c r="S972" s="27" t="str">
        <f>IF(COUNTIF(O975:O978,"Yes"),"Yes","No")</f>
        <v>No</v>
      </c>
      <c r="U972" s="27" t="s">
        <v>163</v>
      </c>
      <c r="V972" s="27" t="s">
        <v>9</v>
      </c>
      <c r="W972" s="27" t="str">
        <f>O974</f>
        <v>No</v>
      </c>
      <c r="X972" s="27" t="str">
        <f t="shared" si="413"/>
        <v>Yes</v>
      </c>
    </row>
    <row r="973" spans="1:38" x14ac:dyDescent="0.2">
      <c r="A973" s="27" t="s">
        <v>185</v>
      </c>
      <c r="B973" s="27" t="s">
        <v>211</v>
      </c>
      <c r="C973" s="27">
        <v>2.2000000000000002</v>
      </c>
      <c r="D973" s="27" t="s">
        <v>4</v>
      </c>
      <c r="E973" s="27" t="s">
        <v>5</v>
      </c>
      <c r="F973" s="27" t="str">
        <f t="shared" si="410"/>
        <v>Yes</v>
      </c>
      <c r="G973" s="27" t="s">
        <v>5</v>
      </c>
      <c r="H973" s="27" t="s">
        <v>46</v>
      </c>
      <c r="J973" s="27" t="s">
        <v>19</v>
      </c>
      <c r="K973" s="27">
        <v>2699</v>
      </c>
      <c r="L973" s="27" t="s">
        <v>12</v>
      </c>
      <c r="M973" s="27" t="s">
        <v>395</v>
      </c>
      <c r="N973" s="27" t="str">
        <f>IF(K973="N/A","No", IF(K973&gt;5000,"Yes","No"))</f>
        <v>No</v>
      </c>
      <c r="O973" s="27" t="str">
        <f>IF(K973="Not","No",IF(K973="n/a","N/A",IF(K973&gt;$Y$2,"Yes","No")))</f>
        <v>No</v>
      </c>
      <c r="Q973" s="27" t="s">
        <v>118</v>
      </c>
      <c r="R973" s="27" t="str">
        <f>IF(COUNTIF(R970:R972,"Yes"),"Yes","No")</f>
        <v>Yes</v>
      </c>
      <c r="S973" s="27" t="str">
        <f>IF(COUNTIF(S970:S972,"Yes"),"Yes","No")</f>
        <v>No</v>
      </c>
      <c r="U973" s="27" t="s">
        <v>164</v>
      </c>
      <c r="V973" s="27" t="s">
        <v>5</v>
      </c>
      <c r="W973" s="27" t="str">
        <f>O973</f>
        <v>No</v>
      </c>
      <c r="X973" s="27" t="str">
        <f t="shared" si="413"/>
        <v>No</v>
      </c>
    </row>
    <row r="974" spans="1:38" x14ac:dyDescent="0.2">
      <c r="A974" s="27" t="s">
        <v>187</v>
      </c>
      <c r="B974" s="27" t="s">
        <v>294</v>
      </c>
      <c r="C974" s="27">
        <v>55</v>
      </c>
      <c r="D974" s="27" t="s">
        <v>37</v>
      </c>
      <c r="E974" s="27" t="s">
        <v>9</v>
      </c>
      <c r="F974" s="27" t="str">
        <f>IF(C974&gt;=$W$3,"Yes","No")</f>
        <v>No</v>
      </c>
      <c r="G974" s="27" t="s">
        <v>9</v>
      </c>
      <c r="J974" s="27" t="s">
        <v>22</v>
      </c>
      <c r="K974" s="27">
        <v>0</v>
      </c>
      <c r="L974" s="27" t="s">
        <v>12</v>
      </c>
      <c r="M974" s="27" t="s">
        <v>396</v>
      </c>
      <c r="N974" s="27" t="str">
        <f>IF(K974="N/A","No", IF(K974&gt;5000,"Yes","No"))</f>
        <v>No</v>
      </c>
      <c r="O974" s="27" t="str">
        <f>IF(K974="Not","No",IF(K974="n/a","N/A",IF(K974&gt;$Y$2,"Yes","No")))</f>
        <v>No</v>
      </c>
      <c r="U974" s="27" t="s">
        <v>162</v>
      </c>
      <c r="V974" s="27" t="str">
        <f>R971</f>
        <v>Yes</v>
      </c>
      <c r="W974" s="27" t="str">
        <f>S971</f>
        <v>No</v>
      </c>
      <c r="X974" s="27" t="str">
        <f t="shared" si="413"/>
        <v>No</v>
      </c>
    </row>
    <row r="975" spans="1:38" x14ac:dyDescent="0.2">
      <c r="A975" s="27" t="s">
        <v>289</v>
      </c>
      <c r="B975" s="27" t="s">
        <v>221</v>
      </c>
      <c r="C975" s="27">
        <v>0.12</v>
      </c>
      <c r="D975" s="27" t="s">
        <v>4</v>
      </c>
      <c r="E975" s="27" t="s">
        <v>9</v>
      </c>
      <c r="F975" s="27" t="str">
        <f t="shared" si="410"/>
        <v>No</v>
      </c>
      <c r="G975" s="27" t="s">
        <v>9</v>
      </c>
      <c r="H975" s="27" t="s">
        <v>43</v>
      </c>
      <c r="J975" s="27" t="s">
        <v>25</v>
      </c>
      <c r="K975" s="27">
        <v>0</v>
      </c>
      <c r="L975" s="27" t="s">
        <v>12</v>
      </c>
      <c r="M975" s="27" t="s">
        <v>48</v>
      </c>
      <c r="N975" s="27" t="str">
        <f>IF(K975="N/A","No", IF(K975&gt;20,"Yes","No"))</f>
        <v>No</v>
      </c>
      <c r="O975" s="27" t="str">
        <f t="shared" ref="O975:O976" si="414">IF(K975="Not","No",IF(K975="n/a","N/A",IF(K975&gt;$Y$6,"Yes","No")))</f>
        <v>No</v>
      </c>
      <c r="U975" s="27" t="s">
        <v>101</v>
      </c>
      <c r="V975" s="27" t="s">
        <v>5</v>
      </c>
      <c r="W975" s="27" t="s">
        <v>120</v>
      </c>
      <c r="X975" s="27" t="str">
        <f>IF(V975="N/A","N/A",IF(W975="N/A", "N/A", IF(V975=W975, "Yes","No")))</f>
        <v>N/A</v>
      </c>
    </row>
    <row r="976" spans="1:38" x14ac:dyDescent="0.2">
      <c r="A976" s="27" t="s">
        <v>289</v>
      </c>
      <c r="B976" s="27" t="s">
        <v>189</v>
      </c>
      <c r="C976" s="27">
        <v>0.12</v>
      </c>
      <c r="D976" s="27" t="s">
        <v>4</v>
      </c>
      <c r="E976" s="27" t="s">
        <v>9</v>
      </c>
      <c r="F976" s="27" t="str">
        <f t="shared" si="410"/>
        <v>No</v>
      </c>
      <c r="G976" s="27" t="s">
        <v>9</v>
      </c>
      <c r="H976" s="27" t="s">
        <v>43</v>
      </c>
      <c r="J976" s="27" t="s">
        <v>29</v>
      </c>
      <c r="K976" s="27">
        <v>0</v>
      </c>
      <c r="L976" s="27" t="s">
        <v>12</v>
      </c>
      <c r="M976" s="27" t="s">
        <v>72</v>
      </c>
      <c r="N976" s="27" t="str">
        <f>IF(K976="N/A","No", IF(K976&gt;20,"Yes","No"))</f>
        <v>No</v>
      </c>
      <c r="O976" s="27" t="str">
        <f t="shared" si="414"/>
        <v>No</v>
      </c>
      <c r="U976" s="27" t="s">
        <v>104</v>
      </c>
      <c r="V976" s="27" t="s">
        <v>120</v>
      </c>
      <c r="W976" s="27" t="s">
        <v>9</v>
      </c>
      <c r="X976" s="27" t="str">
        <f>IF(V976="N/A","N/A",IF(W976="N/A", "N/A", IF(V976=W976, "Yes","No")))</f>
        <v>N/A</v>
      </c>
    </row>
    <row r="977" spans="1:38" x14ac:dyDescent="0.2">
      <c r="A977" s="27" t="s">
        <v>190</v>
      </c>
      <c r="B977" s="27" t="s">
        <v>238</v>
      </c>
      <c r="C977" s="27">
        <v>0</v>
      </c>
      <c r="D977" s="27" t="s">
        <v>4</v>
      </c>
      <c r="E977" s="27" t="s">
        <v>9</v>
      </c>
      <c r="F977" s="27" t="str">
        <f t="shared" si="410"/>
        <v>No</v>
      </c>
      <c r="G977" s="27" t="s">
        <v>9</v>
      </c>
      <c r="H977" s="27" t="s">
        <v>43</v>
      </c>
      <c r="J977" s="27" t="s">
        <v>34</v>
      </c>
      <c r="K977" s="27" t="s">
        <v>120</v>
      </c>
      <c r="L977" s="27" t="s">
        <v>12</v>
      </c>
      <c r="M977" s="27" t="s">
        <v>66</v>
      </c>
      <c r="N977" s="27" t="str">
        <f>IF(K977="N/A","No", IF(K977&gt;230,"Yes","No"))</f>
        <v>No</v>
      </c>
      <c r="O977" s="27" t="str">
        <f>IF(K977="Not","No",IF(K977="n/a","N/A",IF(K977&gt;$Y$5,"Yes","No")))</f>
        <v>N/A</v>
      </c>
      <c r="U977" s="27" t="s">
        <v>106</v>
      </c>
      <c r="V977" s="27" t="str">
        <f>R972</f>
        <v>No</v>
      </c>
      <c r="W977" s="27" t="str">
        <f>S972</f>
        <v>No</v>
      </c>
      <c r="X977" s="27" t="str">
        <f>IF(V977="N/A","N/A",IF(W977="N/A", "N/A", IF(V977=W977, "Yes","No")))</f>
        <v>Yes</v>
      </c>
    </row>
    <row r="978" spans="1:38" x14ac:dyDescent="0.2">
      <c r="A978" s="27" t="s">
        <v>249</v>
      </c>
      <c r="B978" s="27" t="s">
        <v>211</v>
      </c>
      <c r="C978" s="27">
        <v>0.21</v>
      </c>
      <c r="D978" s="27" t="s">
        <v>4</v>
      </c>
      <c r="E978" s="27" t="s">
        <v>9</v>
      </c>
      <c r="F978" s="27" t="str">
        <f t="shared" si="410"/>
        <v>No</v>
      </c>
      <c r="G978" s="27" t="s">
        <v>9</v>
      </c>
      <c r="H978" s="27" t="s">
        <v>43</v>
      </c>
      <c r="J978" s="27" t="s">
        <v>208</v>
      </c>
      <c r="K978" s="27" t="s">
        <v>120</v>
      </c>
      <c r="L978" s="27" t="s">
        <v>12</v>
      </c>
      <c r="M978" s="27" t="s">
        <v>66</v>
      </c>
      <c r="N978" s="27" t="str">
        <f>IF(K978="N/A","No", IF(K978&gt;20,"Yes","No"))</f>
        <v>No</v>
      </c>
      <c r="O978" s="27" t="str">
        <f>IF(K978="Not","No",IF(K978="n/a","N/A",IF(K978&gt;$Y$7,"Yes","No")))</f>
        <v>N/A</v>
      </c>
      <c r="U978" s="27" t="s">
        <v>121</v>
      </c>
      <c r="V978" s="27" t="str">
        <f>R973</f>
        <v>Yes</v>
      </c>
      <c r="W978" s="27" t="str">
        <f>S973</f>
        <v>No</v>
      </c>
      <c r="X978" s="27" t="str">
        <f>IF(V978="N/A","N/A",IF(W978="N/A", "N/A", IF(V978=W978, "Yes","No")))</f>
        <v>No</v>
      </c>
    </row>
    <row r="979" spans="1:38" x14ac:dyDescent="0.2">
      <c r="A979" s="27" t="s">
        <v>191</v>
      </c>
      <c r="B979" s="27" t="s">
        <v>238</v>
      </c>
      <c r="C979" s="27">
        <v>0.42</v>
      </c>
      <c r="D979" s="27" t="s">
        <v>4</v>
      </c>
      <c r="E979" s="27" t="s">
        <v>9</v>
      </c>
      <c r="F979" s="27" t="str">
        <f t="shared" si="410"/>
        <v>No</v>
      </c>
      <c r="G979" s="27" t="s">
        <v>9</v>
      </c>
      <c r="H979" s="27" t="s">
        <v>43</v>
      </c>
    </row>
    <row r="980" spans="1:38" x14ac:dyDescent="0.2">
      <c r="A980" s="27" t="s">
        <v>237</v>
      </c>
      <c r="B980" s="27" t="s">
        <v>189</v>
      </c>
      <c r="C980" s="27">
        <v>0.6</v>
      </c>
      <c r="D980" s="27" t="s">
        <v>4</v>
      </c>
      <c r="E980" s="27" t="s">
        <v>9</v>
      </c>
      <c r="F980" s="27" t="str">
        <f t="shared" si="410"/>
        <v>No</v>
      </c>
      <c r="G980" s="27" t="s">
        <v>9</v>
      </c>
      <c r="H980" s="27" t="s">
        <v>43</v>
      </c>
    </row>
    <row r="981" spans="1:38" x14ac:dyDescent="0.2">
      <c r="A981" s="27" t="s">
        <v>191</v>
      </c>
      <c r="B981" s="27" t="s">
        <v>214</v>
      </c>
      <c r="C981" s="27">
        <v>4</v>
      </c>
      <c r="D981" s="27" t="s">
        <v>33</v>
      </c>
      <c r="E981" s="27" t="s">
        <v>9</v>
      </c>
      <c r="F981" s="27" t="str">
        <f t="shared" ref="F981" si="415">IF(C981&gt;$W$6,"Yes","No")</f>
        <v>No</v>
      </c>
      <c r="G981" s="27" t="s">
        <v>9</v>
      </c>
    </row>
    <row r="984" spans="1:38" x14ac:dyDescent="0.2">
      <c r="A984" s="27">
        <v>1288</v>
      </c>
      <c r="B984" s="27" t="s">
        <v>111</v>
      </c>
      <c r="C984" s="27">
        <v>64</v>
      </c>
    </row>
    <row r="985" spans="1:38" x14ac:dyDescent="0.2">
      <c r="A985" s="59" t="s">
        <v>0</v>
      </c>
      <c r="E985" s="27" t="s">
        <v>274</v>
      </c>
      <c r="F985" s="27" t="s">
        <v>275</v>
      </c>
      <c r="G985" s="27" t="s">
        <v>119</v>
      </c>
      <c r="J985" s="59" t="s">
        <v>1</v>
      </c>
      <c r="N985" s="27" t="s">
        <v>277</v>
      </c>
      <c r="O985" s="27" t="s">
        <v>278</v>
      </c>
      <c r="Q985" s="59" t="s">
        <v>115</v>
      </c>
      <c r="R985" s="59" t="s">
        <v>0</v>
      </c>
      <c r="S985" s="59" t="s">
        <v>1</v>
      </c>
      <c r="U985" s="59" t="s">
        <v>115</v>
      </c>
      <c r="V985" s="59" t="s">
        <v>0</v>
      </c>
      <c r="W985" s="59" t="s">
        <v>1</v>
      </c>
      <c r="X985" s="59" t="s">
        <v>122</v>
      </c>
      <c r="AA985" s="27" t="str">
        <f>IF(R986="Yes","LRA-Soil","")</f>
        <v/>
      </c>
      <c r="AB985" s="27" t="str">
        <f>IF(R987="Yes","LRA-Paint","")</f>
        <v/>
      </c>
      <c r="AC985" s="27" t="str">
        <f>IF(R988="Yes","LRA-Dust","")</f>
        <v/>
      </c>
      <c r="AD985" s="27" t="str">
        <f>IF(S986="Yes","LSK-Soil","")</f>
        <v/>
      </c>
      <c r="AE985" s="27" t="str">
        <f>IF(S987="Yes","LSK-Paint","")</f>
        <v/>
      </c>
      <c r="AF985" s="27" t="str">
        <f>IF(S988="Yes","LSK-Dust","")</f>
        <v/>
      </c>
      <c r="AI985" s="27" t="s">
        <v>46</v>
      </c>
      <c r="AJ985" s="27" t="s">
        <v>43</v>
      </c>
      <c r="AK985" s="27" t="s">
        <v>116</v>
      </c>
      <c r="AL985" s="27" t="s">
        <v>117</v>
      </c>
    </row>
    <row r="986" spans="1:38" x14ac:dyDescent="0.2">
      <c r="A986" s="27" t="s">
        <v>63</v>
      </c>
      <c r="B986" s="27" t="s">
        <v>18</v>
      </c>
      <c r="C986" s="27">
        <v>0</v>
      </c>
      <c r="D986" s="27" t="s">
        <v>4</v>
      </c>
      <c r="F986" s="27" t="str">
        <f t="shared" ref="F986" si="416">IF(C986&gt;=$W$2,"Yes","No")</f>
        <v>No</v>
      </c>
      <c r="G986" s="27" t="s">
        <v>9</v>
      </c>
      <c r="H986" s="27" t="s">
        <v>46</v>
      </c>
      <c r="J986" s="27" t="s">
        <v>6</v>
      </c>
      <c r="K986" s="27">
        <v>13.5</v>
      </c>
      <c r="L986" s="27" t="s">
        <v>12</v>
      </c>
      <c r="M986" s="27" t="s">
        <v>114</v>
      </c>
      <c r="N986" s="27" t="str">
        <f>IF(K986="N/A","No", IF(K986&gt;1200,"Yes","No"))</f>
        <v>No</v>
      </c>
      <c r="O986" s="27" t="str">
        <f>IF(K986="Not","No",IF(K986="n/a","N/A",IF(K986&gt;=$Y$3,"Yes","No")))</f>
        <v>No</v>
      </c>
      <c r="Q986" s="27" t="s">
        <v>116</v>
      </c>
      <c r="R986" s="27" t="str">
        <f>_xlfn.XLOOKUP("ppm",D986:D991,F986:F991,"N/A")</f>
        <v>No</v>
      </c>
      <c r="S986" s="27" t="str">
        <f>IF(COUNTIF(O986:O988,"Yes"),"Yes","No")</f>
        <v>No</v>
      </c>
      <c r="U986" s="27" t="s">
        <v>92</v>
      </c>
      <c r="V986" s="27" t="s">
        <v>120</v>
      </c>
      <c r="W986" s="27" t="s">
        <v>120</v>
      </c>
      <c r="X986" s="27" t="str">
        <f>IF(V986="N/A","N/A",IF(W986="N/A", "N/A", IF(V986=W986, "Yes","No")))</f>
        <v>N/A</v>
      </c>
      <c r="AI986" s="27">
        <f>COUNTIF(H986:H991,"Exterior")</f>
        <v>1</v>
      </c>
      <c r="AJ986" s="27">
        <f>COUNTIF(H986:H991, "Interior")</f>
        <v>1</v>
      </c>
      <c r="AK986" s="27">
        <f>COUNTIFS(D986:D991,"ppm")+COUNTIFS(D986:D991,"mg/Kg")</f>
        <v>1</v>
      </c>
      <c r="AL986" s="27">
        <f>COUNTIF(D986:D991,"ug/ft2")</f>
        <v>2</v>
      </c>
    </row>
    <row r="987" spans="1:38" x14ac:dyDescent="0.2">
      <c r="A987" s="27" t="s">
        <v>161</v>
      </c>
      <c r="B987" s="27" t="s">
        <v>28</v>
      </c>
      <c r="C987" s="27" t="s">
        <v>397</v>
      </c>
      <c r="D987" s="27" t="s">
        <v>12</v>
      </c>
      <c r="F987" s="63" t="s">
        <v>9</v>
      </c>
      <c r="G987" s="27" t="s">
        <v>9</v>
      </c>
      <c r="J987" s="27" t="s">
        <v>11</v>
      </c>
      <c r="K987" s="27">
        <v>11.6</v>
      </c>
      <c r="L987" s="27" t="s">
        <v>12</v>
      </c>
      <c r="M987" s="27" t="s">
        <v>67</v>
      </c>
      <c r="N987" s="27" t="str">
        <f t="shared" ref="N987:N988" si="417">IF(K987="N/A","No", IF(K987&gt;1200,"Yes","No"))</f>
        <v>No</v>
      </c>
      <c r="O987" s="27" t="str">
        <f t="shared" ref="O987:O988" si="418">IF(K987="Not","No",IF(K987="n/a","N/A",IF(K987&gt;$Y$3,"Yes","No")))</f>
        <v>No</v>
      </c>
      <c r="Q987" s="27" t="s">
        <v>98</v>
      </c>
      <c r="R987" s="27" t="str">
        <f>_xlfn.XLOOKUP("mg/cm2",D986:D991,G986:G991,"N/A",1,-1)</f>
        <v>No</v>
      </c>
      <c r="S987" s="27" t="str">
        <f>IF(COUNTIF(O989:O990,"Yes"),"Yes","No")</f>
        <v>No</v>
      </c>
      <c r="U987" s="27" t="s">
        <v>95</v>
      </c>
      <c r="V987" s="27" t="str">
        <f>R986</f>
        <v>No</v>
      </c>
      <c r="W987" s="27" t="str">
        <f>S986</f>
        <v>No</v>
      </c>
      <c r="X987" s="27" t="str">
        <f t="shared" ref="X987:X990" si="419">IF(V987="N/A","N/A",IF(W987="N/A", "N/A", IF(V987=W987, "Yes","No")))</f>
        <v>Yes</v>
      </c>
    </row>
    <row r="988" spans="1:38" x14ac:dyDescent="0.2">
      <c r="A988" s="27" t="s">
        <v>109</v>
      </c>
      <c r="B988" s="27" t="s">
        <v>40</v>
      </c>
      <c r="C988" s="27">
        <v>0</v>
      </c>
      <c r="D988" s="27" t="s">
        <v>4</v>
      </c>
      <c r="F988" s="27" t="str">
        <f>IF(C988&gt;$W$2,"Yes","No")</f>
        <v>No</v>
      </c>
      <c r="G988" s="27" t="s">
        <v>9</v>
      </c>
      <c r="H988" s="27" t="s">
        <v>43</v>
      </c>
      <c r="J988" s="27" t="s">
        <v>15</v>
      </c>
      <c r="K988" s="27">
        <v>12.6</v>
      </c>
      <c r="L988" s="27" t="s">
        <v>12</v>
      </c>
      <c r="M988" s="27" t="s">
        <v>112</v>
      </c>
      <c r="N988" s="27" t="str">
        <f t="shared" si="417"/>
        <v>No</v>
      </c>
      <c r="O988" s="27" t="str">
        <f t="shared" si="418"/>
        <v>No</v>
      </c>
      <c r="Q988" s="27" t="s">
        <v>117</v>
      </c>
      <c r="R988" s="27" t="str">
        <f>_xlfn.XLOOKUP("ug/ft2",D986:D991,F986:F991,"N/A")</f>
        <v>No</v>
      </c>
      <c r="S988" s="27" t="str">
        <f>IF(COUNTIF(O991:O994,"Yes"),"Yes","No")</f>
        <v>No</v>
      </c>
      <c r="U988" s="27" t="s">
        <v>163</v>
      </c>
      <c r="V988" s="27" t="s">
        <v>9</v>
      </c>
      <c r="W988" s="27" t="str">
        <f>O990</f>
        <v>No</v>
      </c>
      <c r="X988" s="27" t="str">
        <f t="shared" si="419"/>
        <v>Yes</v>
      </c>
    </row>
    <row r="989" spans="1:38" x14ac:dyDescent="0.2">
      <c r="A989" s="27" t="s">
        <v>109</v>
      </c>
      <c r="B989" s="27" t="s">
        <v>32</v>
      </c>
      <c r="C989" s="27">
        <v>3</v>
      </c>
      <c r="D989" s="27" t="s">
        <v>33</v>
      </c>
      <c r="F989" s="27" t="str">
        <f t="shared" ref="F989" si="420">IF(C989&gt;$W$6,"Yes","No")</f>
        <v>No</v>
      </c>
      <c r="G989" s="27" t="s">
        <v>9</v>
      </c>
      <c r="J989" s="27" t="s">
        <v>19</v>
      </c>
      <c r="K989" s="27">
        <v>2.5</v>
      </c>
      <c r="L989" s="27" t="s">
        <v>12</v>
      </c>
      <c r="M989" s="27" t="s">
        <v>46</v>
      </c>
      <c r="N989" s="27" t="str">
        <f>IF(K989="N/A","No", IF(K989&gt;5000,"Yes","No"))</f>
        <v>No</v>
      </c>
      <c r="O989" s="27" t="str">
        <f>IF(K989="Not","No",IF(K989="n/a","N/A",IF(K989&gt;$Y$2,"Yes","No")))</f>
        <v>No</v>
      </c>
      <c r="Q989" s="27" t="s">
        <v>118</v>
      </c>
      <c r="R989" s="27" t="str">
        <f>IF(COUNTIF(R986:R988,"Yes"),"Yes","No")</f>
        <v>No</v>
      </c>
      <c r="S989" s="27" t="str">
        <f>IF(COUNTIF(S986:S988,"Yes"),"Yes","No")</f>
        <v>No</v>
      </c>
      <c r="U989" s="27" t="s">
        <v>164</v>
      </c>
      <c r="V989" s="27" t="s">
        <v>9</v>
      </c>
      <c r="W989" s="27" t="str">
        <f>O989</f>
        <v>No</v>
      </c>
      <c r="X989" s="27" t="str">
        <f t="shared" si="419"/>
        <v>Yes</v>
      </c>
    </row>
    <row r="990" spans="1:38" x14ac:dyDescent="0.2">
      <c r="A990" s="27" t="s">
        <v>109</v>
      </c>
      <c r="B990" s="27" t="s">
        <v>54</v>
      </c>
      <c r="C990" s="27">
        <v>48</v>
      </c>
      <c r="D990" s="27" t="s">
        <v>33</v>
      </c>
      <c r="F990" s="27" t="str">
        <f>IF(C990&gt;$W$5,"Yes","No")</f>
        <v>No</v>
      </c>
      <c r="G990" s="27" t="s">
        <v>9</v>
      </c>
      <c r="J990" s="27" t="s">
        <v>22</v>
      </c>
      <c r="K990" s="27">
        <v>2.5</v>
      </c>
      <c r="L990" s="27" t="s">
        <v>12</v>
      </c>
      <c r="M990" s="27" t="s">
        <v>43</v>
      </c>
      <c r="N990" s="27" t="str">
        <f>IF(K990="N/A","No", IF(K990&gt;5000,"Yes","No"))</f>
        <v>No</v>
      </c>
      <c r="O990" s="27" t="str">
        <f>IF(K990="Not","No",IF(K990="n/a","N/A",IF(K990&gt;$Y$2,"Yes","No")))</f>
        <v>No</v>
      </c>
      <c r="U990" s="27" t="s">
        <v>162</v>
      </c>
      <c r="V990" s="27" t="str">
        <f>R987</f>
        <v>No</v>
      </c>
      <c r="W990" s="27" t="str">
        <f>S987</f>
        <v>No</v>
      </c>
      <c r="X990" s="27" t="str">
        <f t="shared" si="419"/>
        <v>Yes</v>
      </c>
    </row>
    <row r="991" spans="1:38" x14ac:dyDescent="0.2">
      <c r="A991" s="27" t="s">
        <v>73</v>
      </c>
      <c r="B991" s="27" t="s">
        <v>56</v>
      </c>
      <c r="C991" s="27">
        <v>0.2</v>
      </c>
      <c r="D991" s="27" t="s">
        <v>4</v>
      </c>
      <c r="F991" s="27" t="str">
        <f t="shared" ref="F991" si="421">IF(C991&gt;=$W$2,"Yes","No")</f>
        <v>No</v>
      </c>
      <c r="G991" s="27" t="s">
        <v>9</v>
      </c>
      <c r="J991" s="27" t="s">
        <v>25</v>
      </c>
      <c r="K991" s="27">
        <v>2.5</v>
      </c>
      <c r="L991" s="27" t="s">
        <v>12</v>
      </c>
      <c r="M991" s="27" t="s">
        <v>126</v>
      </c>
      <c r="N991" s="27" t="str">
        <f>IF(K991="N/A","No", IF(K991&gt;20,"Yes","No"))</f>
        <v>No</v>
      </c>
      <c r="O991" s="27" t="str">
        <f t="shared" ref="O991:O992" si="422">IF(K991="Not","No",IF(K991="n/a","N/A",IF(K991&gt;$Y$6,"Yes","No")))</f>
        <v>No</v>
      </c>
      <c r="U991" s="27" t="s">
        <v>101</v>
      </c>
      <c r="V991" s="27" t="s">
        <v>9</v>
      </c>
      <c r="W991" s="27" t="s">
        <v>9</v>
      </c>
      <c r="X991" s="27" t="str">
        <f>IF(V991="N/A","N/A",IF(W991="N/A", "N/A", IF(V991=W991, "Yes","No")))</f>
        <v>Yes</v>
      </c>
    </row>
    <row r="992" spans="1:38" x14ac:dyDescent="0.2">
      <c r="J992" s="27" t="s">
        <v>29</v>
      </c>
      <c r="K992" s="27">
        <v>2.5</v>
      </c>
      <c r="L992" s="27" t="s">
        <v>12</v>
      </c>
      <c r="M992" s="27" t="s">
        <v>222</v>
      </c>
      <c r="N992" s="27" t="str">
        <f>IF(K992="N/A","No", IF(K992&gt;20,"Yes","No"))</f>
        <v>No</v>
      </c>
      <c r="O992" s="27" t="str">
        <f t="shared" si="422"/>
        <v>No</v>
      </c>
      <c r="U992" s="27" t="s">
        <v>104</v>
      </c>
      <c r="V992" s="27" t="s">
        <v>9</v>
      </c>
      <c r="W992" s="27" t="str">
        <f>O993</f>
        <v>No</v>
      </c>
      <c r="X992" s="27" t="str">
        <f>IF(V992="N/A","N/A",IF(W992="N/A", "N/A", IF(V992=W992, "Yes","No")))</f>
        <v>Yes</v>
      </c>
    </row>
    <row r="993" spans="1:38" x14ac:dyDescent="0.2">
      <c r="J993" s="27" t="s">
        <v>34</v>
      </c>
      <c r="K993" s="27">
        <v>2.5</v>
      </c>
      <c r="L993" s="27" t="s">
        <v>12</v>
      </c>
      <c r="M993" s="27" t="s">
        <v>210</v>
      </c>
      <c r="N993" s="27" t="str">
        <f>IF(K993="N/A","No", IF(K993&gt;230,"Yes","No"))</f>
        <v>No</v>
      </c>
      <c r="O993" s="27" t="str">
        <f>IF(K993="Not","No",IF(K993="n/a","N/A",IF(K993&gt;$Y$5,"Yes","No")))</f>
        <v>No</v>
      </c>
      <c r="U993" s="27" t="s">
        <v>106</v>
      </c>
      <c r="V993" s="27" t="str">
        <f>R988</f>
        <v>No</v>
      </c>
      <c r="W993" s="27" t="str">
        <f>S988</f>
        <v>No</v>
      </c>
      <c r="X993" s="27" t="str">
        <f>IF(V993="N/A","N/A",IF(W993="N/A", "N/A", IF(V993=W993, "Yes","No")))</f>
        <v>Yes</v>
      </c>
    </row>
    <row r="994" spans="1:38" x14ac:dyDescent="0.2">
      <c r="J994" s="27" t="s">
        <v>208</v>
      </c>
      <c r="K994" s="27">
        <v>2.5</v>
      </c>
      <c r="L994" s="27" t="s">
        <v>12</v>
      </c>
      <c r="M994" s="27" t="s">
        <v>223</v>
      </c>
      <c r="N994" s="27" t="str">
        <f>IF(K994="N/A","No", IF(K994&gt;20,"Yes","No"))</f>
        <v>No</v>
      </c>
      <c r="O994" s="27" t="str">
        <f>IF(K994="Not","No",IF(K994="n/a","N/A",IF(K994&gt;$Y$7,"Yes","No")))</f>
        <v>No</v>
      </c>
      <c r="U994" s="27" t="s">
        <v>121</v>
      </c>
      <c r="V994" s="27" t="str">
        <f>R989</f>
        <v>No</v>
      </c>
      <c r="W994" s="27" t="str">
        <f>S989</f>
        <v>No</v>
      </c>
      <c r="X994" s="27" t="str">
        <f>IF(V994="N/A","N/A",IF(W994="N/A", "N/A", IF(V994=W994, "Yes","No")))</f>
        <v>Yes</v>
      </c>
    </row>
    <row r="996" spans="1:38" x14ac:dyDescent="0.2">
      <c r="A996" s="57">
        <v>1289</v>
      </c>
      <c r="B996" s="27" t="s">
        <v>111</v>
      </c>
      <c r="C996" s="27">
        <v>65</v>
      </c>
    </row>
    <row r="997" spans="1:38" x14ac:dyDescent="0.2">
      <c r="A997" s="59" t="s">
        <v>0</v>
      </c>
      <c r="E997" s="27" t="s">
        <v>274</v>
      </c>
      <c r="F997" s="27" t="s">
        <v>275</v>
      </c>
      <c r="G997" s="27" t="s">
        <v>119</v>
      </c>
      <c r="J997" s="59" t="s">
        <v>1</v>
      </c>
      <c r="N997" s="27" t="s">
        <v>277</v>
      </c>
      <c r="O997" s="27" t="s">
        <v>278</v>
      </c>
      <c r="Q997" s="59" t="s">
        <v>115</v>
      </c>
      <c r="R997" s="59" t="s">
        <v>0</v>
      </c>
      <c r="S997" s="59" t="s">
        <v>1</v>
      </c>
      <c r="U997" s="59" t="s">
        <v>115</v>
      </c>
      <c r="V997" s="59" t="s">
        <v>0</v>
      </c>
      <c r="W997" s="59" t="s">
        <v>1</v>
      </c>
      <c r="X997" s="59" t="s">
        <v>122</v>
      </c>
      <c r="AA997" s="27" t="str">
        <f>IF(R998="Yes","LRA-Soil","")</f>
        <v/>
      </c>
      <c r="AB997" s="27" t="str">
        <f>IF(R999="Yes","LRA-Paint","")</f>
        <v>LRA-Paint</v>
      </c>
      <c r="AC997" s="27" t="str">
        <f>IF(R1000="Yes","LRA-Dust","")</f>
        <v/>
      </c>
      <c r="AD997" s="27" t="str">
        <f>IF(S998="Yes","LSK-Soil","")</f>
        <v/>
      </c>
      <c r="AE997" s="27" t="str">
        <f>IF(S999="Yes","LSK-Paint","")</f>
        <v/>
      </c>
      <c r="AF997" s="27" t="str">
        <f>IF(S1000="Yes","LSK-Dust","")</f>
        <v/>
      </c>
      <c r="AI997" s="27" t="s">
        <v>46</v>
      </c>
      <c r="AJ997" s="27" t="s">
        <v>43</v>
      </c>
      <c r="AK997" s="27" t="s">
        <v>116</v>
      </c>
      <c r="AL997" s="27" t="s">
        <v>117</v>
      </c>
    </row>
    <row r="998" spans="1:38" x14ac:dyDescent="0.2">
      <c r="A998" s="27" t="s">
        <v>63</v>
      </c>
      <c r="B998" s="27" t="s">
        <v>64</v>
      </c>
      <c r="C998" s="27">
        <v>2.2000000000000002</v>
      </c>
      <c r="D998" s="27" t="s">
        <v>4</v>
      </c>
      <c r="F998" s="27" t="str">
        <f t="shared" ref="F998:F1001" si="423">IF(C998&gt;=$W$2,"Yes","No")</f>
        <v>Yes</v>
      </c>
      <c r="G998" s="27" t="s">
        <v>5</v>
      </c>
      <c r="H998" s="27" t="s">
        <v>46</v>
      </c>
      <c r="J998" s="27" t="s">
        <v>6</v>
      </c>
      <c r="K998" s="27">
        <v>34</v>
      </c>
      <c r="L998" s="27" t="s">
        <v>12</v>
      </c>
      <c r="M998" s="27" t="s">
        <v>114</v>
      </c>
      <c r="N998" s="27" t="str">
        <f>IF(K998="N/A","No", IF(K998&gt;1200,"Yes","No"))</f>
        <v>No</v>
      </c>
      <c r="O998" s="27" t="str">
        <f>IF(K998="Not","No",IF(K998="n/a","N/A",IF(K998&gt;=$Y$3,"Yes","No")))</f>
        <v>No</v>
      </c>
      <c r="Q998" s="27" t="s">
        <v>116</v>
      </c>
      <c r="R998" s="27" t="str">
        <f>_xlfn.XLOOKUP("ppm",D998:D1003,F998:F1003,"N/A")</f>
        <v>No</v>
      </c>
      <c r="S998" s="27" t="str">
        <f>IF(COUNTIF(O998:O1000,"Yes"),"Yes","No")</f>
        <v>No</v>
      </c>
      <c r="U998" s="27" t="s">
        <v>92</v>
      </c>
      <c r="V998" s="27" t="s">
        <v>120</v>
      </c>
      <c r="W998" s="27" t="s">
        <v>120</v>
      </c>
      <c r="X998" s="27" t="str">
        <f>IF(V998="N/A","N/A",IF(W998="N/A", "N/A", IF(V998=W998, "Yes","No")))</f>
        <v>N/A</v>
      </c>
      <c r="AI998" s="27">
        <f>COUNTIF(H998:H1003,"Exterior")</f>
        <v>2</v>
      </c>
      <c r="AJ998" s="27">
        <f>COUNTIF(H998:H1003, "Interior")</f>
        <v>1</v>
      </c>
      <c r="AK998" s="27">
        <f>COUNTIFS(D998:D1003,"ppm")+COUNTIFS(D998:D1003,"mg/Kg")</f>
        <v>1</v>
      </c>
      <c r="AL998" s="27">
        <f>COUNTIF(D998:D1003,"ug/ft2")</f>
        <v>2</v>
      </c>
    </row>
    <row r="999" spans="1:38" x14ac:dyDescent="0.2">
      <c r="A999" s="27" t="s">
        <v>63</v>
      </c>
      <c r="B999" s="27" t="s">
        <v>64</v>
      </c>
      <c r="C999" s="27">
        <v>3.7</v>
      </c>
      <c r="D999" s="27" t="s">
        <v>4</v>
      </c>
      <c r="F999" s="27" t="str">
        <f t="shared" si="423"/>
        <v>Yes</v>
      </c>
      <c r="G999" s="27" t="s">
        <v>5</v>
      </c>
      <c r="H999" s="27" t="s">
        <v>46</v>
      </c>
      <c r="J999" s="27" t="s">
        <v>11</v>
      </c>
      <c r="K999" s="27">
        <v>26.3</v>
      </c>
      <c r="L999" s="27" t="s">
        <v>12</v>
      </c>
      <c r="M999" s="27" t="s">
        <v>67</v>
      </c>
      <c r="N999" s="27" t="str">
        <f t="shared" ref="N999:N1000" si="424">IF(K999="N/A","No", IF(K999&gt;1200,"Yes","No"))</f>
        <v>No</v>
      </c>
      <c r="O999" s="27" t="str">
        <f t="shared" ref="O999:O1000" si="425">IF(K999="Not","No",IF(K999="n/a","N/A",IF(K999&gt;$Y$3,"Yes","No")))</f>
        <v>No</v>
      </c>
      <c r="Q999" s="27" t="s">
        <v>98</v>
      </c>
      <c r="R999" s="63" t="s">
        <v>5</v>
      </c>
      <c r="S999" s="27" t="str">
        <f>IF(COUNTIF(O1001:O1002,"Yes"),"Yes","No")</f>
        <v>No</v>
      </c>
      <c r="U999" s="27" t="s">
        <v>95</v>
      </c>
      <c r="V999" s="27" t="str">
        <f>R998</f>
        <v>No</v>
      </c>
      <c r="W999" s="27" t="str">
        <f>S998</f>
        <v>No</v>
      </c>
      <c r="X999" s="27" t="str">
        <f t="shared" ref="X999:X1002" si="426">IF(V999="N/A","N/A",IF(W999="N/A", "N/A", IF(V999=W999, "Yes","No")))</f>
        <v>Yes</v>
      </c>
    </row>
    <row r="1000" spans="1:38" x14ac:dyDescent="0.2">
      <c r="A1000" s="27" t="s">
        <v>83</v>
      </c>
      <c r="B1000" s="27" t="s">
        <v>69</v>
      </c>
      <c r="C1000" s="27" t="s">
        <v>397</v>
      </c>
      <c r="D1000" s="27" t="s">
        <v>12</v>
      </c>
      <c r="F1000" s="63" t="s">
        <v>9</v>
      </c>
      <c r="G1000" s="27" t="s">
        <v>9</v>
      </c>
      <c r="J1000" s="27" t="s">
        <v>15</v>
      </c>
      <c r="K1000" s="27">
        <v>37.200000000000003</v>
      </c>
      <c r="L1000" s="27" t="s">
        <v>12</v>
      </c>
      <c r="M1000" s="27" t="s">
        <v>112</v>
      </c>
      <c r="N1000" s="27" t="str">
        <f t="shared" si="424"/>
        <v>No</v>
      </c>
      <c r="O1000" s="27" t="str">
        <f t="shared" si="425"/>
        <v>No</v>
      </c>
      <c r="Q1000" s="27" t="s">
        <v>117</v>
      </c>
      <c r="R1000" s="27" t="str">
        <f>_xlfn.XLOOKUP("ug/ft2",D998:D1003,F998:F1003,"N/A")</f>
        <v>No</v>
      </c>
      <c r="S1000" s="27" t="str">
        <f>IF(COUNTIF(O1003:O1006,"Yes"),"Yes","No")</f>
        <v>No</v>
      </c>
      <c r="U1000" s="27" t="s">
        <v>163</v>
      </c>
      <c r="V1000" s="27" t="s">
        <v>9</v>
      </c>
      <c r="W1000" s="27" t="str">
        <f>O1002</f>
        <v>No</v>
      </c>
      <c r="X1000" s="27" t="str">
        <f t="shared" si="426"/>
        <v>Yes</v>
      </c>
    </row>
    <row r="1001" spans="1:38" x14ac:dyDescent="0.2">
      <c r="A1001" s="27" t="s">
        <v>109</v>
      </c>
      <c r="B1001" s="27" t="s">
        <v>40</v>
      </c>
      <c r="C1001" s="27">
        <v>0.11</v>
      </c>
      <c r="D1001" s="27" t="s">
        <v>4</v>
      </c>
      <c r="F1001" s="27" t="str">
        <f t="shared" si="423"/>
        <v>No</v>
      </c>
      <c r="G1001" s="27" t="s">
        <v>9</v>
      </c>
      <c r="H1001" s="27" t="s">
        <v>43</v>
      </c>
      <c r="J1001" s="27" t="s">
        <v>19</v>
      </c>
      <c r="K1001" s="27">
        <v>579</v>
      </c>
      <c r="L1001" s="27" t="s">
        <v>12</v>
      </c>
      <c r="M1001" s="27" t="s">
        <v>46</v>
      </c>
      <c r="N1001" s="27" t="str">
        <f>IF(K1001="N/A","No", IF(K1001&gt;5000,"Yes","No"))</f>
        <v>No</v>
      </c>
      <c r="O1001" s="27" t="str">
        <f>IF(K1001="Not","No",IF(K1001="n/a","N/A",IF(K1001&gt;$Y$2,"Yes","No")))</f>
        <v>No</v>
      </c>
      <c r="Q1001" s="27" t="s">
        <v>118</v>
      </c>
      <c r="R1001" s="27" t="str">
        <f>IF(COUNTIF(R998:R1000,"Yes"),"Yes","No")</f>
        <v>Yes</v>
      </c>
      <c r="S1001" s="27" t="str">
        <f>IF(COUNTIF(S998:S1000,"Yes"),"Yes","No")</f>
        <v>No</v>
      </c>
      <c r="U1001" s="27" t="s">
        <v>164</v>
      </c>
      <c r="V1001" s="27" t="s">
        <v>5</v>
      </c>
      <c r="W1001" s="27" t="str">
        <f>O1001</f>
        <v>No</v>
      </c>
      <c r="X1001" s="27" t="str">
        <f t="shared" si="426"/>
        <v>No</v>
      </c>
    </row>
    <row r="1002" spans="1:38" x14ac:dyDescent="0.2">
      <c r="A1002" s="27" t="s">
        <v>293</v>
      </c>
      <c r="B1002" s="27" t="s">
        <v>32</v>
      </c>
      <c r="C1002" s="27">
        <v>3</v>
      </c>
      <c r="D1002" s="27" t="s">
        <v>33</v>
      </c>
      <c r="F1002" s="27" t="str">
        <f t="shared" ref="F1002" si="427">IF(C1002&gt;$W$6,"Yes","No")</f>
        <v>No</v>
      </c>
      <c r="G1002" s="27" t="s">
        <v>9</v>
      </c>
      <c r="J1002" s="27" t="s">
        <v>22</v>
      </c>
      <c r="K1002" s="27">
        <v>9</v>
      </c>
      <c r="L1002" s="27" t="s">
        <v>12</v>
      </c>
      <c r="M1002" s="27" t="s">
        <v>43</v>
      </c>
      <c r="N1002" s="27" t="str">
        <f>IF(K1002="N/A","No", IF(K1002&gt;5000,"Yes","No"))</f>
        <v>No</v>
      </c>
      <c r="O1002" s="27" t="str">
        <f>IF(K1002="Not","No",IF(K1002="n/a","N/A",IF(K1002&gt;$Y$2,"Yes","No")))</f>
        <v>No</v>
      </c>
      <c r="U1002" s="27" t="s">
        <v>162</v>
      </c>
      <c r="V1002" s="27" t="str">
        <f>R999</f>
        <v>Yes</v>
      </c>
      <c r="W1002" s="27" t="str">
        <f>S999</f>
        <v>No</v>
      </c>
      <c r="X1002" s="27" t="str">
        <f t="shared" si="426"/>
        <v>No</v>
      </c>
    </row>
    <row r="1003" spans="1:38" x14ac:dyDescent="0.2">
      <c r="A1003" s="27" t="s">
        <v>293</v>
      </c>
      <c r="B1003" s="27" t="s">
        <v>54</v>
      </c>
      <c r="C1003" s="27">
        <v>18</v>
      </c>
      <c r="D1003" s="27" t="s">
        <v>33</v>
      </c>
      <c r="F1003" s="27" t="str">
        <f>IF(C1003&gt;$W$5,"Yes","No")</f>
        <v>No</v>
      </c>
      <c r="G1003" s="27" t="s">
        <v>9</v>
      </c>
      <c r="J1003" s="27" t="s">
        <v>25</v>
      </c>
      <c r="K1003" s="27">
        <v>2.5</v>
      </c>
      <c r="L1003" s="27" t="s">
        <v>12</v>
      </c>
      <c r="M1003" s="27" t="s">
        <v>126</v>
      </c>
      <c r="N1003" s="27" t="str">
        <f>IF(K1003="N/A","No", IF(K1003&gt;20,"Yes","No"))</f>
        <v>No</v>
      </c>
      <c r="O1003" s="27" t="str">
        <f t="shared" ref="O1003:O1004" si="428">IF(K1003="Not","No",IF(K1003="n/a","N/A",IF(K1003&gt;$Y$6,"Yes","No")))</f>
        <v>No</v>
      </c>
      <c r="U1003" s="27" t="s">
        <v>101</v>
      </c>
      <c r="V1003" s="27" t="s">
        <v>9</v>
      </c>
      <c r="W1003" s="27" t="s">
        <v>9</v>
      </c>
      <c r="X1003" s="27" t="str">
        <f>IF(V1003="N/A","N/A",IF(W1003="N/A", "N/A", IF(V1003=W1003, "Yes","No")))</f>
        <v>Yes</v>
      </c>
    </row>
    <row r="1004" spans="1:38" x14ac:dyDescent="0.2">
      <c r="J1004" s="27" t="s">
        <v>29</v>
      </c>
      <c r="K1004" s="27">
        <v>15</v>
      </c>
      <c r="L1004" s="27" t="s">
        <v>12</v>
      </c>
      <c r="M1004" s="27" t="s">
        <v>222</v>
      </c>
      <c r="N1004" s="27" t="str">
        <f>IF(K1004="N/A","No", IF(K1004&gt;20,"Yes","No"))</f>
        <v>No</v>
      </c>
      <c r="O1004" s="27" t="str">
        <f t="shared" si="428"/>
        <v>No</v>
      </c>
      <c r="U1004" s="27" t="s">
        <v>104</v>
      </c>
      <c r="V1004" s="27" t="s">
        <v>9</v>
      </c>
      <c r="W1004" s="27" t="str">
        <f>O1005</f>
        <v>No</v>
      </c>
      <c r="X1004" s="27" t="str">
        <f>IF(V1004="N/A","N/A",IF(W1004="N/A", "N/A", IF(V1004=W1004, "Yes","No")))</f>
        <v>Yes</v>
      </c>
    </row>
    <row r="1005" spans="1:38" x14ac:dyDescent="0.2">
      <c r="J1005" s="27" t="s">
        <v>34</v>
      </c>
      <c r="K1005" s="27">
        <v>2.5</v>
      </c>
      <c r="L1005" s="27" t="s">
        <v>12</v>
      </c>
      <c r="M1005" s="27" t="s">
        <v>210</v>
      </c>
      <c r="N1005" s="27" t="str">
        <f>IF(K1005="N/A","No", IF(K1005&gt;230,"Yes","No"))</f>
        <v>No</v>
      </c>
      <c r="O1005" s="27" t="str">
        <f>IF(K1005="Not","No",IF(K1005="n/a","N/A",IF(K1005&gt;$Y$5,"Yes","No")))</f>
        <v>No</v>
      </c>
      <c r="U1005" s="27" t="s">
        <v>106</v>
      </c>
      <c r="V1005" s="27" t="str">
        <f>R1000</f>
        <v>No</v>
      </c>
      <c r="W1005" s="27" t="str">
        <f>S1000</f>
        <v>No</v>
      </c>
      <c r="X1005" s="27" t="str">
        <f>IF(V1005="N/A","N/A",IF(W1005="N/A", "N/A", IF(V1005=W1005, "Yes","No")))</f>
        <v>Yes</v>
      </c>
    </row>
    <row r="1006" spans="1:38" x14ac:dyDescent="0.2">
      <c r="J1006" s="69" t="s">
        <v>208</v>
      </c>
      <c r="K1006" s="27">
        <v>27.7</v>
      </c>
      <c r="L1006" s="27" t="s">
        <v>12</v>
      </c>
      <c r="M1006" s="27" t="s">
        <v>223</v>
      </c>
      <c r="N1006" s="27" t="str">
        <f>IF(K1006="N/A","No", IF(K1006&gt;20,"Yes","No"))</f>
        <v>Yes</v>
      </c>
      <c r="O1006" s="27" t="str">
        <f>IF(K1006="Not","No",IF(K1006="n/a","N/A",IF(K1006&gt;$Y$7,"Yes","No")))</f>
        <v>No</v>
      </c>
      <c r="U1006" s="27" t="s">
        <v>121</v>
      </c>
      <c r="V1006" s="27" t="str">
        <f>R1001</f>
        <v>Yes</v>
      </c>
      <c r="W1006" s="27" t="str">
        <f>S1001</f>
        <v>No</v>
      </c>
      <c r="X1006" s="27" t="str">
        <f>IF(V1006="N/A","N/A",IF(W1006="N/A", "N/A", IF(V1006=W1006, "Yes","No")))</f>
        <v>No</v>
      </c>
    </row>
    <row r="1008" spans="1:38" x14ac:dyDescent="0.2">
      <c r="A1008" s="27">
        <v>1290</v>
      </c>
      <c r="B1008" s="27" t="s">
        <v>111</v>
      </c>
      <c r="C1008" s="27">
        <v>66</v>
      </c>
    </row>
    <row r="1009" spans="1:38" x14ac:dyDescent="0.2">
      <c r="A1009" s="59" t="s">
        <v>0</v>
      </c>
      <c r="E1009" s="27" t="s">
        <v>274</v>
      </c>
      <c r="F1009" s="27" t="s">
        <v>275</v>
      </c>
      <c r="G1009" s="27" t="s">
        <v>119</v>
      </c>
      <c r="J1009" s="59" t="s">
        <v>1</v>
      </c>
      <c r="N1009" s="27" t="s">
        <v>277</v>
      </c>
      <c r="O1009" s="27" t="s">
        <v>278</v>
      </c>
      <c r="Q1009" s="59" t="s">
        <v>115</v>
      </c>
      <c r="R1009" s="59" t="s">
        <v>0</v>
      </c>
      <c r="S1009" s="59" t="s">
        <v>1</v>
      </c>
      <c r="U1009" s="59" t="s">
        <v>115</v>
      </c>
      <c r="V1009" s="59" t="s">
        <v>0</v>
      </c>
      <c r="W1009" s="59" t="s">
        <v>1</v>
      </c>
      <c r="X1009" s="59" t="s">
        <v>122</v>
      </c>
      <c r="AA1009" s="27" t="str">
        <f>IF(R1010="Yes","LRA-Soil","")</f>
        <v>LRA-Soil</v>
      </c>
      <c r="AB1009" s="27" t="str">
        <f>IF(R1011="Yes","LRA-Paint","")</f>
        <v>LRA-Paint</v>
      </c>
      <c r="AC1009" s="27" t="str">
        <f>IF(R1012="Yes","LRA-Dust","")</f>
        <v/>
      </c>
      <c r="AD1009" s="27" t="str">
        <f>IF(S1010="Yes","LSK-Soil","")</f>
        <v>LSK-Soil</v>
      </c>
      <c r="AE1009" s="27" t="str">
        <f>IF(S1011="Yes","LSK-Paint","")</f>
        <v>LSK-Paint</v>
      </c>
      <c r="AF1009" s="27" t="str">
        <f>IF(S1012="Yes","LSK-Dust","")</f>
        <v/>
      </c>
      <c r="AI1009" s="27" t="s">
        <v>46</v>
      </c>
      <c r="AJ1009" s="27" t="s">
        <v>43</v>
      </c>
      <c r="AK1009" s="27" t="s">
        <v>116</v>
      </c>
      <c r="AL1009" s="27" t="s">
        <v>117</v>
      </c>
    </row>
    <row r="1010" spans="1:38" x14ac:dyDescent="0.2">
      <c r="A1010" s="27" t="s">
        <v>63</v>
      </c>
      <c r="B1010" s="27" t="s">
        <v>10</v>
      </c>
      <c r="C1010" s="27">
        <v>4.3</v>
      </c>
      <c r="D1010" s="27" t="s">
        <v>4</v>
      </c>
      <c r="F1010" s="27" t="str">
        <f t="shared" ref="F1010:F1015" si="429">IF(C1010&gt;=$W$2,"Yes","No")</f>
        <v>Yes</v>
      </c>
      <c r="G1010" s="27" t="s">
        <v>5</v>
      </c>
      <c r="H1010" s="27" t="s">
        <v>46</v>
      </c>
      <c r="J1010" s="27" t="s">
        <v>6</v>
      </c>
      <c r="K1010" s="27">
        <v>117</v>
      </c>
      <c r="L1010" s="27" t="s">
        <v>12</v>
      </c>
      <c r="M1010" s="27" t="s">
        <v>114</v>
      </c>
      <c r="N1010" s="27" t="str">
        <f>IF(K1010="N/A","No", IF(K1010&gt;1200,"Yes","No"))</f>
        <v>No</v>
      </c>
      <c r="O1010" s="27" t="str">
        <f>IF(K1010="Not","No",IF(K1010="n/a","N/A",IF(K1010&gt;=$Y$3,"Yes","No")))</f>
        <v>No</v>
      </c>
      <c r="Q1010" s="27" t="s">
        <v>116</v>
      </c>
      <c r="R1010" s="27" t="str">
        <f>_xlfn.XLOOKUP("ppm",D1010:D1020,F1010:F1020,"N/A")</f>
        <v>Yes</v>
      </c>
      <c r="S1010" s="27" t="str">
        <f>IF(COUNTIF(O1010:O1012,"Yes"),"Yes","No")</f>
        <v>Yes</v>
      </c>
      <c r="U1010" s="27" t="s">
        <v>92</v>
      </c>
      <c r="V1010" s="27" t="s">
        <v>120</v>
      </c>
      <c r="W1010" s="27" t="s">
        <v>120</v>
      </c>
      <c r="X1010" s="27" t="str">
        <f>IF(V1010="N/A","N/A",IF(W1010="N/A", "N/A", IF(V1010=W1010, "Yes","No")))</f>
        <v>N/A</v>
      </c>
      <c r="AI1010" s="27">
        <f>COUNTIF(H1010:H1020,"Exterior")</f>
        <v>6</v>
      </c>
      <c r="AJ1010" s="27">
        <f>COUNTIF(H1010:H1020, "Interior")</f>
        <v>1</v>
      </c>
      <c r="AK1010" s="27">
        <f>COUNTIFS(D1010:D1020,"ppm")+COUNTIFS(D1010:D1020,"mg/Kg")</f>
        <v>2</v>
      </c>
      <c r="AL1010" s="27">
        <f>COUNTIF(D1010:D1020,"ug/ft2")</f>
        <v>2</v>
      </c>
    </row>
    <row r="1011" spans="1:38" x14ac:dyDescent="0.2">
      <c r="A1011" s="27" t="s">
        <v>63</v>
      </c>
      <c r="B1011" s="27" t="s">
        <v>64</v>
      </c>
      <c r="C1011" s="27">
        <v>5.2</v>
      </c>
      <c r="D1011" s="27" t="s">
        <v>4</v>
      </c>
      <c r="F1011" s="27" t="str">
        <f t="shared" si="429"/>
        <v>Yes</v>
      </c>
      <c r="G1011" s="27" t="s">
        <v>5</v>
      </c>
      <c r="H1011" s="27" t="s">
        <v>46</v>
      </c>
      <c r="J1011" s="27" t="s">
        <v>11</v>
      </c>
      <c r="K1011" s="27">
        <v>963</v>
      </c>
      <c r="L1011" s="27" t="s">
        <v>12</v>
      </c>
      <c r="M1011" s="27" t="s">
        <v>67</v>
      </c>
      <c r="N1011" s="27" t="str">
        <f t="shared" ref="N1011:N1012" si="430">IF(K1011="N/A","No", IF(K1011&gt;1200,"Yes","No"))</f>
        <v>No</v>
      </c>
      <c r="O1011" s="27" t="str">
        <f t="shared" ref="O1011:O1012" si="431">IF(K1011="Not","No",IF(K1011="n/a","N/A",IF(K1011&gt;$Y$3,"Yes","No")))</f>
        <v>Yes</v>
      </c>
      <c r="Q1011" s="27" t="s">
        <v>98</v>
      </c>
      <c r="R1011" s="63" t="s">
        <v>5</v>
      </c>
      <c r="S1011" s="27" t="str">
        <f>IF(COUNTIF(O1013:O1014,"Yes"),"Yes","No")</f>
        <v>Yes</v>
      </c>
      <c r="U1011" s="27" t="s">
        <v>95</v>
      </c>
      <c r="V1011" s="27" t="str">
        <f>R1010</f>
        <v>Yes</v>
      </c>
      <c r="W1011" s="27" t="str">
        <f>S1010</f>
        <v>Yes</v>
      </c>
      <c r="X1011" s="27" t="str">
        <f t="shared" ref="X1011:X1014" si="432">IF(V1011="N/A","N/A",IF(W1011="N/A", "N/A", IF(V1011=W1011, "Yes","No")))</f>
        <v>Yes</v>
      </c>
    </row>
    <row r="1012" spans="1:38" x14ac:dyDescent="0.2">
      <c r="A1012" s="27" t="s">
        <v>63</v>
      </c>
      <c r="B1012" s="27" t="s">
        <v>64</v>
      </c>
      <c r="C1012" s="27">
        <v>4.5999999999999996</v>
      </c>
      <c r="D1012" s="27" t="s">
        <v>4</v>
      </c>
      <c r="F1012" s="27" t="str">
        <f t="shared" si="429"/>
        <v>Yes</v>
      </c>
      <c r="G1012" s="27" t="s">
        <v>5</v>
      </c>
      <c r="H1012" s="27" t="s">
        <v>46</v>
      </c>
      <c r="J1012" s="27" t="s">
        <v>15</v>
      </c>
      <c r="K1012" s="27">
        <v>574</v>
      </c>
      <c r="L1012" s="27" t="s">
        <v>12</v>
      </c>
      <c r="M1012" s="27" t="s">
        <v>112</v>
      </c>
      <c r="N1012" s="27" t="str">
        <f t="shared" si="430"/>
        <v>No</v>
      </c>
      <c r="O1012" s="27" t="str">
        <f t="shared" si="431"/>
        <v>Yes</v>
      </c>
      <c r="Q1012" s="27" t="s">
        <v>117</v>
      </c>
      <c r="R1012" s="27" t="str">
        <f>_xlfn.XLOOKUP("ug/ft2",D1010:D1020,F1010:F1020,"N/A")</f>
        <v>No</v>
      </c>
      <c r="S1012" s="27" t="str">
        <f>IF(COUNTIF(O1015:O1018,"Yes"),"Yes","No")</f>
        <v>No</v>
      </c>
      <c r="U1012" s="27" t="s">
        <v>163</v>
      </c>
      <c r="V1012" s="27" t="s">
        <v>9</v>
      </c>
      <c r="W1012" s="27" t="str">
        <f>O1014</f>
        <v>No</v>
      </c>
      <c r="X1012" s="27" t="str">
        <f t="shared" si="432"/>
        <v>Yes</v>
      </c>
    </row>
    <row r="1013" spans="1:38" x14ac:dyDescent="0.2">
      <c r="A1013" s="27" t="s">
        <v>63</v>
      </c>
      <c r="B1013" s="27" t="s">
        <v>24</v>
      </c>
      <c r="C1013" s="27">
        <v>7.9</v>
      </c>
      <c r="D1013" s="27" t="s">
        <v>4</v>
      </c>
      <c r="F1013" s="27" t="str">
        <f t="shared" si="429"/>
        <v>Yes</v>
      </c>
      <c r="G1013" s="27" t="s">
        <v>5</v>
      </c>
      <c r="H1013" s="27" t="s">
        <v>46</v>
      </c>
      <c r="J1013" s="27" t="s">
        <v>19</v>
      </c>
      <c r="K1013" s="27">
        <v>7126</v>
      </c>
      <c r="L1013" s="27" t="s">
        <v>12</v>
      </c>
      <c r="M1013" s="27" t="s">
        <v>46</v>
      </c>
      <c r="N1013" s="27" t="str">
        <f>IF(K1013="N/A","No", IF(K1013&gt;5000,"Yes","No"))</f>
        <v>Yes</v>
      </c>
      <c r="O1013" s="27" t="str">
        <f>IF(K1013="Not","No",IF(K1013="n/a","N/A",IF(K1013&gt;$Y$2,"Yes","No")))</f>
        <v>Yes</v>
      </c>
      <c r="Q1013" s="27" t="s">
        <v>118</v>
      </c>
      <c r="R1013" s="27" t="str">
        <f>IF(COUNTIF(R1010:R1012,"Yes"),"Yes","No")</f>
        <v>Yes</v>
      </c>
      <c r="S1013" s="27" t="str">
        <f>IF(COUNTIF(S1010:S1012,"Yes"),"Yes","No")</f>
        <v>Yes</v>
      </c>
      <c r="U1013" s="27" t="s">
        <v>164</v>
      </c>
      <c r="V1013" s="27" t="s">
        <v>5</v>
      </c>
      <c r="W1013" s="27" t="str">
        <f>O1013</f>
        <v>Yes</v>
      </c>
      <c r="X1013" s="27" t="str">
        <f t="shared" si="432"/>
        <v>Yes</v>
      </c>
    </row>
    <row r="1014" spans="1:38" x14ac:dyDescent="0.2">
      <c r="A1014" s="27" t="s">
        <v>63</v>
      </c>
      <c r="B1014" s="27" t="s">
        <v>24</v>
      </c>
      <c r="C1014" s="27">
        <v>5.7</v>
      </c>
      <c r="D1014" s="27" t="s">
        <v>4</v>
      </c>
      <c r="F1014" s="27" t="str">
        <f t="shared" si="429"/>
        <v>Yes</v>
      </c>
      <c r="G1014" s="27" t="s">
        <v>5</v>
      </c>
      <c r="H1014" s="27" t="s">
        <v>46</v>
      </c>
      <c r="J1014" s="27" t="s">
        <v>22</v>
      </c>
      <c r="K1014" s="27">
        <v>24</v>
      </c>
      <c r="L1014" s="27" t="s">
        <v>12</v>
      </c>
      <c r="M1014" s="27" t="s">
        <v>43</v>
      </c>
      <c r="N1014" s="27" t="str">
        <f>IF(K1014="N/A","No", IF(K1014&gt;5000,"Yes","No"))</f>
        <v>No</v>
      </c>
      <c r="O1014" s="27" t="str">
        <f>IF(K1014="Not","No",IF(K1014="n/a","N/A",IF(K1014&gt;$Y$2,"Yes","No")))</f>
        <v>No</v>
      </c>
      <c r="U1014" s="27" t="s">
        <v>162</v>
      </c>
      <c r="V1014" s="27" t="str">
        <f>R1011</f>
        <v>Yes</v>
      </c>
      <c r="W1014" s="27" t="str">
        <f>S1011</f>
        <v>Yes</v>
      </c>
      <c r="X1014" s="27" t="str">
        <f t="shared" si="432"/>
        <v>Yes</v>
      </c>
    </row>
    <row r="1015" spans="1:38" x14ac:dyDescent="0.2">
      <c r="A1015" s="27" t="s">
        <v>63</v>
      </c>
      <c r="B1015" s="27" t="s">
        <v>24</v>
      </c>
      <c r="C1015" s="27">
        <v>4.5999999999999996</v>
      </c>
      <c r="D1015" s="27" t="s">
        <v>4</v>
      </c>
      <c r="F1015" s="27" t="str">
        <f t="shared" si="429"/>
        <v>Yes</v>
      </c>
      <c r="G1015" s="27" t="s">
        <v>5</v>
      </c>
      <c r="H1015" s="27" t="s">
        <v>46</v>
      </c>
      <c r="J1015" s="27" t="s">
        <v>25</v>
      </c>
      <c r="K1015" s="27">
        <v>5</v>
      </c>
      <c r="L1015" s="27" t="s">
        <v>12</v>
      </c>
      <c r="M1015" s="27" t="s">
        <v>126</v>
      </c>
      <c r="N1015" s="27" t="str">
        <f>IF(K1015="N/A","No", IF(K1015&gt;20,"Yes","No"))</f>
        <v>No</v>
      </c>
      <c r="O1015" s="27" t="str">
        <f t="shared" ref="O1015:O1016" si="433">IF(K1015="Not","No",IF(K1015="n/a","N/A",IF(K1015&gt;$Y$6,"Yes","No")))</f>
        <v>No</v>
      </c>
      <c r="U1015" s="27" t="s">
        <v>101</v>
      </c>
      <c r="V1015" s="27" t="s">
        <v>9</v>
      </c>
      <c r="W1015" s="27" t="s">
        <v>9</v>
      </c>
      <c r="X1015" s="27" t="str">
        <f>IF(V1015="N/A","N/A",IF(W1015="N/A", "N/A", IF(V1015=W1015, "Yes","No")))</f>
        <v>Yes</v>
      </c>
    </row>
    <row r="1016" spans="1:38" x14ac:dyDescent="0.2">
      <c r="A1016" s="27" t="s">
        <v>75</v>
      </c>
      <c r="B1016" s="27" t="s">
        <v>205</v>
      </c>
      <c r="C1016" s="27">
        <v>1170</v>
      </c>
      <c r="D1016" s="27" t="s">
        <v>12</v>
      </c>
      <c r="F1016" s="27" t="str">
        <f t="shared" ref="F1016:F1017" si="434">IF(C1016&gt;$W$3,"Yes","No")</f>
        <v>Yes</v>
      </c>
      <c r="G1016" s="27" t="s">
        <v>9</v>
      </c>
      <c r="J1016" s="27" t="s">
        <v>29</v>
      </c>
      <c r="K1016" s="27">
        <v>10</v>
      </c>
      <c r="L1016" s="27" t="s">
        <v>12</v>
      </c>
      <c r="M1016" s="27" t="s">
        <v>222</v>
      </c>
      <c r="N1016" s="27" t="str">
        <f>IF(K1016="N/A","No", IF(K1016&gt;20,"Yes","No"))</f>
        <v>No</v>
      </c>
      <c r="O1016" s="27" t="str">
        <f t="shared" si="433"/>
        <v>No</v>
      </c>
      <c r="U1016" s="27" t="s">
        <v>104</v>
      </c>
      <c r="V1016" s="27" t="s">
        <v>9</v>
      </c>
      <c r="W1016" s="27" t="str">
        <f>O1017</f>
        <v>No</v>
      </c>
      <c r="X1016" s="27" t="str">
        <f>IF(V1016="N/A","N/A",IF(W1016="N/A", "N/A", IF(V1016=W1016, "Yes","No")))</f>
        <v>Yes</v>
      </c>
    </row>
    <row r="1017" spans="1:38" x14ac:dyDescent="0.2">
      <c r="A1017" s="27" t="s">
        <v>75</v>
      </c>
      <c r="B1017" s="27" t="s">
        <v>205</v>
      </c>
      <c r="C1017" s="27">
        <v>1730</v>
      </c>
      <c r="D1017" s="27" t="s">
        <v>12</v>
      </c>
      <c r="F1017" s="27" t="str">
        <f t="shared" si="434"/>
        <v>Yes</v>
      </c>
      <c r="G1017" s="27" t="s">
        <v>5</v>
      </c>
      <c r="J1017" s="27" t="s">
        <v>34</v>
      </c>
      <c r="K1017" s="27">
        <v>2.5</v>
      </c>
      <c r="L1017" s="27" t="s">
        <v>12</v>
      </c>
      <c r="M1017" s="27" t="s">
        <v>210</v>
      </c>
      <c r="N1017" s="27" t="str">
        <f>IF(K1017="N/A","No", IF(K1017&gt;230,"Yes","No"))</f>
        <v>No</v>
      </c>
      <c r="O1017" s="27" t="str">
        <f>IF(K1017="Not","No",IF(K1017="n/a","N/A",IF(K1017&gt;$Y$5,"Yes","No")))</f>
        <v>No</v>
      </c>
      <c r="U1017" s="27" t="s">
        <v>106</v>
      </c>
      <c r="V1017" s="27" t="str">
        <f>R1012</f>
        <v>No</v>
      </c>
      <c r="W1017" s="27" t="str">
        <f>S1012</f>
        <v>No</v>
      </c>
      <c r="X1017" s="27" t="str">
        <f>IF(V1017="N/A","N/A",IF(W1017="N/A", "N/A", IF(V1017=W1017, "Yes","No")))</f>
        <v>Yes</v>
      </c>
    </row>
    <row r="1018" spans="1:38" x14ac:dyDescent="0.2">
      <c r="A1018" s="27" t="s">
        <v>71</v>
      </c>
      <c r="B1018" s="27" t="s">
        <v>10</v>
      </c>
      <c r="C1018" s="27">
        <v>0.01</v>
      </c>
      <c r="D1018" s="27" t="s">
        <v>4</v>
      </c>
      <c r="F1018" s="27" t="str">
        <f t="shared" ref="F1018" si="435">IF(C1018&gt;=$W$2,"Yes","No")</f>
        <v>No</v>
      </c>
      <c r="G1018" s="27" t="s">
        <v>9</v>
      </c>
      <c r="H1018" s="27" t="s">
        <v>43</v>
      </c>
      <c r="J1018" s="27" t="s">
        <v>208</v>
      </c>
      <c r="K1018" s="27">
        <v>25.6</v>
      </c>
      <c r="L1018" s="27" t="s">
        <v>12</v>
      </c>
      <c r="M1018" s="27" t="s">
        <v>223</v>
      </c>
      <c r="N1018" s="27" t="str">
        <f>IF(K1018="N/A","No", IF(K1018&gt;20,"Yes","No"))</f>
        <v>Yes</v>
      </c>
      <c r="O1018" s="27" t="str">
        <f>IF(K1018="Not","No",IF(K1018="n/a","N/A",IF(K1018&gt;$Y$7,"Yes","No")))</f>
        <v>No</v>
      </c>
      <c r="U1018" s="27" t="s">
        <v>121</v>
      </c>
      <c r="V1018" s="27" t="str">
        <f>R1013</f>
        <v>Yes</v>
      </c>
      <c r="W1018" s="27" t="str">
        <f>S1013</f>
        <v>Yes</v>
      </c>
      <c r="X1018" s="27" t="str">
        <f>IF(V1018="N/A","N/A",IF(W1018="N/A", "N/A", IF(V1018=W1018, "Yes","No")))</f>
        <v>Yes</v>
      </c>
    </row>
    <row r="1019" spans="1:38" x14ac:dyDescent="0.2">
      <c r="A1019" s="27" t="s">
        <v>71</v>
      </c>
      <c r="B1019" s="27" t="s">
        <v>32</v>
      </c>
      <c r="C1019" s="27">
        <v>3.9</v>
      </c>
      <c r="D1019" s="27" t="s">
        <v>33</v>
      </c>
      <c r="F1019" s="27" t="str">
        <f t="shared" ref="F1019" si="436">IF(C1019&gt;$W$6,"Yes","No")</f>
        <v>No</v>
      </c>
      <c r="G1019" s="27" t="s">
        <v>9</v>
      </c>
    </row>
    <row r="1020" spans="1:38" x14ac:dyDescent="0.2">
      <c r="A1020" s="27" t="s">
        <v>64</v>
      </c>
      <c r="B1020" s="27" t="s">
        <v>54</v>
      </c>
      <c r="C1020" s="27">
        <v>39</v>
      </c>
      <c r="D1020" s="27" t="s">
        <v>33</v>
      </c>
      <c r="F1020" s="27" t="str">
        <f>IF(C1020&gt;$W$5,"Yes","No")</f>
        <v>No</v>
      </c>
      <c r="G1020" s="27" t="s">
        <v>9</v>
      </c>
    </row>
    <row r="1022" spans="1:38" x14ac:dyDescent="0.2">
      <c r="A1022" s="57">
        <v>1291</v>
      </c>
      <c r="B1022" s="27" t="s">
        <v>111</v>
      </c>
      <c r="C1022" s="27">
        <v>67</v>
      </c>
    </row>
    <row r="1023" spans="1:38" x14ac:dyDescent="0.2">
      <c r="A1023" s="59" t="s">
        <v>0</v>
      </c>
      <c r="E1023" s="27" t="s">
        <v>274</v>
      </c>
      <c r="F1023" s="27" t="s">
        <v>275</v>
      </c>
      <c r="G1023" s="27" t="s">
        <v>119</v>
      </c>
      <c r="J1023" s="59" t="s">
        <v>1</v>
      </c>
      <c r="N1023" s="27" t="s">
        <v>277</v>
      </c>
      <c r="O1023" s="27" t="s">
        <v>278</v>
      </c>
      <c r="Q1023" s="59" t="s">
        <v>115</v>
      </c>
      <c r="R1023" s="59" t="s">
        <v>0</v>
      </c>
      <c r="S1023" s="59" t="s">
        <v>1</v>
      </c>
      <c r="U1023" s="59" t="s">
        <v>115</v>
      </c>
      <c r="V1023" s="59" t="s">
        <v>0</v>
      </c>
      <c r="W1023" s="59" t="s">
        <v>1</v>
      </c>
      <c r="X1023" s="59" t="s">
        <v>122</v>
      </c>
      <c r="AA1023" s="27" t="str">
        <f>IF(R1024="Yes","LRA-Soil","")</f>
        <v/>
      </c>
      <c r="AB1023" s="27" t="str">
        <f>IF(R1025="Yes","LRA-Paint","")</f>
        <v/>
      </c>
      <c r="AC1023" s="27" t="str">
        <f>IF(R1026="Yes","LRA-Dust","")</f>
        <v/>
      </c>
      <c r="AD1023" s="27" t="str">
        <f>IF(S1024="Yes","LSK-Soil","")</f>
        <v/>
      </c>
      <c r="AE1023" s="27" t="str">
        <f>IF(S1025="Yes","LSK-Paint","")</f>
        <v/>
      </c>
      <c r="AF1023" s="27" t="str">
        <f>IF(S1026="Yes","LSK-Dust","")</f>
        <v>LSK-Dust</v>
      </c>
      <c r="AI1023" s="27" t="s">
        <v>46</v>
      </c>
      <c r="AJ1023" s="27" t="s">
        <v>43</v>
      </c>
      <c r="AK1023" s="27" t="s">
        <v>116</v>
      </c>
      <c r="AL1023" s="27" t="s">
        <v>117</v>
      </c>
    </row>
    <row r="1024" spans="1:38" x14ac:dyDescent="0.2">
      <c r="A1024" s="27" t="s">
        <v>63</v>
      </c>
      <c r="B1024" s="27" t="s">
        <v>77</v>
      </c>
      <c r="C1024" s="27">
        <v>0.01</v>
      </c>
      <c r="D1024" s="27" t="s">
        <v>4</v>
      </c>
      <c r="F1024" s="27" t="str">
        <f t="shared" ref="F1024:F1028" si="437">IF(C1024&gt;=$W$2,"Yes","No")</f>
        <v>No</v>
      </c>
      <c r="G1024" s="27" t="s">
        <v>9</v>
      </c>
      <c r="H1024" s="27" t="s">
        <v>46</v>
      </c>
      <c r="J1024" s="27" t="s">
        <v>6</v>
      </c>
      <c r="K1024" s="27">
        <v>9.3000000000000007</v>
      </c>
      <c r="L1024" s="27" t="s">
        <v>12</v>
      </c>
      <c r="M1024" s="27" t="s">
        <v>114</v>
      </c>
      <c r="N1024" s="27" t="str">
        <f>IF(K1024="N/A","No", IF(K1024&gt;1200,"Yes","No"))</f>
        <v>No</v>
      </c>
      <c r="O1024" s="27" t="str">
        <f>IF(K1024="Not","No",IF(K1024="n/a","N/A",IF(K1024&gt;=$Y$3,"Yes","No")))</f>
        <v>No</v>
      </c>
      <c r="Q1024" s="27" t="s">
        <v>116</v>
      </c>
      <c r="R1024" s="27" t="str">
        <f>_xlfn.XLOOKUP("ppm",D1024:D1035,F1024:F1035,"N/A")</f>
        <v>No</v>
      </c>
      <c r="S1024" s="27" t="str">
        <f>IF(COUNTIF(O1024:O1026,"Yes"),"Yes","No")</f>
        <v>No</v>
      </c>
      <c r="U1024" s="27" t="s">
        <v>92</v>
      </c>
      <c r="V1024" s="27" t="s">
        <v>120</v>
      </c>
      <c r="W1024" s="27" t="s">
        <v>120</v>
      </c>
      <c r="X1024" s="27" t="str">
        <f>IF(V1024="N/A","N/A",IF(W1024="N/A", "N/A", IF(V1024=W1024, "Yes","No")))</f>
        <v>N/A</v>
      </c>
      <c r="AI1024" s="27">
        <f>COUNTIF(H1024:H1030,"Exterior")</f>
        <v>2</v>
      </c>
      <c r="AJ1024" s="27">
        <f>COUNTIF(H1024:H1030, "Interior")</f>
        <v>2</v>
      </c>
      <c r="AK1024" s="27">
        <f>COUNTIFS(D1024:D1030,"ppm")+COUNTIFS(D1024:D1030,"mg/Kg")</f>
        <v>1</v>
      </c>
      <c r="AL1024" s="27">
        <f>COUNTIF(D1024:D1030,"ug/ft2")</f>
        <v>2</v>
      </c>
    </row>
    <row r="1025" spans="1:38" x14ac:dyDescent="0.2">
      <c r="A1025" s="27" t="s">
        <v>63</v>
      </c>
      <c r="B1025" s="27" t="s">
        <v>18</v>
      </c>
      <c r="C1025" s="27">
        <v>0</v>
      </c>
      <c r="D1025" s="27" t="s">
        <v>4</v>
      </c>
      <c r="F1025" s="27" t="str">
        <f t="shared" si="437"/>
        <v>No</v>
      </c>
      <c r="G1025" s="27" t="s">
        <v>9</v>
      </c>
      <c r="H1025" s="27" t="s">
        <v>46</v>
      </c>
      <c r="J1025" s="27" t="s">
        <v>11</v>
      </c>
      <c r="K1025" s="27">
        <v>25.5</v>
      </c>
      <c r="L1025" s="27" t="s">
        <v>12</v>
      </c>
      <c r="M1025" s="27" t="s">
        <v>67</v>
      </c>
      <c r="N1025" s="27" t="str">
        <f t="shared" ref="N1025:N1026" si="438">IF(K1025="N/A","No", IF(K1025&gt;1200,"Yes","No"))</f>
        <v>No</v>
      </c>
      <c r="O1025" s="27" t="str">
        <f t="shared" ref="O1025:O1026" si="439">IF(K1025="Not","No",IF(K1025="n/a","N/A",IF(K1025&gt;$Y$3,"Yes","No")))</f>
        <v>No</v>
      </c>
      <c r="Q1025" s="27" t="s">
        <v>98</v>
      </c>
      <c r="R1025" s="63" t="s">
        <v>9</v>
      </c>
      <c r="S1025" s="27" t="str">
        <f>IF(COUNTIF(O1027:O1028,"Yes"),"Yes","No")</f>
        <v>No</v>
      </c>
      <c r="U1025" s="27" t="s">
        <v>95</v>
      </c>
      <c r="V1025" s="27" t="str">
        <f>R1024</f>
        <v>No</v>
      </c>
      <c r="W1025" s="27" t="str">
        <f>S1024</f>
        <v>No</v>
      </c>
      <c r="X1025" s="27" t="str">
        <f t="shared" ref="X1025:X1028" si="440">IF(V1025="N/A","N/A",IF(W1025="N/A", "N/A", IF(V1025=W1025, "Yes","No")))</f>
        <v>Yes</v>
      </c>
    </row>
    <row r="1026" spans="1:38" x14ac:dyDescent="0.2">
      <c r="A1026" s="27" t="s">
        <v>68</v>
      </c>
      <c r="B1026" s="27" t="s">
        <v>69</v>
      </c>
      <c r="C1026" s="27" t="s">
        <v>398</v>
      </c>
      <c r="D1026" s="27" t="s">
        <v>12</v>
      </c>
      <c r="F1026" s="63" t="s">
        <v>9</v>
      </c>
      <c r="G1026" s="27" t="s">
        <v>9</v>
      </c>
      <c r="J1026" s="27" t="s">
        <v>15</v>
      </c>
      <c r="K1026" s="27">
        <v>27.9</v>
      </c>
      <c r="L1026" s="27" t="s">
        <v>12</v>
      </c>
      <c r="M1026" s="27" t="s">
        <v>112</v>
      </c>
      <c r="N1026" s="27" t="str">
        <f t="shared" si="438"/>
        <v>No</v>
      </c>
      <c r="O1026" s="27" t="str">
        <f t="shared" si="439"/>
        <v>No</v>
      </c>
      <c r="Q1026" s="27" t="s">
        <v>117</v>
      </c>
      <c r="R1026" s="27" t="str">
        <f>_xlfn.XLOOKUP("ug/ft2",D1024:D1035,F1024:F1035,"N/A")</f>
        <v>No</v>
      </c>
      <c r="S1026" s="27" t="str">
        <f>IF(COUNTIF(O1029:O1032,"Yes"),"Yes","No")</f>
        <v>Yes</v>
      </c>
      <c r="U1026" s="27" t="s">
        <v>163</v>
      </c>
      <c r="V1026" s="27" t="s">
        <v>9</v>
      </c>
      <c r="W1026" s="27" t="str">
        <f>O1028</f>
        <v>N/A</v>
      </c>
      <c r="X1026" s="27" t="str">
        <f t="shared" si="440"/>
        <v>N/A</v>
      </c>
    </row>
    <row r="1027" spans="1:38" x14ac:dyDescent="0.2">
      <c r="A1027" s="27" t="s">
        <v>113</v>
      </c>
      <c r="B1027" s="27" t="s">
        <v>155</v>
      </c>
      <c r="C1027" s="27">
        <v>0.4</v>
      </c>
      <c r="D1027" s="27" t="s">
        <v>4</v>
      </c>
      <c r="F1027" s="27" t="str">
        <f t="shared" si="437"/>
        <v>No</v>
      </c>
      <c r="G1027" s="27" t="s">
        <v>9</v>
      </c>
      <c r="H1027" s="27" t="s">
        <v>43</v>
      </c>
      <c r="J1027" s="27" t="s">
        <v>19</v>
      </c>
      <c r="K1027" s="27">
        <v>2.5</v>
      </c>
      <c r="L1027" s="27" t="s">
        <v>12</v>
      </c>
      <c r="M1027" s="27" t="s">
        <v>46</v>
      </c>
      <c r="N1027" s="27" t="str">
        <f>IF(K1027="N/A","No", IF(K1027&gt;5000,"Yes","No"))</f>
        <v>No</v>
      </c>
      <c r="O1027" s="27" t="str">
        <f>IF(K1027="Not","No",IF(K1027="n/a","N/A",IF(K1027&gt;$Y$2,"Yes","No")))</f>
        <v>No</v>
      </c>
      <c r="Q1027" s="27" t="s">
        <v>118</v>
      </c>
      <c r="R1027" s="27" t="str">
        <f>IF(COUNTIF(R1024:R1026,"Yes"),"Yes","No")</f>
        <v>No</v>
      </c>
      <c r="S1027" s="27" t="str">
        <f>IF(COUNTIF(S1024:S1026,"Yes"),"Yes","No")</f>
        <v>Yes</v>
      </c>
      <c r="U1027" s="27" t="s">
        <v>164</v>
      </c>
      <c r="V1027" s="27" t="s">
        <v>9</v>
      </c>
      <c r="W1027" s="27" t="str">
        <f>O1027</f>
        <v>No</v>
      </c>
      <c r="X1027" s="27" t="str">
        <f t="shared" si="440"/>
        <v>Yes</v>
      </c>
    </row>
    <row r="1028" spans="1:38" x14ac:dyDescent="0.2">
      <c r="A1028" s="27" t="s">
        <v>71</v>
      </c>
      <c r="B1028" s="27" t="s">
        <v>40</v>
      </c>
      <c r="C1028" s="27">
        <v>0</v>
      </c>
      <c r="D1028" s="27" t="s">
        <v>4</v>
      </c>
      <c r="F1028" s="27" t="str">
        <f t="shared" si="437"/>
        <v>No</v>
      </c>
      <c r="G1028" s="27" t="s">
        <v>9</v>
      </c>
      <c r="H1028" s="27" t="s">
        <v>43</v>
      </c>
      <c r="J1028" s="27" t="s">
        <v>22</v>
      </c>
      <c r="K1028" s="27" t="s">
        <v>120</v>
      </c>
      <c r="L1028" s="27" t="s">
        <v>12</v>
      </c>
      <c r="M1028" s="27" t="s">
        <v>43</v>
      </c>
      <c r="N1028" s="27" t="str">
        <f>IF(K1028="N/A","No", IF(K1028&gt;5000,"Yes","No"))</f>
        <v>No</v>
      </c>
      <c r="O1028" s="27" t="str">
        <f>IF(K1028="Not","No",IF(K1028="n/a","N/A",IF(K1028&gt;$Y$2,"Yes","No")))</f>
        <v>N/A</v>
      </c>
      <c r="U1028" s="27" t="s">
        <v>162</v>
      </c>
      <c r="V1028" s="27" t="str">
        <f>R1025</f>
        <v>No</v>
      </c>
      <c r="W1028" s="27" t="str">
        <f>S1025</f>
        <v>No</v>
      </c>
      <c r="X1028" s="27" t="str">
        <f t="shared" si="440"/>
        <v>Yes</v>
      </c>
    </row>
    <row r="1029" spans="1:38" x14ac:dyDescent="0.2">
      <c r="A1029" s="27" t="s">
        <v>109</v>
      </c>
      <c r="B1029" s="27" t="s">
        <v>32</v>
      </c>
      <c r="C1029" s="27">
        <v>3</v>
      </c>
      <c r="D1029" s="27" t="s">
        <v>33</v>
      </c>
      <c r="F1029" s="27" t="str">
        <f t="shared" ref="F1029" si="441">IF(C1029&gt;$W$6,"Yes","No")</f>
        <v>No</v>
      </c>
      <c r="G1029" s="27" t="s">
        <v>9</v>
      </c>
      <c r="J1029" s="27" t="s">
        <v>25</v>
      </c>
      <c r="K1029" s="27">
        <v>2.5</v>
      </c>
      <c r="L1029" s="27" t="s">
        <v>12</v>
      </c>
      <c r="M1029" s="27" t="s">
        <v>126</v>
      </c>
      <c r="N1029" s="27" t="str">
        <f>IF(K1029="N/A","No", IF(K1029&gt;20,"Yes","No"))</f>
        <v>No</v>
      </c>
      <c r="O1029" s="27" t="str">
        <f t="shared" ref="O1029:O1030" si="442">IF(K1029="Not","No",IF(K1029="n/a","N/A",IF(K1029&gt;$Y$6,"Yes","No")))</f>
        <v>No</v>
      </c>
      <c r="U1029" s="27" t="s">
        <v>101</v>
      </c>
      <c r="V1029" s="27" t="s">
        <v>9</v>
      </c>
      <c r="W1029" s="27" t="s">
        <v>5</v>
      </c>
      <c r="X1029" s="27" t="str">
        <f>IF(V1029="N/A","N/A",IF(W1029="N/A", "N/A", IF(V1029=W1029, "Yes","No")))</f>
        <v>No</v>
      </c>
    </row>
    <row r="1030" spans="1:38" x14ac:dyDescent="0.2">
      <c r="A1030" s="27" t="s">
        <v>109</v>
      </c>
      <c r="B1030" s="27" t="s">
        <v>54</v>
      </c>
      <c r="C1030" s="27">
        <v>7.2</v>
      </c>
      <c r="D1030" s="27" t="s">
        <v>33</v>
      </c>
      <c r="F1030" s="27" t="str">
        <f>IF(C1030&gt;$W$5,"Yes","No")</f>
        <v>No</v>
      </c>
      <c r="G1030" s="27" t="s">
        <v>9</v>
      </c>
      <c r="J1030" s="27" t="s">
        <v>29</v>
      </c>
      <c r="K1030" s="27">
        <v>81</v>
      </c>
      <c r="L1030" s="27" t="s">
        <v>12</v>
      </c>
      <c r="M1030" s="27" t="s">
        <v>222</v>
      </c>
      <c r="N1030" s="27" t="str">
        <f>IF(K1030="N/A","No", IF(K1030&gt;20,"Yes","No"))</f>
        <v>Yes</v>
      </c>
      <c r="O1030" s="27" t="str">
        <f t="shared" si="442"/>
        <v>Yes</v>
      </c>
      <c r="U1030" s="27" t="s">
        <v>104</v>
      </c>
      <c r="V1030" s="27" t="s">
        <v>9</v>
      </c>
      <c r="W1030" s="27" t="str">
        <f>O1031</f>
        <v>No</v>
      </c>
      <c r="X1030" s="27" t="str">
        <f>IF(V1030="N/A","N/A",IF(W1030="N/A", "N/A", IF(V1030=W1030, "Yes","No")))</f>
        <v>Yes</v>
      </c>
    </row>
    <row r="1031" spans="1:38" x14ac:dyDescent="0.2">
      <c r="J1031" s="27" t="s">
        <v>34</v>
      </c>
      <c r="K1031" s="27">
        <v>2.5</v>
      </c>
      <c r="L1031" s="27" t="s">
        <v>12</v>
      </c>
      <c r="M1031" s="27" t="s">
        <v>210</v>
      </c>
      <c r="N1031" s="27" t="str">
        <f>IF(K1031="N/A","No", IF(K1031&gt;230,"Yes","No"))</f>
        <v>No</v>
      </c>
      <c r="O1031" s="27" t="str">
        <f>IF(K1031="Not","No",IF(K1031="n/a","N/A",IF(K1031&gt;$Y$5,"Yes","No")))</f>
        <v>No</v>
      </c>
      <c r="U1031" s="27" t="s">
        <v>106</v>
      </c>
      <c r="V1031" s="27" t="str">
        <f>R1026</f>
        <v>No</v>
      </c>
      <c r="W1031" s="27" t="str">
        <f>S1026</f>
        <v>Yes</v>
      </c>
      <c r="X1031" s="27" t="str">
        <f>IF(V1031="N/A","N/A",IF(W1031="N/A", "N/A", IF(V1031=W1031, "Yes","No")))</f>
        <v>No</v>
      </c>
    </row>
    <row r="1032" spans="1:38" x14ac:dyDescent="0.2">
      <c r="J1032" s="27" t="s">
        <v>208</v>
      </c>
      <c r="K1032" s="27">
        <v>34.700000000000003</v>
      </c>
      <c r="L1032" s="27" t="s">
        <v>12</v>
      </c>
      <c r="M1032" s="27" t="s">
        <v>223</v>
      </c>
      <c r="N1032" s="27" t="str">
        <f>IF(K1032="N/A","No", IF(K1032&gt;20,"Yes","No"))</f>
        <v>Yes</v>
      </c>
      <c r="O1032" s="27" t="str">
        <f>IF(K1032="Not","No",IF(K1032="n/a","N/A",IF(K1032&gt;$Y$7,"Yes","No")))</f>
        <v>No</v>
      </c>
      <c r="U1032" s="27" t="s">
        <v>121</v>
      </c>
      <c r="V1032" s="27" t="str">
        <f>R1027</f>
        <v>No</v>
      </c>
      <c r="W1032" s="27" t="str">
        <f>S1027</f>
        <v>Yes</v>
      </c>
      <c r="X1032" s="27" t="str">
        <f>IF(V1032="N/A","N/A",IF(W1032="N/A", "N/A", IF(V1032=W1032, "Yes","No")))</f>
        <v>No</v>
      </c>
    </row>
    <row r="1035" spans="1:38" x14ac:dyDescent="0.2">
      <c r="A1035" s="57">
        <v>1293</v>
      </c>
      <c r="B1035" s="27" t="s">
        <v>111</v>
      </c>
      <c r="C1035" s="27">
        <v>68</v>
      </c>
    </row>
    <row r="1036" spans="1:38" x14ac:dyDescent="0.2">
      <c r="A1036" s="59" t="s">
        <v>0</v>
      </c>
      <c r="E1036" s="27" t="s">
        <v>274</v>
      </c>
      <c r="F1036" s="27" t="s">
        <v>275</v>
      </c>
      <c r="G1036" s="27" t="s">
        <v>119</v>
      </c>
      <c r="J1036" s="59" t="s">
        <v>1</v>
      </c>
      <c r="N1036" s="27" t="s">
        <v>277</v>
      </c>
      <c r="O1036" s="27" t="s">
        <v>278</v>
      </c>
      <c r="Q1036" s="59" t="s">
        <v>115</v>
      </c>
      <c r="R1036" s="59" t="s">
        <v>0</v>
      </c>
      <c r="S1036" s="59" t="s">
        <v>1</v>
      </c>
      <c r="U1036" s="59" t="s">
        <v>115</v>
      </c>
      <c r="V1036" s="59" t="s">
        <v>0</v>
      </c>
      <c r="W1036" s="59" t="s">
        <v>1</v>
      </c>
      <c r="X1036" s="59" t="s">
        <v>122</v>
      </c>
      <c r="AA1036" s="27" t="str">
        <f>IF(R1037="Yes","LRA-Soil","")</f>
        <v/>
      </c>
      <c r="AB1036" s="27" t="str">
        <f>IF(R1038="Yes","LRA-Paint","")</f>
        <v/>
      </c>
      <c r="AC1036" s="27" t="str">
        <f>IF(R1039="Yes","LRA-Dust","")</f>
        <v/>
      </c>
      <c r="AD1036" s="27" t="str">
        <f>IF(S1037="Yes","LSK-Soil","")</f>
        <v>LSK-Soil</v>
      </c>
      <c r="AE1036" s="27" t="str">
        <f>IF(S1038="Yes","LSK-Paint","")</f>
        <v/>
      </c>
      <c r="AF1036" s="27" t="str">
        <f>IF(S1039="Yes","LSK-Dust","")</f>
        <v/>
      </c>
      <c r="AI1036" s="27" t="s">
        <v>46</v>
      </c>
      <c r="AJ1036" s="27" t="s">
        <v>43</v>
      </c>
      <c r="AK1036" s="27" t="s">
        <v>116</v>
      </c>
      <c r="AL1036" s="27" t="s">
        <v>117</v>
      </c>
    </row>
    <row r="1037" spans="1:38" x14ac:dyDescent="0.2">
      <c r="A1037" s="27" t="s">
        <v>63</v>
      </c>
      <c r="B1037" s="27" t="s">
        <v>18</v>
      </c>
      <c r="C1037" s="27">
        <v>0</v>
      </c>
      <c r="D1037" s="27" t="s">
        <v>4</v>
      </c>
      <c r="F1037" s="27" t="str">
        <f t="shared" ref="F1037" si="443">IF(C1037&gt;=$W$2,"Yes","No")</f>
        <v>No</v>
      </c>
      <c r="G1037" s="27" t="s">
        <v>9</v>
      </c>
      <c r="H1037" s="27" t="s">
        <v>46</v>
      </c>
      <c r="J1037" s="27" t="s">
        <v>6</v>
      </c>
      <c r="K1037" s="27">
        <v>253</v>
      </c>
      <c r="L1037" s="27" t="s">
        <v>12</v>
      </c>
      <c r="M1037" s="27" t="s">
        <v>114</v>
      </c>
      <c r="N1037" s="27" t="str">
        <f>IF(K1037="N/A","No", IF(K1037&gt;1200,"Yes","No"))</f>
        <v>No</v>
      </c>
      <c r="O1037" s="27" t="str">
        <f>IF(K1037="Not","No",IF(K1037="n/a","N/A",IF(K1037&gt;=$Y$3,"Yes","No")))</f>
        <v>No</v>
      </c>
      <c r="Q1037" s="27" t="s">
        <v>116</v>
      </c>
      <c r="R1037" s="27" t="str">
        <f>_xlfn.XLOOKUP("ppm",D1037:D1047,F1037:F1047,"N/A")</f>
        <v>No</v>
      </c>
      <c r="S1037" s="27" t="str">
        <f>IF(COUNTIF(O1037:O1039,"Yes"),"Yes","No")</f>
        <v>Yes</v>
      </c>
      <c r="U1037" s="27" t="s">
        <v>92</v>
      </c>
      <c r="V1037" s="27" t="s">
        <v>120</v>
      </c>
      <c r="W1037" s="27" t="s">
        <v>120</v>
      </c>
      <c r="X1037" s="27" t="str">
        <f>IF(V1037="N/A","N/A",IF(W1037="N/A", "N/A", IF(V1037=W1037, "Yes","No")))</f>
        <v>N/A</v>
      </c>
      <c r="AI1037" s="27">
        <f>COUNTIF(H1037:H1041,"Exterior")</f>
        <v>1</v>
      </c>
      <c r="AJ1037" s="27">
        <f>COUNTIF(H1037:H1041, "Interior")</f>
        <v>1</v>
      </c>
      <c r="AK1037" s="27">
        <f>COUNTIFS(D1037:D1041,"ppm")+COUNTIFS(D1037:D1041,"mg/Kg")</f>
        <v>1</v>
      </c>
      <c r="AL1037" s="27">
        <f>COUNTIF(D1037:D1041,"ug/ft2")</f>
        <v>2</v>
      </c>
    </row>
    <row r="1038" spans="1:38" x14ac:dyDescent="0.2">
      <c r="A1038" s="27" t="s">
        <v>75</v>
      </c>
      <c r="B1038" s="27" t="s">
        <v>399</v>
      </c>
      <c r="C1038" s="27">
        <v>225</v>
      </c>
      <c r="D1038" s="27" t="s">
        <v>12</v>
      </c>
      <c r="F1038" s="27" t="str">
        <f t="shared" ref="F1038" si="444">IF(C1038&gt;$W$3,"Yes","No")</f>
        <v>No</v>
      </c>
      <c r="G1038" s="27" t="s">
        <v>9</v>
      </c>
      <c r="J1038" s="27" t="s">
        <v>11</v>
      </c>
      <c r="K1038" s="27">
        <v>100</v>
      </c>
      <c r="L1038" s="27" t="s">
        <v>12</v>
      </c>
      <c r="M1038" s="27" t="s">
        <v>67</v>
      </c>
      <c r="N1038" s="27" t="str">
        <f t="shared" ref="N1038:N1039" si="445">IF(K1038="N/A","No", IF(K1038&gt;1200,"Yes","No"))</f>
        <v>No</v>
      </c>
      <c r="O1038" s="27" t="str">
        <f t="shared" ref="O1038:O1039" si="446">IF(K1038="Not","No",IF(K1038="n/a","N/A",IF(K1038&gt;$Y$3,"Yes","No")))</f>
        <v>No</v>
      </c>
      <c r="Q1038" s="27" t="s">
        <v>98</v>
      </c>
      <c r="R1038" s="63" t="s">
        <v>9</v>
      </c>
      <c r="S1038" s="27" t="str">
        <f>IF(COUNTIF(O1040:O1041,"Yes"),"Yes","No")</f>
        <v>No</v>
      </c>
      <c r="U1038" s="27" t="s">
        <v>95</v>
      </c>
      <c r="V1038" s="27" t="str">
        <f>R1037</f>
        <v>No</v>
      </c>
      <c r="W1038" s="27" t="str">
        <f>S1037</f>
        <v>Yes</v>
      </c>
      <c r="X1038" s="27" t="str">
        <f t="shared" ref="X1038:X1041" si="447">IF(V1038="N/A","N/A",IF(W1038="N/A", "N/A", IF(V1038=W1038, "Yes","No")))</f>
        <v>No</v>
      </c>
    </row>
    <row r="1039" spans="1:38" x14ac:dyDescent="0.2">
      <c r="A1039" s="27" t="s">
        <v>71</v>
      </c>
      <c r="B1039" s="27" t="s">
        <v>40</v>
      </c>
      <c r="C1039" s="27">
        <v>0</v>
      </c>
      <c r="D1039" s="27" t="s">
        <v>4</v>
      </c>
      <c r="F1039" s="27" t="str">
        <f t="shared" ref="F1039" si="448">IF(C1039&gt;=$W$2,"Yes","No")</f>
        <v>No</v>
      </c>
      <c r="G1039" s="27" t="s">
        <v>9</v>
      </c>
      <c r="H1039" s="27" t="s">
        <v>43</v>
      </c>
      <c r="J1039" s="27" t="s">
        <v>15</v>
      </c>
      <c r="K1039" s="27">
        <v>10249</v>
      </c>
      <c r="L1039" s="27" t="s">
        <v>12</v>
      </c>
      <c r="M1039" s="27" t="s">
        <v>112</v>
      </c>
      <c r="N1039" s="27" t="str">
        <f t="shared" si="445"/>
        <v>Yes</v>
      </c>
      <c r="O1039" s="27" t="str">
        <f t="shared" si="446"/>
        <v>Yes</v>
      </c>
      <c r="Q1039" s="27" t="s">
        <v>117</v>
      </c>
      <c r="R1039" s="27" t="str">
        <f>_xlfn.XLOOKUP("ug/ft2",D1037:D1047,F1037:F1047,"N/A")</f>
        <v>No</v>
      </c>
      <c r="S1039" s="27" t="str">
        <f>IF(COUNTIF(O1042:O1045,"Yes"),"Yes","No")</f>
        <v>No</v>
      </c>
      <c r="U1039" s="27" t="s">
        <v>163</v>
      </c>
      <c r="V1039" s="27" t="s">
        <v>9</v>
      </c>
      <c r="W1039" s="27" t="str">
        <f>O1041</f>
        <v>N/A</v>
      </c>
      <c r="X1039" s="27" t="str">
        <f t="shared" si="447"/>
        <v>N/A</v>
      </c>
    </row>
    <row r="1040" spans="1:38" x14ac:dyDescent="0.2">
      <c r="A1040" s="27" t="s">
        <v>158</v>
      </c>
      <c r="B1040" s="27" t="s">
        <v>32</v>
      </c>
      <c r="C1040" s="27">
        <v>3</v>
      </c>
      <c r="D1040" s="27" t="s">
        <v>33</v>
      </c>
      <c r="F1040" s="27" t="str">
        <f t="shared" ref="F1040" si="449">IF(C1040&gt;$W$6,"Yes","No")</f>
        <v>No</v>
      </c>
      <c r="G1040" s="27" t="s">
        <v>9</v>
      </c>
      <c r="J1040" s="27" t="s">
        <v>19</v>
      </c>
      <c r="K1040" s="27" t="s">
        <v>120</v>
      </c>
      <c r="L1040" s="27" t="s">
        <v>12</v>
      </c>
      <c r="M1040" s="27" t="s">
        <v>46</v>
      </c>
      <c r="N1040" s="27" t="str">
        <f>IF(K1040="N/A","No", IF(K1040&gt;5000,"Yes","No"))</f>
        <v>No</v>
      </c>
      <c r="O1040" s="27" t="str">
        <f>IF(K1040="Not","No",IF(K1040="n/a","N/A",IF(K1040&gt;$Y$2,"Yes","No")))</f>
        <v>N/A</v>
      </c>
      <c r="Q1040" s="27" t="s">
        <v>118</v>
      </c>
      <c r="R1040" s="27" t="str">
        <f>IF(COUNTIF(R1037:R1039,"Yes"),"Yes","No")</f>
        <v>No</v>
      </c>
      <c r="S1040" s="27" t="str">
        <f>IF(COUNTIF(S1037:S1039,"Yes"),"Yes","No")</f>
        <v>Yes</v>
      </c>
      <c r="U1040" s="27" t="s">
        <v>164</v>
      </c>
      <c r="V1040" s="27" t="s">
        <v>9</v>
      </c>
      <c r="W1040" s="27" t="str">
        <f>O1040</f>
        <v>N/A</v>
      </c>
      <c r="X1040" s="27" t="str">
        <f t="shared" si="447"/>
        <v>N/A</v>
      </c>
    </row>
    <row r="1041" spans="1:38" x14ac:dyDescent="0.2">
      <c r="A1041" s="27" t="s">
        <v>158</v>
      </c>
      <c r="B1041" s="27" t="s">
        <v>54</v>
      </c>
      <c r="C1041" s="27">
        <v>11</v>
      </c>
      <c r="D1041" s="27" t="s">
        <v>33</v>
      </c>
      <c r="F1041" s="27" t="str">
        <f>IF(C1041&gt;$W$5,"Yes","No")</f>
        <v>No</v>
      </c>
      <c r="G1041" s="27" t="s">
        <v>9</v>
      </c>
      <c r="J1041" s="27" t="s">
        <v>22</v>
      </c>
      <c r="K1041" s="27" t="s">
        <v>120</v>
      </c>
      <c r="L1041" s="27" t="s">
        <v>12</v>
      </c>
      <c r="M1041" s="27" t="s">
        <v>43</v>
      </c>
      <c r="N1041" s="27" t="str">
        <f>IF(K1041="N/A","No", IF(K1041&gt;5000,"Yes","No"))</f>
        <v>No</v>
      </c>
      <c r="O1041" s="27" t="str">
        <f>IF(K1041="Not","No",IF(K1041="n/a","N/A",IF(K1041&gt;$Y$2,"Yes","No")))</f>
        <v>N/A</v>
      </c>
      <c r="U1041" s="27" t="s">
        <v>162</v>
      </c>
      <c r="V1041" s="27" t="str">
        <f>R1038</f>
        <v>No</v>
      </c>
      <c r="W1041" s="27" t="str">
        <f>S1038</f>
        <v>No</v>
      </c>
      <c r="X1041" s="27" t="str">
        <f t="shared" si="447"/>
        <v>Yes</v>
      </c>
    </row>
    <row r="1042" spans="1:38" x14ac:dyDescent="0.2">
      <c r="J1042" s="27" t="s">
        <v>25</v>
      </c>
      <c r="K1042" s="27">
        <v>2.5</v>
      </c>
      <c r="L1042" s="27" t="s">
        <v>12</v>
      </c>
      <c r="M1042" s="27" t="s">
        <v>126</v>
      </c>
      <c r="N1042" s="27" t="str">
        <f>IF(K1042="N/A","No", IF(K1042&gt;20,"Yes","No"))</f>
        <v>No</v>
      </c>
      <c r="O1042" s="27" t="str">
        <f t="shared" ref="O1042:O1043" si="450">IF(K1042="Not","No",IF(K1042="n/a","N/A",IF(K1042&gt;$Y$6,"Yes","No")))</f>
        <v>No</v>
      </c>
      <c r="U1042" s="27" t="s">
        <v>101</v>
      </c>
      <c r="V1042" s="27" t="s">
        <v>9</v>
      </c>
      <c r="W1042" s="27" t="s">
        <v>9</v>
      </c>
      <c r="X1042" s="27" t="str">
        <f>IF(V1042="N/A","N/A",IF(W1042="N/A", "N/A", IF(V1042=W1042, "Yes","No")))</f>
        <v>Yes</v>
      </c>
    </row>
    <row r="1043" spans="1:38" x14ac:dyDescent="0.2">
      <c r="J1043" s="27" t="s">
        <v>29</v>
      </c>
      <c r="K1043" s="27">
        <v>2.5</v>
      </c>
      <c r="L1043" s="27" t="s">
        <v>12</v>
      </c>
      <c r="M1043" s="27" t="s">
        <v>222</v>
      </c>
      <c r="N1043" s="27" t="str">
        <f>IF(K1043="N/A","No", IF(K1043&gt;20,"Yes","No"))</f>
        <v>No</v>
      </c>
      <c r="O1043" s="27" t="str">
        <f t="shared" si="450"/>
        <v>No</v>
      </c>
      <c r="U1043" s="27" t="s">
        <v>104</v>
      </c>
      <c r="V1043" s="27" t="s">
        <v>9</v>
      </c>
      <c r="W1043" s="27" t="str">
        <f>O1044</f>
        <v>No</v>
      </c>
      <c r="X1043" s="27" t="str">
        <f>IF(V1043="N/A","N/A",IF(W1043="N/A", "N/A", IF(V1043=W1043, "Yes","No")))</f>
        <v>Yes</v>
      </c>
    </row>
    <row r="1044" spans="1:38" x14ac:dyDescent="0.2">
      <c r="J1044" s="27" t="s">
        <v>34</v>
      </c>
      <c r="K1044" s="27">
        <v>2.5</v>
      </c>
      <c r="L1044" s="27" t="s">
        <v>12</v>
      </c>
      <c r="M1044" s="27" t="s">
        <v>210</v>
      </c>
      <c r="N1044" s="27" t="str">
        <f>IF(K1044="N/A","No", IF(K1044&gt;230,"Yes","No"))</f>
        <v>No</v>
      </c>
      <c r="O1044" s="27" t="str">
        <f>IF(K1044="Not","No",IF(K1044="n/a","N/A",IF(K1044&gt;$Y$5,"Yes","No")))</f>
        <v>No</v>
      </c>
      <c r="U1044" s="27" t="s">
        <v>106</v>
      </c>
      <c r="V1044" s="27" t="str">
        <f>R1039</f>
        <v>No</v>
      </c>
      <c r="W1044" s="27" t="str">
        <f>S1039</f>
        <v>No</v>
      </c>
      <c r="X1044" s="27" t="str">
        <f>IF(V1044="N/A","N/A",IF(W1044="N/A", "N/A", IF(V1044=W1044, "Yes","No")))</f>
        <v>Yes</v>
      </c>
    </row>
    <row r="1045" spans="1:38" x14ac:dyDescent="0.2">
      <c r="J1045" s="27" t="s">
        <v>208</v>
      </c>
      <c r="K1045" s="27">
        <v>196</v>
      </c>
      <c r="L1045" s="27" t="s">
        <v>12</v>
      </c>
      <c r="M1045" s="27" t="s">
        <v>223</v>
      </c>
      <c r="N1045" s="27" t="str">
        <f>IF(K1045="N/A","No", IF(K1045&gt;20,"Yes","No"))</f>
        <v>Yes</v>
      </c>
      <c r="O1045" s="27" t="str">
        <f>IF(K1045="Not","No",IF(K1045="n/a","N/A",IF(K1045&gt;$Y$7,"Yes","No")))</f>
        <v>No</v>
      </c>
      <c r="U1045" s="27" t="s">
        <v>121</v>
      </c>
      <c r="V1045" s="27" t="str">
        <f>R1040</f>
        <v>No</v>
      </c>
      <c r="W1045" s="27" t="str">
        <f>S1040</f>
        <v>Yes</v>
      </c>
      <c r="X1045" s="27" t="str">
        <f>IF(V1045="N/A","N/A",IF(W1045="N/A", "N/A", IF(V1045=W1045, "Yes","No")))</f>
        <v>No</v>
      </c>
    </row>
    <row r="1047" spans="1:38" x14ac:dyDescent="0.2">
      <c r="A1047" s="27">
        <v>1305</v>
      </c>
      <c r="B1047" s="27" t="s">
        <v>319</v>
      </c>
      <c r="C1047" s="27">
        <v>69</v>
      </c>
    </row>
    <row r="1048" spans="1:38" x14ac:dyDescent="0.2">
      <c r="A1048" s="59" t="s">
        <v>0</v>
      </c>
      <c r="E1048" s="27" t="s">
        <v>274</v>
      </c>
      <c r="F1048" s="27" t="s">
        <v>275</v>
      </c>
      <c r="G1048" s="27" t="s">
        <v>119</v>
      </c>
      <c r="J1048" s="59" t="s">
        <v>1</v>
      </c>
      <c r="N1048" s="27" t="s">
        <v>277</v>
      </c>
      <c r="O1048" s="27" t="s">
        <v>278</v>
      </c>
      <c r="Q1048" s="59" t="s">
        <v>115</v>
      </c>
      <c r="R1048" s="59" t="s">
        <v>0</v>
      </c>
      <c r="S1048" s="59" t="s">
        <v>1</v>
      </c>
      <c r="U1048" s="59" t="s">
        <v>115</v>
      </c>
      <c r="V1048" s="59" t="s">
        <v>0</v>
      </c>
      <c r="W1048" s="59" t="s">
        <v>1</v>
      </c>
      <c r="X1048" s="59" t="s">
        <v>122</v>
      </c>
      <c r="AA1048" s="27" t="str">
        <f>IF(R1049="Yes","LRA-Soil","")</f>
        <v>LRA-Soil</v>
      </c>
      <c r="AB1048" s="27" t="str">
        <f>IF(R1050="Yes","LRA-Paint","")</f>
        <v>LRA-Paint</v>
      </c>
      <c r="AC1048" s="27" t="str">
        <f>IF(R1051="Yes","LRA-Dust","")</f>
        <v>LRA-Dust</v>
      </c>
      <c r="AD1048" s="27" t="str">
        <f>IF(S1049="Yes","LSK-Soil","")</f>
        <v>LSK-Soil</v>
      </c>
      <c r="AE1048" s="27" t="str">
        <f>IF(S1050="Yes","LSK-Paint","")</f>
        <v>LSK-Paint</v>
      </c>
      <c r="AF1048" s="27" t="str">
        <f>IF(S1051="Yes","LSK-Dust","")</f>
        <v/>
      </c>
      <c r="AI1048" s="27" t="s">
        <v>46</v>
      </c>
      <c r="AJ1048" s="27" t="s">
        <v>43</v>
      </c>
      <c r="AK1048" s="27" t="s">
        <v>116</v>
      </c>
      <c r="AL1048" s="27" t="s">
        <v>117</v>
      </c>
    </row>
    <row r="1049" spans="1:38" x14ac:dyDescent="0.2">
      <c r="A1049" s="27" t="s">
        <v>153</v>
      </c>
      <c r="B1049" s="27" t="s">
        <v>3</v>
      </c>
      <c r="C1049" s="27">
        <v>14.6</v>
      </c>
      <c r="D1049" s="27" t="s">
        <v>4</v>
      </c>
      <c r="F1049" s="27" t="str">
        <f t="shared" ref="F1049:F1055" si="451">IF(C1049&gt;=$W$2,"Yes","No")</f>
        <v>Yes</v>
      </c>
      <c r="G1049" s="27" t="s">
        <v>5</v>
      </c>
      <c r="H1049" s="27" t="s">
        <v>46</v>
      </c>
      <c r="J1049" s="27" t="s">
        <v>6</v>
      </c>
      <c r="K1049" s="27">
        <v>167</v>
      </c>
      <c r="L1049" s="27" t="s">
        <v>12</v>
      </c>
      <c r="M1049" s="27" t="s">
        <v>400</v>
      </c>
      <c r="N1049" s="27" t="str">
        <f>IF(K1049="N/A","No", IF(K1049&gt;1200,"Yes","No"))</f>
        <v>No</v>
      </c>
      <c r="O1049" s="27" t="str">
        <f>IF(K1049="Not","No",IF(K1049="n/a","N/A",IF(K1049&gt;=$Y$3,"Yes","No")))</f>
        <v>No</v>
      </c>
      <c r="Q1049" s="27" t="s">
        <v>116</v>
      </c>
      <c r="R1049" s="27" t="str">
        <f>_xlfn.XLOOKUP("ppm",D1049:D1064,F1049:F1064,"N/A")</f>
        <v>Yes</v>
      </c>
      <c r="S1049" s="27" t="str">
        <f>IF(COUNTIF(O1049:O1051,"Yes"),"Yes","No")</f>
        <v>Yes</v>
      </c>
      <c r="U1049" s="27" t="s">
        <v>92</v>
      </c>
      <c r="V1049" s="27" t="s">
        <v>120</v>
      </c>
      <c r="W1049" s="27" t="str">
        <f>O1049</f>
        <v>No</v>
      </c>
      <c r="X1049" s="27" t="str">
        <f>IF(V1049="N/A","N/A",IF(W1049="N/A", "N/A", IF(V1049=W1049, "Yes","No")))</f>
        <v>N/A</v>
      </c>
      <c r="AF1049" s="27" t="str">
        <f>IF(S1039="Yes","LSK-Dust","")</f>
        <v/>
      </c>
      <c r="AI1049" s="27">
        <f>COUNTIF(H1049:H1064,"Exterior")</f>
        <v>7</v>
      </c>
      <c r="AJ1049" s="27">
        <f>COUNTIF(H1049:H1064, "Interior")</f>
        <v>5</v>
      </c>
      <c r="AK1049" s="27">
        <f>COUNTIFS(D1049:D1064,"ppm")+COUNTIFS(D1049:D1064,"mg/Kg")</f>
        <v>1</v>
      </c>
      <c r="AL1049" s="27">
        <f>COUNTIF(D1049:D1064,"ug/ft2")</f>
        <v>3</v>
      </c>
    </row>
    <row r="1050" spans="1:38" x14ac:dyDescent="0.2">
      <c r="A1050" s="27" t="s">
        <v>63</v>
      </c>
      <c r="B1050" s="27" t="s">
        <v>10</v>
      </c>
      <c r="C1050" s="27">
        <v>12.4</v>
      </c>
      <c r="D1050" s="27" t="s">
        <v>4</v>
      </c>
      <c r="F1050" s="27" t="str">
        <f t="shared" si="451"/>
        <v>Yes</v>
      </c>
      <c r="G1050" s="27" t="s">
        <v>5</v>
      </c>
      <c r="H1050" s="27" t="s">
        <v>46</v>
      </c>
      <c r="J1050" s="27" t="s">
        <v>11</v>
      </c>
      <c r="K1050" s="27">
        <v>1443</v>
      </c>
      <c r="L1050" s="27" t="s">
        <v>12</v>
      </c>
      <c r="M1050" s="27" t="s">
        <v>401</v>
      </c>
      <c r="N1050" s="27" t="str">
        <f t="shared" ref="N1050:N1051" si="452">IF(K1050="N/A","No", IF(K1050&gt;1200,"Yes","No"))</f>
        <v>Yes</v>
      </c>
      <c r="O1050" s="27" t="str">
        <f t="shared" ref="O1050:O1051" si="453">IF(K1050="Not","No",IF(K1050="n/a","N/A",IF(K1050&gt;$Y$3,"Yes","No")))</f>
        <v>Yes</v>
      </c>
      <c r="Q1050" s="27" t="s">
        <v>98</v>
      </c>
      <c r="R1050" s="27" t="str">
        <f>_xlfn.XLOOKUP("mg/cm2",D1049:D1064,G1049:G1064,"N/A",1,-1)</f>
        <v>Yes</v>
      </c>
      <c r="S1050" s="27" t="str">
        <f>IF(COUNTIF(O1052:O1053,"Yes"),"Yes","No")</f>
        <v>Yes</v>
      </c>
      <c r="U1050" s="27" t="s">
        <v>95</v>
      </c>
      <c r="V1050" s="27" t="str">
        <f>R1049</f>
        <v>Yes</v>
      </c>
      <c r="W1050" s="27" t="str">
        <f>S1049</f>
        <v>Yes</v>
      </c>
      <c r="X1050" s="27" t="str">
        <f t="shared" ref="X1050:X1053" si="454">IF(V1050="N/A","N/A",IF(W1050="N/A", "N/A", IF(V1050=W1050, "Yes","No")))</f>
        <v>Yes</v>
      </c>
    </row>
    <row r="1051" spans="1:38" x14ac:dyDescent="0.2">
      <c r="A1051" s="27" t="s">
        <v>63</v>
      </c>
      <c r="B1051" s="27" t="s">
        <v>203</v>
      </c>
      <c r="C1051" s="27">
        <v>13</v>
      </c>
      <c r="D1051" s="27" t="s">
        <v>4</v>
      </c>
      <c r="F1051" s="27" t="str">
        <f t="shared" si="451"/>
        <v>Yes</v>
      </c>
      <c r="G1051" s="27" t="s">
        <v>5</v>
      </c>
      <c r="H1051" s="27" t="s">
        <v>46</v>
      </c>
      <c r="J1051" s="27" t="s">
        <v>15</v>
      </c>
      <c r="K1051" s="27" t="s">
        <v>120</v>
      </c>
      <c r="L1051" s="27" t="s">
        <v>12</v>
      </c>
      <c r="M1051" s="27" t="s">
        <v>66</v>
      </c>
      <c r="N1051" s="27" t="str">
        <f t="shared" si="452"/>
        <v>No</v>
      </c>
      <c r="O1051" s="27" t="str">
        <f t="shared" si="453"/>
        <v>N/A</v>
      </c>
      <c r="Q1051" s="27" t="s">
        <v>117</v>
      </c>
      <c r="R1051" s="27" t="str">
        <f>_xlfn.XLOOKUP("ug/ft2",D1049:D1064,F1049:F1064,"N/A")</f>
        <v>Yes</v>
      </c>
      <c r="S1051" s="27" t="str">
        <f>IF(COUNTIF(O1054:O1057,"Yes"),"Yes","No")</f>
        <v>No</v>
      </c>
      <c r="U1051" s="27" t="s">
        <v>163</v>
      </c>
      <c r="V1051" s="27" t="s">
        <v>5</v>
      </c>
      <c r="W1051" s="27" t="s">
        <v>9</v>
      </c>
      <c r="X1051" s="27" t="str">
        <f t="shared" si="454"/>
        <v>No</v>
      </c>
    </row>
    <row r="1052" spans="1:38" x14ac:dyDescent="0.2">
      <c r="A1052" s="27" t="s">
        <v>63</v>
      </c>
      <c r="B1052" s="27" t="s">
        <v>18</v>
      </c>
      <c r="C1052" s="27">
        <v>14.6</v>
      </c>
      <c r="D1052" s="27" t="s">
        <v>4</v>
      </c>
      <c r="F1052" s="27" t="str">
        <f t="shared" si="451"/>
        <v>Yes</v>
      </c>
      <c r="G1052" s="27" t="s">
        <v>5</v>
      </c>
      <c r="H1052" s="27" t="s">
        <v>46</v>
      </c>
      <c r="J1052" s="27" t="s">
        <v>19</v>
      </c>
      <c r="K1052" s="27">
        <v>0</v>
      </c>
      <c r="L1052" s="27" t="s">
        <v>12</v>
      </c>
      <c r="M1052" s="27" t="s">
        <v>70</v>
      </c>
      <c r="N1052" s="27" t="str">
        <f>IF(K1052="N/A","No", IF(K1052&gt;5000,"Yes","No"))</f>
        <v>No</v>
      </c>
      <c r="O1052" s="27" t="str">
        <f>IF(K1052="Not","No",IF(K1052="n/a","N/A",IF(K1052&gt;$Y$2,"Yes","No")))</f>
        <v>No</v>
      </c>
      <c r="Q1052" s="27" t="s">
        <v>118</v>
      </c>
      <c r="R1052" s="27" t="str">
        <f>IF(COUNTIF(R1049:R1051,"Yes"),"Yes","No")</f>
        <v>Yes</v>
      </c>
      <c r="S1052" s="27" t="str">
        <f>IF(COUNTIF(S1049:S1051,"Yes"),"Yes","No")</f>
        <v>Yes</v>
      </c>
      <c r="U1052" s="27" t="s">
        <v>164</v>
      </c>
      <c r="V1052" s="27" t="s">
        <v>5</v>
      </c>
      <c r="W1052" s="27" t="s">
        <v>5</v>
      </c>
      <c r="X1052" s="27" t="str">
        <f t="shared" si="454"/>
        <v>Yes</v>
      </c>
    </row>
    <row r="1053" spans="1:38" x14ac:dyDescent="0.2">
      <c r="A1053" s="27" t="s">
        <v>63</v>
      </c>
      <c r="B1053" s="27" t="s">
        <v>24</v>
      </c>
      <c r="C1053" s="27">
        <v>21.1</v>
      </c>
      <c r="D1053" s="27" t="s">
        <v>4</v>
      </c>
      <c r="F1053" s="27" t="str">
        <f t="shared" si="451"/>
        <v>Yes</v>
      </c>
      <c r="G1053" s="27" t="s">
        <v>5</v>
      </c>
      <c r="H1053" s="27" t="s">
        <v>46</v>
      </c>
      <c r="J1053" s="27" t="s">
        <v>22</v>
      </c>
      <c r="K1053" s="27">
        <v>146104</v>
      </c>
      <c r="L1053" s="27" t="s">
        <v>12</v>
      </c>
      <c r="M1053" s="27" t="s">
        <v>402</v>
      </c>
      <c r="N1053" s="27" t="str">
        <f>IF(K1053="N/A","No", IF(K1053&gt;5000,"Yes","No"))</f>
        <v>Yes</v>
      </c>
      <c r="O1053" s="27" t="str">
        <f>IF(K1053="Not","No",IF(K1053="n/a","N/A",IF(K1053&gt;$Y$2,"Yes","No")))</f>
        <v>Yes</v>
      </c>
      <c r="U1053" s="27" t="s">
        <v>162</v>
      </c>
      <c r="V1053" s="27" t="str">
        <f>R1050</f>
        <v>Yes</v>
      </c>
      <c r="W1053" s="27" t="str">
        <f>S1050</f>
        <v>Yes</v>
      </c>
      <c r="X1053" s="27" t="str">
        <f t="shared" si="454"/>
        <v>Yes</v>
      </c>
    </row>
    <row r="1054" spans="1:38" x14ac:dyDescent="0.2">
      <c r="A1054" s="27" t="s">
        <v>63</v>
      </c>
      <c r="B1054" s="27" t="s">
        <v>24</v>
      </c>
      <c r="C1054" s="27">
        <v>2.9</v>
      </c>
      <c r="D1054" s="27" t="s">
        <v>4</v>
      </c>
      <c r="F1054" s="27" t="str">
        <f t="shared" si="451"/>
        <v>Yes</v>
      </c>
      <c r="G1054" s="27" t="s">
        <v>5</v>
      </c>
      <c r="H1054" s="27" t="s">
        <v>46</v>
      </c>
      <c r="J1054" s="27" t="s">
        <v>25</v>
      </c>
      <c r="K1054" s="27">
        <v>64</v>
      </c>
      <c r="L1054" s="27" t="s">
        <v>12</v>
      </c>
      <c r="M1054" s="27" t="s">
        <v>48</v>
      </c>
      <c r="N1054" s="27" t="str">
        <f>IF(K1054="N/A","No", IF(K1054&gt;230,"Yes","No"))</f>
        <v>No</v>
      </c>
      <c r="O1054" s="27" t="str">
        <f>IF(K1054="Not","No",IF(K1054="n/a","N/A",IF(K1054&gt;$Y$5,"Yes","No")))</f>
        <v>No</v>
      </c>
      <c r="U1054" s="27" t="s">
        <v>101</v>
      </c>
      <c r="V1054" s="27" t="s">
        <v>5</v>
      </c>
      <c r="W1054" s="27" t="s">
        <v>9</v>
      </c>
      <c r="X1054" s="27" t="str">
        <f>IF(V1054="N/A","N/A",IF(W1054="N/A", "N/A", IF(V1054=W1054, "Yes","No")))</f>
        <v>No</v>
      </c>
    </row>
    <row r="1055" spans="1:38" x14ac:dyDescent="0.2">
      <c r="A1055" s="27" t="s">
        <v>63</v>
      </c>
      <c r="B1055" s="27" t="s">
        <v>24</v>
      </c>
      <c r="C1055" s="27">
        <v>14.6</v>
      </c>
      <c r="D1055" s="27" t="s">
        <v>4</v>
      </c>
      <c r="F1055" s="27" t="str">
        <f t="shared" si="451"/>
        <v>Yes</v>
      </c>
      <c r="G1055" s="27" t="s">
        <v>5</v>
      </c>
      <c r="H1055" s="27" t="s">
        <v>46</v>
      </c>
      <c r="J1055" s="27" t="s">
        <v>29</v>
      </c>
      <c r="K1055" s="27">
        <v>0</v>
      </c>
      <c r="L1055" s="27" t="s">
        <v>12</v>
      </c>
      <c r="M1055" s="27" t="s">
        <v>72</v>
      </c>
      <c r="N1055" s="27" t="str">
        <f>IF(K1055="N/A","No", IF(K1055&gt;20,"Yes","No"))</f>
        <v>No</v>
      </c>
      <c r="O1055" s="27" t="str">
        <f t="shared" ref="O1055:O1056" si="455">IF(K1055="Not","No",IF(K1055="n/a","N/A",IF(K1055&gt;$Y$6,"Yes","No")))</f>
        <v>No</v>
      </c>
      <c r="U1055" s="27" t="s">
        <v>104</v>
      </c>
      <c r="V1055" s="27" t="s">
        <v>5</v>
      </c>
      <c r="W1055" s="27" t="s">
        <v>9</v>
      </c>
      <c r="X1055" s="27" t="str">
        <f>IF(V1055="N/A","N/A",IF(W1055="N/A", "N/A", IF(V1055=W1055, "Yes","No")))</f>
        <v>No</v>
      </c>
    </row>
    <row r="1056" spans="1:38" x14ac:dyDescent="0.2">
      <c r="A1056" s="27" t="s">
        <v>75</v>
      </c>
      <c r="B1056" s="27" t="s">
        <v>301</v>
      </c>
      <c r="C1056" s="27">
        <v>1430</v>
      </c>
      <c r="D1056" s="27" t="s">
        <v>12</v>
      </c>
      <c r="F1056" s="27" t="str">
        <f t="shared" ref="F1056" si="456">IF(C1056&gt;$W$3,"Yes","No")</f>
        <v>Yes</v>
      </c>
      <c r="G1056" s="27" t="s">
        <v>5</v>
      </c>
      <c r="J1056" s="27" t="s">
        <v>34</v>
      </c>
      <c r="K1056" s="27">
        <v>0</v>
      </c>
      <c r="L1056" s="27" t="s">
        <v>12</v>
      </c>
      <c r="M1056" s="27" t="s">
        <v>81</v>
      </c>
      <c r="N1056" s="27" t="str">
        <f>IF(K1056="N/A","No", IF(K1056&gt;20,"Yes","No"))</f>
        <v>No</v>
      </c>
      <c r="O1056" s="27" t="str">
        <f t="shared" si="455"/>
        <v>No</v>
      </c>
      <c r="U1056" s="27" t="s">
        <v>106</v>
      </c>
      <c r="V1056" s="27" t="str">
        <f>R1051</f>
        <v>Yes</v>
      </c>
      <c r="W1056" s="27" t="str">
        <f>S1051</f>
        <v>No</v>
      </c>
      <c r="X1056" s="27" t="str">
        <f>IF(V1056="N/A","N/A",IF(W1056="N/A", "N/A", IF(V1056=W1056, "Yes","No")))</f>
        <v>No</v>
      </c>
    </row>
    <row r="1057" spans="1:38" x14ac:dyDescent="0.2">
      <c r="A1057" s="27" t="s">
        <v>245</v>
      </c>
      <c r="B1057" s="27" t="s">
        <v>40</v>
      </c>
      <c r="C1057" s="27">
        <v>1.5</v>
      </c>
      <c r="D1057" s="27" t="s">
        <v>4</v>
      </c>
      <c r="F1057" s="27" t="str">
        <f t="shared" ref="F1057:F1061" si="457">IF(C1057&gt;=$W$2,"Yes","No")</f>
        <v>Yes</v>
      </c>
      <c r="G1057" s="27" t="s">
        <v>5</v>
      </c>
      <c r="H1057" s="27" t="s">
        <v>43</v>
      </c>
      <c r="U1057" s="27" t="s">
        <v>121</v>
      </c>
      <c r="V1057" s="27" t="str">
        <f>R1052</f>
        <v>Yes</v>
      </c>
      <c r="W1057" s="27" t="str">
        <f>S1052</f>
        <v>Yes</v>
      </c>
      <c r="X1057" s="27" t="str">
        <f>IF(V1057="N/A","N/A",IF(W1057="N/A", "N/A", IF(V1057=W1057, "Yes","No")))</f>
        <v>Yes</v>
      </c>
    </row>
    <row r="1058" spans="1:38" x14ac:dyDescent="0.2">
      <c r="A1058" s="27" t="s">
        <v>113</v>
      </c>
      <c r="B1058" s="27" t="s">
        <v>40</v>
      </c>
      <c r="C1058" s="27">
        <v>2.2999999999999998</v>
      </c>
      <c r="D1058" s="27" t="s">
        <v>4</v>
      </c>
      <c r="F1058" s="27" t="str">
        <f t="shared" si="457"/>
        <v>Yes</v>
      </c>
      <c r="G1058" s="27" t="s">
        <v>5</v>
      </c>
      <c r="H1058" s="27" t="s">
        <v>43</v>
      </c>
    </row>
    <row r="1059" spans="1:38" x14ac:dyDescent="0.2">
      <c r="A1059" s="27" t="s">
        <v>70</v>
      </c>
      <c r="B1059" s="27" t="s">
        <v>40</v>
      </c>
      <c r="C1059" s="27">
        <v>2.2999999999999998</v>
      </c>
      <c r="D1059" s="27" t="s">
        <v>4</v>
      </c>
      <c r="F1059" s="27" t="str">
        <f t="shared" si="457"/>
        <v>Yes</v>
      </c>
      <c r="G1059" s="27" t="s">
        <v>5</v>
      </c>
      <c r="H1059" s="27" t="s">
        <v>43</v>
      </c>
    </row>
    <row r="1060" spans="1:38" x14ac:dyDescent="0.2">
      <c r="A1060" s="27" t="s">
        <v>70</v>
      </c>
      <c r="B1060" s="27" t="s">
        <v>40</v>
      </c>
      <c r="C1060" s="27">
        <v>2.7</v>
      </c>
      <c r="D1060" s="27" t="s">
        <v>4</v>
      </c>
      <c r="F1060" s="27" t="str">
        <f t="shared" si="457"/>
        <v>Yes</v>
      </c>
      <c r="G1060" s="27" t="s">
        <v>5</v>
      </c>
      <c r="H1060" s="27" t="s">
        <v>43</v>
      </c>
    </row>
    <row r="1061" spans="1:38" x14ac:dyDescent="0.2">
      <c r="A1061" s="27" t="s">
        <v>70</v>
      </c>
      <c r="B1061" s="27" t="s">
        <v>40</v>
      </c>
      <c r="C1061" s="27">
        <v>1.3</v>
      </c>
      <c r="D1061" s="27" t="s">
        <v>4</v>
      </c>
      <c r="F1061" s="27" t="str">
        <f t="shared" si="457"/>
        <v>Yes</v>
      </c>
      <c r="G1061" s="27" t="s">
        <v>5</v>
      </c>
      <c r="H1061" s="27" t="s">
        <v>43</v>
      </c>
      <c r="AF1061" s="27" t="str">
        <f>IF(S1051="Yes","LSK-Dust","")</f>
        <v/>
      </c>
    </row>
    <row r="1062" spans="1:38" x14ac:dyDescent="0.2">
      <c r="A1062" s="27" t="s">
        <v>293</v>
      </c>
      <c r="B1062" s="27" t="s">
        <v>54</v>
      </c>
      <c r="C1062" s="27">
        <v>880</v>
      </c>
      <c r="D1062" s="27" t="s">
        <v>33</v>
      </c>
      <c r="F1062" s="27" t="str">
        <f t="shared" ref="F1062:F1063" si="458">IF(C1062&gt;$W$5,"Yes","No")</f>
        <v>Yes</v>
      </c>
      <c r="G1062" s="27" t="s">
        <v>5</v>
      </c>
    </row>
    <row r="1063" spans="1:38" x14ac:dyDescent="0.2">
      <c r="A1063" s="27" t="s">
        <v>71</v>
      </c>
      <c r="B1063" s="27" t="s">
        <v>54</v>
      </c>
      <c r="C1063" s="27">
        <v>2000</v>
      </c>
      <c r="D1063" s="27" t="s">
        <v>33</v>
      </c>
      <c r="F1063" s="27" t="str">
        <f t="shared" si="458"/>
        <v>Yes</v>
      </c>
      <c r="G1063" s="27" t="s">
        <v>5</v>
      </c>
    </row>
    <row r="1064" spans="1:38" x14ac:dyDescent="0.2">
      <c r="A1064" s="27" t="s">
        <v>64</v>
      </c>
      <c r="B1064" s="27" t="s">
        <v>32</v>
      </c>
      <c r="C1064" s="27">
        <v>29</v>
      </c>
      <c r="D1064" s="27" t="s">
        <v>33</v>
      </c>
      <c r="F1064" s="27" t="str">
        <f t="shared" ref="F1064" si="459">IF(C1064&gt;$W$6,"Yes","No")</f>
        <v>Yes</v>
      </c>
      <c r="G1064" s="27" t="s">
        <v>5</v>
      </c>
    </row>
    <row r="1066" spans="1:38" x14ac:dyDescent="0.2">
      <c r="A1066" s="57">
        <v>1310</v>
      </c>
      <c r="B1066" s="27" t="s">
        <v>319</v>
      </c>
      <c r="C1066" s="27">
        <v>70</v>
      </c>
    </row>
    <row r="1067" spans="1:38" x14ac:dyDescent="0.2">
      <c r="A1067" s="59" t="s">
        <v>0</v>
      </c>
      <c r="E1067" s="27" t="s">
        <v>274</v>
      </c>
      <c r="F1067" s="27" t="s">
        <v>275</v>
      </c>
      <c r="G1067" s="27" t="s">
        <v>119</v>
      </c>
      <c r="J1067" s="59" t="s">
        <v>1</v>
      </c>
      <c r="N1067" s="27" t="s">
        <v>277</v>
      </c>
      <c r="O1067" s="27" t="s">
        <v>278</v>
      </c>
      <c r="Q1067" s="59" t="s">
        <v>115</v>
      </c>
      <c r="R1067" s="59" t="s">
        <v>0</v>
      </c>
      <c r="S1067" s="59" t="s">
        <v>1</v>
      </c>
      <c r="U1067" s="59" t="s">
        <v>115</v>
      </c>
      <c r="V1067" s="59" t="s">
        <v>0</v>
      </c>
      <c r="W1067" s="59" t="s">
        <v>1</v>
      </c>
      <c r="X1067" s="59" t="s">
        <v>122</v>
      </c>
      <c r="AA1067" s="27" t="str">
        <f>IF(R1068="Yes","LRA-Soil","")</f>
        <v/>
      </c>
      <c r="AB1067" s="27" t="str">
        <f>IF(R1069="Yes","LRA-Paint","")</f>
        <v>LRA-Paint</v>
      </c>
      <c r="AC1067" s="27" t="str">
        <f>IF(R1070="Yes","LRA-Dust","")</f>
        <v/>
      </c>
      <c r="AD1067" s="27" t="str">
        <f>IF(S1068="Yes","LSK-Soil","")</f>
        <v/>
      </c>
      <c r="AE1067" s="27" t="str">
        <f>IF(S1069="Yes","LSK-Paint","")</f>
        <v/>
      </c>
      <c r="AF1067" s="27" t="str">
        <f>IF(S1070="Yes","LSK-Dust","")</f>
        <v/>
      </c>
      <c r="AI1067" s="27" t="s">
        <v>46</v>
      </c>
      <c r="AJ1067" s="27" t="s">
        <v>43</v>
      </c>
      <c r="AK1067" s="27" t="s">
        <v>116</v>
      </c>
      <c r="AL1067" s="27" t="s">
        <v>117</v>
      </c>
    </row>
    <row r="1068" spans="1:38" x14ac:dyDescent="0.2">
      <c r="A1068" s="27" t="s">
        <v>63</v>
      </c>
      <c r="B1068" s="27" t="s">
        <v>24</v>
      </c>
      <c r="C1068" s="27">
        <v>0.14000000000000001</v>
      </c>
      <c r="D1068" s="27" t="s">
        <v>4</v>
      </c>
      <c r="F1068" s="27" t="str">
        <f t="shared" ref="F1068:F1073" si="460">IF(C1068&gt;=$W$2,"Yes","No")</f>
        <v>No</v>
      </c>
      <c r="G1068" s="27" t="s">
        <v>9</v>
      </c>
      <c r="H1068" s="27" t="s">
        <v>46</v>
      </c>
      <c r="J1068" s="27" t="s">
        <v>6</v>
      </c>
      <c r="K1068" s="27">
        <v>10</v>
      </c>
      <c r="L1068" s="27" t="s">
        <v>12</v>
      </c>
      <c r="M1068" s="27" t="s">
        <v>403</v>
      </c>
      <c r="N1068" s="27" t="str">
        <f>IF(K1068="N/A","No", IF(K1068&gt;1200,"Yes","No"))</f>
        <v>No</v>
      </c>
      <c r="O1068" s="27" t="str">
        <f>IF(K1068="Not","No",IF(K1068="n/a","N/A",IF(K1068&gt;=$Y$3,"Yes","No")))</f>
        <v>No</v>
      </c>
      <c r="Q1068" s="27" t="s">
        <v>116</v>
      </c>
      <c r="R1068" s="27" t="str">
        <f>_xlfn.XLOOKUP("ppm",D1068:D1075,F1068:F1075,"N/A")</f>
        <v>No</v>
      </c>
      <c r="S1068" s="27" t="str">
        <f>IF(COUNTIF(O1068:O1070,"Yes"),"Yes","No")</f>
        <v>No</v>
      </c>
      <c r="U1068" s="27" t="s">
        <v>92</v>
      </c>
      <c r="V1068" s="27" t="s">
        <v>120</v>
      </c>
      <c r="W1068" s="27" t="s">
        <v>120</v>
      </c>
      <c r="X1068" s="27" t="str">
        <f>IF(V1068="N/A","N/A",IF(W1068="N/A", "N/A", IF(V1068=W1068, "Yes","No")))</f>
        <v>N/A</v>
      </c>
      <c r="AI1068" s="27">
        <f>COUNTIF(H1068:H1075,"Exterior")</f>
        <v>1</v>
      </c>
      <c r="AJ1068" s="27">
        <f>COUNTIF(H1068:H1075, "Interior")</f>
        <v>4</v>
      </c>
      <c r="AK1068" s="27">
        <f>COUNTIFS(D1068:D1075,"ppm")+COUNTIFS(D1068:D1075,"mg/Kg")</f>
        <v>1</v>
      </c>
      <c r="AL1068" s="27">
        <f>COUNTIF(D1068:D1075,"ug/ft2")</f>
        <v>2</v>
      </c>
    </row>
    <row r="1069" spans="1:38" x14ac:dyDescent="0.2">
      <c r="A1069" s="27" t="s">
        <v>75</v>
      </c>
      <c r="B1069" s="27" t="s">
        <v>301</v>
      </c>
      <c r="C1069" s="27">
        <v>59</v>
      </c>
      <c r="D1069" s="27" t="s">
        <v>12</v>
      </c>
      <c r="F1069" s="27" t="str">
        <f t="shared" ref="F1069" si="461">IF(C1069&gt;$W$3,"Yes","No")</f>
        <v>No</v>
      </c>
      <c r="G1069" s="27" t="s">
        <v>9</v>
      </c>
      <c r="J1069" s="27" t="s">
        <v>11</v>
      </c>
      <c r="K1069" s="27">
        <v>41</v>
      </c>
      <c r="L1069" s="27" t="s">
        <v>12</v>
      </c>
      <c r="M1069" s="27" t="s">
        <v>404</v>
      </c>
      <c r="N1069" s="27" t="str">
        <f t="shared" ref="N1069:N1070" si="462">IF(K1069="N/A","No", IF(K1069&gt;1200,"Yes","No"))</f>
        <v>No</v>
      </c>
      <c r="O1069" s="27" t="str">
        <f t="shared" ref="O1069:O1070" si="463">IF(K1069="Not","No",IF(K1069="n/a","N/A",IF(K1069&gt;$Y$3,"Yes","No")))</f>
        <v>No</v>
      </c>
      <c r="Q1069" s="27" t="s">
        <v>98</v>
      </c>
      <c r="R1069" s="63" t="s">
        <v>5</v>
      </c>
      <c r="S1069" s="27" t="str">
        <f>IF(COUNTIF(O1071:O1072,"Yes"),"Yes","No")</f>
        <v>No</v>
      </c>
      <c r="U1069" s="27" t="s">
        <v>95</v>
      </c>
      <c r="V1069" s="27" t="str">
        <f>R1068</f>
        <v>No</v>
      </c>
      <c r="W1069" s="27" t="str">
        <f>S1068</f>
        <v>No</v>
      </c>
      <c r="X1069" s="27" t="str">
        <f t="shared" ref="X1069:X1072" si="464">IF(V1069="N/A","N/A",IF(W1069="N/A", "N/A", IF(V1069=W1069, "Yes","No")))</f>
        <v>Yes</v>
      </c>
    </row>
    <row r="1070" spans="1:38" x14ac:dyDescent="0.2">
      <c r="A1070" s="27" t="s">
        <v>113</v>
      </c>
      <c r="B1070" s="27" t="s">
        <v>40</v>
      </c>
      <c r="C1070" s="27">
        <v>3.2</v>
      </c>
      <c r="D1070" s="27" t="s">
        <v>4</v>
      </c>
      <c r="F1070" s="27" t="str">
        <f t="shared" si="460"/>
        <v>Yes</v>
      </c>
      <c r="G1070" s="27" t="s">
        <v>9</v>
      </c>
      <c r="H1070" s="27" t="s">
        <v>43</v>
      </c>
      <c r="J1070" s="27" t="s">
        <v>15</v>
      </c>
      <c r="K1070" s="27">
        <v>33</v>
      </c>
      <c r="L1070" s="27" t="s">
        <v>12</v>
      </c>
      <c r="M1070" s="27" t="s">
        <v>67</v>
      </c>
      <c r="N1070" s="27" t="str">
        <f t="shared" si="462"/>
        <v>No</v>
      </c>
      <c r="O1070" s="27" t="str">
        <f t="shared" si="463"/>
        <v>No</v>
      </c>
      <c r="Q1070" s="27" t="s">
        <v>117</v>
      </c>
      <c r="R1070" s="27" t="str">
        <f>_xlfn.XLOOKUP("ug/ft2",D1068:D1075,F1068:F1075,"N/A")</f>
        <v>No</v>
      </c>
      <c r="S1070" s="27" t="str">
        <f>IF(COUNTIF(O1073:O1076,"Yes"),"Yes","No")</f>
        <v>No</v>
      </c>
      <c r="U1070" s="27" t="s">
        <v>163</v>
      </c>
      <c r="V1070" s="27" t="s">
        <v>5</v>
      </c>
      <c r="W1070" s="27" t="s">
        <v>9</v>
      </c>
      <c r="X1070" s="27" t="str">
        <f t="shared" si="464"/>
        <v>No</v>
      </c>
    </row>
    <row r="1071" spans="1:38" x14ac:dyDescent="0.2">
      <c r="A1071" s="27" t="s">
        <v>71</v>
      </c>
      <c r="B1071" s="27" t="s">
        <v>40</v>
      </c>
      <c r="C1071" s="27">
        <v>1.5</v>
      </c>
      <c r="D1071" s="27" t="s">
        <v>4</v>
      </c>
      <c r="F1071" s="27" t="str">
        <f t="shared" si="460"/>
        <v>Yes</v>
      </c>
      <c r="G1071" s="27" t="s">
        <v>9</v>
      </c>
      <c r="H1071" s="27" t="s">
        <v>43</v>
      </c>
      <c r="J1071" s="27" t="s">
        <v>19</v>
      </c>
      <c r="K1071" s="27">
        <v>507</v>
      </c>
      <c r="L1071" s="27" t="s">
        <v>12</v>
      </c>
      <c r="M1071" s="27" t="s">
        <v>70</v>
      </c>
      <c r="N1071" s="27" t="str">
        <f>IF(K1071="N/A","No", IF(K1071&gt;5000,"Yes","No"))</f>
        <v>No</v>
      </c>
      <c r="O1071" s="27" t="str">
        <f>IF(K1071="Not","No",IF(K1071="n/a","N/A",IF(K1071&gt;$Y$2,"Yes","No")))</f>
        <v>No</v>
      </c>
      <c r="Q1071" s="27" t="s">
        <v>118</v>
      </c>
      <c r="R1071" s="27" t="str">
        <f>IF(COUNTIF(R1068:R1070,"Yes"),"Yes","No")</f>
        <v>Yes</v>
      </c>
      <c r="S1071" s="27" t="str">
        <f>IF(COUNTIF(S1068:S1070,"Yes"),"Yes","No")</f>
        <v>No</v>
      </c>
      <c r="U1071" s="27" t="s">
        <v>164</v>
      </c>
      <c r="V1071" s="27" t="s">
        <v>9</v>
      </c>
      <c r="W1071" s="27" t="s">
        <v>9</v>
      </c>
      <c r="X1071" s="27" t="str">
        <f t="shared" si="464"/>
        <v>Yes</v>
      </c>
    </row>
    <row r="1072" spans="1:38" x14ac:dyDescent="0.2">
      <c r="A1072" s="27" t="s">
        <v>70</v>
      </c>
      <c r="B1072" s="27" t="s">
        <v>40</v>
      </c>
      <c r="C1072" s="27">
        <v>1.7</v>
      </c>
      <c r="D1072" s="27" t="s">
        <v>4</v>
      </c>
      <c r="F1072" s="27" t="str">
        <f t="shared" si="460"/>
        <v>Yes</v>
      </c>
      <c r="G1072" s="27" t="s">
        <v>5</v>
      </c>
      <c r="H1072" s="27" t="s">
        <v>43</v>
      </c>
      <c r="J1072" s="27" t="s">
        <v>22</v>
      </c>
      <c r="K1072" s="27">
        <v>0</v>
      </c>
      <c r="L1072" s="27" t="s">
        <v>12</v>
      </c>
      <c r="M1072" s="27" t="s">
        <v>36</v>
      </c>
      <c r="N1072" s="27" t="str">
        <f>IF(K1072="N/A","No", IF(K1072&gt;5000,"Yes","No"))</f>
        <v>No</v>
      </c>
      <c r="O1072" s="27" t="str">
        <f>IF(K1072="Not","No",IF(K1072="n/a","N/A",IF(K1072&gt;$Y$2,"Yes","No")))</f>
        <v>No</v>
      </c>
      <c r="U1072" s="27" t="s">
        <v>162</v>
      </c>
      <c r="V1072" s="27" t="str">
        <f>R1069</f>
        <v>Yes</v>
      </c>
      <c r="W1072" s="27" t="str">
        <f>S1069</f>
        <v>No</v>
      </c>
      <c r="X1072" s="27" t="str">
        <f t="shared" si="464"/>
        <v>No</v>
      </c>
    </row>
    <row r="1073" spans="1:38" x14ac:dyDescent="0.2">
      <c r="A1073" s="27" t="s">
        <v>70</v>
      </c>
      <c r="B1073" s="27" t="s">
        <v>40</v>
      </c>
      <c r="C1073" s="27">
        <v>1</v>
      </c>
      <c r="D1073" s="27" t="s">
        <v>4</v>
      </c>
      <c r="F1073" s="27" t="str">
        <f t="shared" si="460"/>
        <v>Yes</v>
      </c>
      <c r="G1073" s="27" t="s">
        <v>9</v>
      </c>
      <c r="H1073" s="27" t="s">
        <v>43</v>
      </c>
      <c r="J1073" s="27" t="s">
        <v>25</v>
      </c>
      <c r="K1073" s="27">
        <v>0</v>
      </c>
      <c r="L1073" s="27" t="s">
        <v>12</v>
      </c>
      <c r="M1073" s="27" t="s">
        <v>405</v>
      </c>
      <c r="N1073" s="27" t="str">
        <f t="shared" ref="N1073:N1075" si="465">IF(K1073="N/A","No", IF(K1073&gt;20,"Yes","No"))</f>
        <v>No</v>
      </c>
      <c r="O1073" s="27" t="str">
        <f>IF(K1073="Not","No",IF(K1073="n/a","N/A",IF(K1073&gt;$Y$5,"Yes","No")))</f>
        <v>No</v>
      </c>
      <c r="U1073" s="27" t="s">
        <v>101</v>
      </c>
      <c r="V1073" s="27" t="s">
        <v>9</v>
      </c>
      <c r="W1073" s="27" t="s">
        <v>9</v>
      </c>
      <c r="X1073" s="27" t="str">
        <f>IF(V1073="N/A","N/A",IF(W1073="N/A", "N/A", IF(V1073=W1073, "Yes","No")))</f>
        <v>Yes</v>
      </c>
    </row>
    <row r="1074" spans="1:38" x14ac:dyDescent="0.2">
      <c r="A1074" s="27" t="s">
        <v>293</v>
      </c>
      <c r="B1074" s="27" t="s">
        <v>32</v>
      </c>
      <c r="C1074" s="27">
        <v>3</v>
      </c>
      <c r="D1074" s="27" t="s">
        <v>33</v>
      </c>
      <c r="F1074" s="27" t="str">
        <f t="shared" ref="F1074" si="466">IF(C1074&gt;$W$6,"Yes","No")</f>
        <v>No</v>
      </c>
      <c r="G1074" s="27" t="s">
        <v>9</v>
      </c>
      <c r="J1074" s="27" t="s">
        <v>29</v>
      </c>
      <c r="K1074" s="27">
        <v>0</v>
      </c>
      <c r="L1074" s="27" t="s">
        <v>12</v>
      </c>
      <c r="M1074" s="27" t="s">
        <v>60</v>
      </c>
      <c r="N1074" s="27" t="str">
        <f t="shared" si="465"/>
        <v>No</v>
      </c>
      <c r="O1074" s="27" t="str">
        <f t="shared" ref="O1074:O1075" si="467">IF(K1074="Not","No",IF(K1074="n/a","N/A",IF(K1074&gt;$Y$6,"Yes","No")))</f>
        <v>No</v>
      </c>
      <c r="U1074" s="27" t="s">
        <v>104</v>
      </c>
      <c r="V1074" s="27" t="s">
        <v>9</v>
      </c>
      <c r="W1074" s="27" t="s">
        <v>9</v>
      </c>
      <c r="X1074" s="27" t="str">
        <f>IF(V1074="N/A","N/A",IF(W1074="N/A", "N/A", IF(V1074=W1074, "Yes","No")))</f>
        <v>Yes</v>
      </c>
    </row>
    <row r="1075" spans="1:38" x14ac:dyDescent="0.2">
      <c r="A1075" s="27" t="s">
        <v>293</v>
      </c>
      <c r="B1075" s="27" t="s">
        <v>54</v>
      </c>
      <c r="C1075" s="27">
        <v>14</v>
      </c>
      <c r="D1075" s="27" t="s">
        <v>33</v>
      </c>
      <c r="F1075" s="27" t="str">
        <f t="shared" ref="F1075" si="468">IF(C1075&gt;$W$5,"Yes","No")</f>
        <v>No</v>
      </c>
      <c r="G1075" s="27" t="s">
        <v>9</v>
      </c>
      <c r="J1075" s="27" t="s">
        <v>34</v>
      </c>
      <c r="K1075" s="27">
        <v>0</v>
      </c>
      <c r="L1075" s="27" t="s">
        <v>12</v>
      </c>
      <c r="M1075" s="27" t="s">
        <v>406</v>
      </c>
      <c r="N1075" s="27" t="str">
        <f t="shared" si="465"/>
        <v>No</v>
      </c>
      <c r="O1075" s="27" t="str">
        <f t="shared" si="467"/>
        <v>No</v>
      </c>
      <c r="U1075" s="27" t="s">
        <v>106</v>
      </c>
      <c r="V1075" s="27" t="str">
        <f>R1070</f>
        <v>No</v>
      </c>
      <c r="W1075" s="27" t="str">
        <f>S1070</f>
        <v>No</v>
      </c>
      <c r="X1075" s="27" t="str">
        <f>IF(V1075="N/A","N/A",IF(W1075="N/A", "N/A", IF(V1075=W1075, "Yes","No")))</f>
        <v>Yes</v>
      </c>
    </row>
    <row r="1076" spans="1:38" x14ac:dyDescent="0.2">
      <c r="U1076" s="27" t="s">
        <v>121</v>
      </c>
      <c r="V1076" s="27" t="str">
        <f>R1071</f>
        <v>Yes</v>
      </c>
      <c r="W1076" s="27" t="str">
        <f>S1071</f>
        <v>No</v>
      </c>
      <c r="X1076" s="27" t="str">
        <f>IF(V1076="N/A","N/A",IF(W1076="N/A", "N/A", IF(V1076=W1076, "Yes","No")))</f>
        <v>No</v>
      </c>
    </row>
    <row r="1078" spans="1:38" x14ac:dyDescent="0.2">
      <c r="A1078" s="62">
        <v>1317</v>
      </c>
      <c r="B1078" s="27" t="s">
        <v>319</v>
      </c>
      <c r="C1078" s="27">
        <v>71</v>
      </c>
    </row>
    <row r="1079" spans="1:38" x14ac:dyDescent="0.2">
      <c r="A1079" s="59" t="s">
        <v>0</v>
      </c>
      <c r="E1079" s="27" t="s">
        <v>274</v>
      </c>
      <c r="F1079" s="27" t="s">
        <v>275</v>
      </c>
      <c r="G1079" s="27" t="s">
        <v>119</v>
      </c>
      <c r="J1079" s="59" t="s">
        <v>1</v>
      </c>
      <c r="N1079" s="27" t="s">
        <v>277</v>
      </c>
      <c r="O1079" s="27" t="s">
        <v>278</v>
      </c>
      <c r="Q1079" s="59" t="s">
        <v>115</v>
      </c>
      <c r="R1079" s="59" t="s">
        <v>0</v>
      </c>
      <c r="S1079" s="59" t="s">
        <v>1</v>
      </c>
      <c r="U1079" s="59" t="s">
        <v>115</v>
      </c>
      <c r="V1079" s="59" t="s">
        <v>0</v>
      </c>
      <c r="W1079" s="59" t="s">
        <v>1</v>
      </c>
      <c r="X1079" s="59" t="s">
        <v>122</v>
      </c>
      <c r="AA1079" s="27" t="str">
        <f>IF(R1080="Yes","LRA-Soil","")</f>
        <v/>
      </c>
      <c r="AB1079" s="27" t="str">
        <f>IF(R1081="Yes","LRA-Paint","")</f>
        <v/>
      </c>
      <c r="AC1079" s="27" t="str">
        <f>IF(R1082="Yes","LRA-Dust","")</f>
        <v>LRA-Dust</v>
      </c>
      <c r="AD1079" s="27" t="str">
        <f>IF(S1080="Yes","LSK-Soil","")</f>
        <v/>
      </c>
      <c r="AE1079" s="27" t="str">
        <f>IF(S1081="Yes","LSK-Paint","")</f>
        <v/>
      </c>
      <c r="AF1079" s="27" t="str">
        <f>IF(S1082="Yes","LSK-Dust","")</f>
        <v/>
      </c>
      <c r="AI1079" s="27" t="s">
        <v>46</v>
      </c>
      <c r="AJ1079" s="27" t="s">
        <v>43</v>
      </c>
      <c r="AK1079" s="27" t="s">
        <v>116</v>
      </c>
      <c r="AL1079" s="27" t="s">
        <v>117</v>
      </c>
    </row>
    <row r="1080" spans="1:38" x14ac:dyDescent="0.2">
      <c r="A1080" s="27" t="s">
        <v>63</v>
      </c>
      <c r="B1080" s="27" t="s">
        <v>10</v>
      </c>
      <c r="C1080" s="27">
        <v>1.5</v>
      </c>
      <c r="D1080" s="27" t="s">
        <v>4</v>
      </c>
      <c r="F1080" s="27" t="str">
        <f t="shared" ref="F1080" si="469">IF(C1080&gt;=$W$2,"Yes","No")</f>
        <v>Yes</v>
      </c>
      <c r="G1080" s="27" t="s">
        <v>5</v>
      </c>
      <c r="H1080" s="27" t="s">
        <v>46</v>
      </c>
      <c r="J1080" s="27" t="s">
        <v>6</v>
      </c>
      <c r="K1080" s="27">
        <v>374</v>
      </c>
      <c r="L1080" s="27" t="s">
        <v>12</v>
      </c>
      <c r="M1080" s="27" t="s">
        <v>407</v>
      </c>
      <c r="N1080" s="27" t="str">
        <f>IF(K1080="N/A","No", IF(K1080&gt;1200,"Yes","No"))</f>
        <v>No</v>
      </c>
      <c r="O1080" s="27" t="str">
        <f>IF(K1080="Not","No",IF(K1080="n/a","N/A",IF(K1080&gt;=$Y$3,"Yes","No")))</f>
        <v>No</v>
      </c>
      <c r="Q1080" s="27" t="s">
        <v>116</v>
      </c>
      <c r="R1080" s="27" t="str">
        <f>_xlfn.XLOOKUP("ppm",D1080:D1087,F1080:F1087,"N/A")</f>
        <v>No</v>
      </c>
      <c r="S1080" s="27" t="str">
        <f>IF(COUNTIF(O1080:O1082,"Yes"),"Yes","No")</f>
        <v>No</v>
      </c>
      <c r="U1080" s="27" t="s">
        <v>92</v>
      </c>
      <c r="V1080" s="27" t="s">
        <v>120</v>
      </c>
      <c r="W1080" s="27" t="s">
        <v>120</v>
      </c>
      <c r="X1080" s="27" t="str">
        <f>IF(V1080="N/A","N/A",IF(W1080="N/A", "N/A", IF(V1080=W1080, "Yes","No")))</f>
        <v>N/A</v>
      </c>
      <c r="AF1080" s="27" t="str">
        <f>IF(S1070="Yes","LSK-Dust","")</f>
        <v/>
      </c>
      <c r="AI1080" s="27">
        <f>COUNTIF(H1080:H1084,"Exterior")</f>
        <v>1</v>
      </c>
      <c r="AJ1080" s="27">
        <f>COUNTIF(H1080:H1084, "Interior")</f>
        <v>2</v>
      </c>
      <c r="AK1080" s="27">
        <f>COUNTIFS(D1080:D1084,"ppm")+COUNTIFS(D1080:D1084,"mg/Kg")</f>
        <v>1</v>
      </c>
      <c r="AL1080" s="27">
        <f>COUNTIF(D1080:D1084,"ug/ft2")</f>
        <v>1</v>
      </c>
    </row>
    <row r="1081" spans="1:38" x14ac:dyDescent="0.2">
      <c r="A1081" s="27" t="s">
        <v>83</v>
      </c>
      <c r="B1081" s="27" t="s">
        <v>399</v>
      </c>
      <c r="C1081" s="27" t="s">
        <v>397</v>
      </c>
      <c r="D1081" s="27" t="s">
        <v>12</v>
      </c>
      <c r="F1081" s="63" t="s">
        <v>9</v>
      </c>
      <c r="G1081" s="27" t="s">
        <v>9</v>
      </c>
      <c r="J1081" s="27" t="s">
        <v>11</v>
      </c>
      <c r="K1081" s="27">
        <v>37</v>
      </c>
      <c r="L1081" s="27" t="s">
        <v>12</v>
      </c>
      <c r="M1081" s="27" t="s">
        <v>408</v>
      </c>
      <c r="N1081" s="27" t="str">
        <f t="shared" ref="N1081:N1082" si="470">IF(K1081="N/A","No", IF(K1081&gt;1200,"Yes","No"))</f>
        <v>No</v>
      </c>
      <c r="O1081" s="27" t="str">
        <f t="shared" ref="O1081:O1082" si="471">IF(K1081="Not","No",IF(K1081="n/a","N/A",IF(K1081&gt;$Y$3,"Yes","No")))</f>
        <v>No</v>
      </c>
      <c r="Q1081" s="27" t="s">
        <v>98</v>
      </c>
      <c r="R1081" s="27" t="str">
        <f>_xlfn.XLOOKUP("mg/cm2",D1080:D1084,G1080:G1084,"N/A",1,-1)</f>
        <v>No</v>
      </c>
      <c r="S1081" s="27" t="str">
        <f>IF(COUNTIF(O1083:O1084,"Yes"),"Yes","No")</f>
        <v>No</v>
      </c>
      <c r="U1081" s="27" t="s">
        <v>95</v>
      </c>
      <c r="V1081" s="27" t="str">
        <f>R1080</f>
        <v>No</v>
      </c>
      <c r="W1081" s="27" t="str">
        <f>S1080</f>
        <v>No</v>
      </c>
      <c r="X1081" s="27" t="str">
        <f t="shared" ref="X1081:X1084" si="472">IF(V1081="N/A","N/A",IF(W1081="N/A", "N/A", IF(V1081=W1081, "Yes","No")))</f>
        <v>Yes</v>
      </c>
    </row>
    <row r="1082" spans="1:38" x14ac:dyDescent="0.2">
      <c r="A1082" s="27" t="s">
        <v>113</v>
      </c>
      <c r="B1082" s="27" t="s">
        <v>155</v>
      </c>
      <c r="C1082" s="27">
        <v>0.28999999999999998</v>
      </c>
      <c r="D1082" s="27" t="s">
        <v>4</v>
      </c>
      <c r="F1082" s="27" t="str">
        <f t="shared" ref="F1082:F1083" si="473">IF(C1082&gt;=$W$2,"Yes","No")</f>
        <v>No</v>
      </c>
      <c r="G1082" s="27" t="s">
        <v>9</v>
      </c>
      <c r="H1082" s="27" t="s">
        <v>43</v>
      </c>
      <c r="J1082" s="27" t="s">
        <v>15</v>
      </c>
      <c r="K1082" s="27">
        <v>79</v>
      </c>
      <c r="L1082" s="27" t="s">
        <v>12</v>
      </c>
      <c r="M1082" s="27" t="s">
        <v>409</v>
      </c>
      <c r="N1082" s="27" t="str">
        <f t="shared" si="470"/>
        <v>No</v>
      </c>
      <c r="O1082" s="27" t="str">
        <f t="shared" si="471"/>
        <v>No</v>
      </c>
      <c r="Q1082" s="27" t="s">
        <v>117</v>
      </c>
      <c r="R1082" s="27" t="str">
        <f>_xlfn.XLOOKUP("ug/ft2",D1080:D1084,F1080:F1084,"N/A")</f>
        <v>Yes</v>
      </c>
      <c r="S1082" s="27" t="str">
        <f>IF(COUNTIF(O1085:O1088,"Yes"),"Yes","No")</f>
        <v>No</v>
      </c>
      <c r="U1082" s="27" t="s">
        <v>163</v>
      </c>
      <c r="V1082" s="27" t="s">
        <v>9</v>
      </c>
      <c r="W1082" s="27" t="s">
        <v>9</v>
      </c>
      <c r="X1082" s="27" t="str">
        <f t="shared" si="472"/>
        <v>Yes</v>
      </c>
    </row>
    <row r="1083" spans="1:38" x14ac:dyDescent="0.2">
      <c r="A1083" s="27" t="s">
        <v>70</v>
      </c>
      <c r="B1083" s="27" t="s">
        <v>155</v>
      </c>
      <c r="C1083" s="27">
        <v>16.5</v>
      </c>
      <c r="D1083" s="27" t="s">
        <v>4</v>
      </c>
      <c r="F1083" s="27" t="str">
        <f t="shared" si="473"/>
        <v>Yes</v>
      </c>
      <c r="G1083" s="27" t="s">
        <v>9</v>
      </c>
      <c r="H1083" s="27" t="s">
        <v>43</v>
      </c>
      <c r="J1083" s="27" t="s">
        <v>19</v>
      </c>
      <c r="K1083" s="27">
        <v>1</v>
      </c>
      <c r="L1083" s="27" t="s">
        <v>12</v>
      </c>
      <c r="M1083" s="27" t="s">
        <v>70</v>
      </c>
      <c r="N1083" s="27" t="str">
        <f>IF(K1083="N/A","No", IF(K1083&gt;5000,"Yes","No"))</f>
        <v>No</v>
      </c>
      <c r="O1083" s="27" t="str">
        <f>IF(K1083="Not","No",IF(K1083="n/a","N/A",IF(K1083&gt;$Y$2,"Yes","No")))</f>
        <v>No</v>
      </c>
      <c r="Q1083" s="27" t="s">
        <v>118</v>
      </c>
      <c r="R1083" s="27" t="str">
        <f>IF(COUNTIF(R1080:R1082,"Yes"),"Yes","No")</f>
        <v>Yes</v>
      </c>
      <c r="S1083" s="27" t="str">
        <f>IF(COUNTIF(S1080:S1082,"Yes"),"Yes","No")</f>
        <v>No</v>
      </c>
      <c r="U1083" s="27" t="s">
        <v>164</v>
      </c>
      <c r="V1083" s="27" t="s">
        <v>5</v>
      </c>
      <c r="W1083" s="27" t="s">
        <v>9</v>
      </c>
      <c r="X1083" s="27" t="str">
        <f t="shared" si="472"/>
        <v>No</v>
      </c>
    </row>
    <row r="1084" spans="1:38" x14ac:dyDescent="0.2">
      <c r="A1084" s="27" t="s">
        <v>109</v>
      </c>
      <c r="B1084" s="27" t="s">
        <v>32</v>
      </c>
      <c r="C1084" s="27">
        <v>19</v>
      </c>
      <c r="D1084" s="27" t="s">
        <v>33</v>
      </c>
      <c r="F1084" s="27" t="str">
        <f t="shared" ref="F1084" si="474">IF(C1084&gt;$W$6,"Yes","No")</f>
        <v>Yes</v>
      </c>
      <c r="G1084" s="27" t="s">
        <v>5</v>
      </c>
      <c r="J1084" s="27" t="s">
        <v>22</v>
      </c>
      <c r="K1084" s="27">
        <v>41</v>
      </c>
      <c r="L1084" s="27" t="s">
        <v>12</v>
      </c>
      <c r="M1084" s="27" t="s">
        <v>62</v>
      </c>
      <c r="N1084" s="27" t="str">
        <f>IF(K1084="N/A","No", IF(K1084&gt;5000,"Yes","No"))</f>
        <v>No</v>
      </c>
      <c r="O1084" s="27" t="str">
        <f>IF(K1084="Not","No",IF(K1084="n/a","N/A",IF(K1084&gt;$Y$2,"Yes","No")))</f>
        <v>No</v>
      </c>
      <c r="U1084" s="27" t="s">
        <v>162</v>
      </c>
      <c r="V1084" s="27" t="str">
        <f>R1081</f>
        <v>No</v>
      </c>
      <c r="W1084" s="27" t="str">
        <f>S1081</f>
        <v>No</v>
      </c>
      <c r="X1084" s="27" t="str">
        <f t="shared" si="472"/>
        <v>Yes</v>
      </c>
    </row>
    <row r="1085" spans="1:38" x14ac:dyDescent="0.2">
      <c r="J1085" s="27" t="s">
        <v>25</v>
      </c>
      <c r="K1085" s="27">
        <v>0</v>
      </c>
      <c r="L1085" s="27" t="s">
        <v>12</v>
      </c>
      <c r="M1085" s="27" t="s">
        <v>410</v>
      </c>
      <c r="N1085" s="27" t="str">
        <f>IF(K1085="N/A","No", IF(K1085&gt;230,"Yes","No"))</f>
        <v>No</v>
      </c>
      <c r="O1085" s="27" t="str">
        <f>IF(K1085="Not","No",IF(K1085="n/a","N/A",IF(K1085&gt;$Y$5,"Yes","No")))</f>
        <v>No</v>
      </c>
      <c r="U1085" s="27" t="s">
        <v>101</v>
      </c>
      <c r="V1085" s="27" t="s">
        <v>5</v>
      </c>
      <c r="W1085" s="27" t="s">
        <v>9</v>
      </c>
      <c r="X1085" s="27" t="str">
        <f>IF(V1085="N/A","N/A",IF(W1085="N/A", "N/A", IF(V1085=W1085, "Yes","No")))</f>
        <v>No</v>
      </c>
    </row>
    <row r="1086" spans="1:38" x14ac:dyDescent="0.2">
      <c r="J1086" s="27" t="s">
        <v>29</v>
      </c>
      <c r="K1086" s="27">
        <v>6</v>
      </c>
      <c r="L1086" s="27" t="s">
        <v>12</v>
      </c>
      <c r="M1086" s="27" t="s">
        <v>411</v>
      </c>
      <c r="N1086" s="27" t="str">
        <f>IF(K1086="N/A","No", IF(K1086&gt;20,"Yes","No"))</f>
        <v>No</v>
      </c>
      <c r="O1086" s="27" t="str">
        <f t="shared" ref="O1086:O1087" si="475">IF(K1086="Not","No",IF(K1086="n/a","N/A",IF(K1086&gt;$Y$6,"Yes","No")))</f>
        <v>No</v>
      </c>
      <c r="U1086" s="27" t="s">
        <v>104</v>
      </c>
      <c r="V1086" s="27" t="s">
        <v>120</v>
      </c>
      <c r="W1086" s="27" t="s">
        <v>9</v>
      </c>
      <c r="X1086" s="27" t="str">
        <f>IF(V1086="N/A","N/A",IF(W1086="N/A", "N/A", IF(V1086=W1086, "Yes","No")))</f>
        <v>N/A</v>
      </c>
    </row>
    <row r="1087" spans="1:38" x14ac:dyDescent="0.2">
      <c r="J1087" s="27" t="s">
        <v>34</v>
      </c>
      <c r="K1087" s="27">
        <v>7</v>
      </c>
      <c r="L1087" s="27" t="s">
        <v>12</v>
      </c>
      <c r="M1087" s="27" t="s">
        <v>412</v>
      </c>
      <c r="N1087" s="27" t="str">
        <f>IF(K1087="N/A","No", IF(K1087&gt;20,"Yes","No"))</f>
        <v>No</v>
      </c>
      <c r="O1087" s="27" t="str">
        <f t="shared" si="475"/>
        <v>No</v>
      </c>
      <c r="U1087" s="27" t="s">
        <v>106</v>
      </c>
      <c r="V1087" s="27" t="str">
        <f>R1082</f>
        <v>Yes</v>
      </c>
      <c r="W1087" s="27" t="str">
        <f>S1082</f>
        <v>No</v>
      </c>
      <c r="X1087" s="27" t="str">
        <f>IF(V1087="N/A","N/A",IF(W1087="N/A", "N/A", IF(V1087=W1087, "Yes","No")))</f>
        <v>No</v>
      </c>
    </row>
    <row r="1088" spans="1:38" x14ac:dyDescent="0.2">
      <c r="U1088" s="27" t="s">
        <v>121</v>
      </c>
      <c r="V1088" s="27" t="str">
        <f>R1083</f>
        <v>Yes</v>
      </c>
      <c r="W1088" s="27" t="str">
        <f>S1083</f>
        <v>No</v>
      </c>
      <c r="X1088" s="27" t="str">
        <f>IF(V1088="N/A","N/A",IF(W1088="N/A", "N/A", IF(V1088=W1088, "Yes","No")))</f>
        <v>No</v>
      </c>
    </row>
    <row r="1090" spans="1:38" x14ac:dyDescent="0.2">
      <c r="A1090" s="57">
        <v>1318</v>
      </c>
      <c r="B1090" s="27" t="s">
        <v>111</v>
      </c>
      <c r="C1090" s="27">
        <v>72</v>
      </c>
    </row>
    <row r="1091" spans="1:38" x14ac:dyDescent="0.2">
      <c r="A1091" s="59" t="s">
        <v>0</v>
      </c>
      <c r="E1091" s="27" t="s">
        <v>274</v>
      </c>
      <c r="F1091" s="27" t="s">
        <v>275</v>
      </c>
      <c r="G1091" s="27" t="s">
        <v>119</v>
      </c>
      <c r="J1091" s="59" t="s">
        <v>1</v>
      </c>
      <c r="N1091" s="27" t="s">
        <v>277</v>
      </c>
      <c r="O1091" s="27" t="s">
        <v>278</v>
      </c>
      <c r="Q1091" s="59" t="s">
        <v>115</v>
      </c>
      <c r="R1091" s="59" t="s">
        <v>0</v>
      </c>
      <c r="S1091" s="59" t="s">
        <v>1</v>
      </c>
      <c r="U1091" s="59" t="s">
        <v>115</v>
      </c>
      <c r="V1091" s="59" t="s">
        <v>0</v>
      </c>
      <c r="W1091" s="59" t="s">
        <v>1</v>
      </c>
      <c r="X1091" s="59" t="s">
        <v>122</v>
      </c>
      <c r="AA1091" s="27" t="str">
        <f>IF(R1092="Yes","LRA-Soil","")</f>
        <v/>
      </c>
      <c r="AB1091" s="27" t="str">
        <f>IF(R1093="Yes","LRA-Paint","")</f>
        <v/>
      </c>
      <c r="AC1091" s="27" t="str">
        <f>IF(R1094="Yes","LRA-Dust","")</f>
        <v>LRA-Dust</v>
      </c>
      <c r="AD1091" s="27" t="str">
        <f>IF(S1092="Yes","LSK-Soil","")</f>
        <v/>
      </c>
      <c r="AE1091" s="27" t="str">
        <f>IF(S1093="Yes","LSK-Paint","")</f>
        <v/>
      </c>
      <c r="AF1091" s="27" t="str">
        <f>IF(S1094="Yes","LSK-Dust","")</f>
        <v/>
      </c>
      <c r="AI1091" s="27" t="s">
        <v>46</v>
      </c>
      <c r="AJ1091" s="27" t="s">
        <v>43</v>
      </c>
      <c r="AK1091" s="27" t="s">
        <v>116</v>
      </c>
      <c r="AL1091" s="27" t="s">
        <v>117</v>
      </c>
    </row>
    <row r="1092" spans="1:38" x14ac:dyDescent="0.2">
      <c r="A1092" s="27" t="s">
        <v>63</v>
      </c>
      <c r="B1092" s="27" t="s">
        <v>18</v>
      </c>
      <c r="C1092" s="27">
        <v>0</v>
      </c>
      <c r="D1092" s="27" t="s">
        <v>4</v>
      </c>
      <c r="F1092" s="27" t="str">
        <f t="shared" ref="F1092" si="476">IF(C1092&gt;=$W$2,"Yes","No")</f>
        <v>No</v>
      </c>
      <c r="G1092" s="27" t="s">
        <v>9</v>
      </c>
      <c r="H1092" s="27" t="s">
        <v>46</v>
      </c>
      <c r="J1092" s="27" t="s">
        <v>6</v>
      </c>
      <c r="K1092" s="27">
        <v>14.2</v>
      </c>
      <c r="L1092" s="27" t="s">
        <v>12</v>
      </c>
      <c r="M1092" s="27" t="s">
        <v>114</v>
      </c>
      <c r="N1092" s="27" t="str">
        <f>IF(K1092="N/A","No", IF(K1092&gt;1200,"Yes","No"))</f>
        <v>No</v>
      </c>
      <c r="O1092" s="27" t="str">
        <f>IF(K1092="Not","No",IF(K1092="n/a","N/A",IF(K1092&gt;=$Y$3,"Yes","No")))</f>
        <v>No</v>
      </c>
      <c r="Q1092" s="27" t="s">
        <v>116</v>
      </c>
      <c r="R1092" s="27" t="str">
        <f>_xlfn.XLOOKUP("ppm",D1092:D1102,F1092:F1102,"N/A")</f>
        <v>No</v>
      </c>
      <c r="S1092" s="27" t="str">
        <f>IF(COUNTIF(O1092:O1094,"Yes"),"Yes","No")</f>
        <v>No</v>
      </c>
      <c r="U1092" s="27" t="s">
        <v>92</v>
      </c>
      <c r="V1092" s="27" t="s">
        <v>9</v>
      </c>
      <c r="W1092" s="27" t="s">
        <v>120</v>
      </c>
      <c r="X1092" s="27" t="str">
        <f>IF(V1092="N/A","N/A",IF(W1092="N/A", "N/A", IF(V1092=W1092, "Yes","No")))</f>
        <v>N/A</v>
      </c>
      <c r="AF1092" s="27" t="str">
        <f>IF(S1082="Yes","LSK-Dust","")</f>
        <v/>
      </c>
      <c r="AI1092" s="27">
        <f>COUNTIF(H1092:H1096,"Exterior")</f>
        <v>1</v>
      </c>
      <c r="AJ1092" s="27">
        <f>COUNTIF(H1092:H1096, "Interior")</f>
        <v>1</v>
      </c>
      <c r="AK1092" s="27">
        <f>COUNTIFS(D1092:D1096,"ppm")+COUNTIFS(D1092:D1096,"mg/Kg")</f>
        <v>1</v>
      </c>
      <c r="AL1092" s="27">
        <f>COUNTIF(D1092:D1096,"ug/ft2")</f>
        <v>1</v>
      </c>
    </row>
    <row r="1093" spans="1:38" x14ac:dyDescent="0.2">
      <c r="A1093" s="27" t="s">
        <v>161</v>
      </c>
      <c r="B1093" s="27" t="s">
        <v>28</v>
      </c>
      <c r="D1093" s="27" t="s">
        <v>12</v>
      </c>
      <c r="F1093" s="63" t="s">
        <v>9</v>
      </c>
      <c r="G1093" s="27" t="s">
        <v>9</v>
      </c>
      <c r="J1093" s="27" t="s">
        <v>11</v>
      </c>
      <c r="K1093" s="27">
        <v>12.4</v>
      </c>
      <c r="L1093" s="27" t="s">
        <v>12</v>
      </c>
      <c r="M1093" s="27" t="s">
        <v>67</v>
      </c>
      <c r="N1093" s="27" t="str">
        <f t="shared" ref="N1093:N1094" si="477">IF(K1093="N/A","No", IF(K1093&gt;1200,"Yes","No"))</f>
        <v>No</v>
      </c>
      <c r="O1093" s="27" t="str">
        <f t="shared" ref="O1093:O1094" si="478">IF(K1093="Not","No",IF(K1093="n/a","N/A",IF(K1093&gt;$Y$3,"Yes","No")))</f>
        <v>No</v>
      </c>
      <c r="Q1093" s="27" t="s">
        <v>98</v>
      </c>
      <c r="R1093" s="63" t="s">
        <v>9</v>
      </c>
      <c r="S1093" s="27" t="str">
        <f>IF(COUNTIF(O1095:O1096,"Yes"),"Yes","No")</f>
        <v>No</v>
      </c>
      <c r="U1093" s="27" t="s">
        <v>95</v>
      </c>
      <c r="V1093" s="27" t="str">
        <f>R1092</f>
        <v>No</v>
      </c>
      <c r="W1093" s="27" t="str">
        <f>S1092</f>
        <v>No</v>
      </c>
      <c r="X1093" s="27" t="str">
        <f t="shared" ref="X1093:X1096" si="479">IF(V1093="N/A","N/A",IF(W1093="N/A", "N/A", IF(V1093=W1093, "Yes","No")))</f>
        <v>Yes</v>
      </c>
    </row>
    <row r="1094" spans="1:38" x14ac:dyDescent="0.2">
      <c r="A1094" s="27" t="s">
        <v>158</v>
      </c>
      <c r="B1094" s="27" t="s">
        <v>40</v>
      </c>
      <c r="C1094" s="27">
        <v>0</v>
      </c>
      <c r="D1094" s="27" t="s">
        <v>4</v>
      </c>
      <c r="F1094" s="27" t="str">
        <f t="shared" ref="F1094" si="480">IF(C1094&gt;=$W$2,"Yes","No")</f>
        <v>No</v>
      </c>
      <c r="G1094" s="27" t="s">
        <v>9</v>
      </c>
      <c r="H1094" s="27" t="s">
        <v>43</v>
      </c>
      <c r="J1094" s="27" t="s">
        <v>15</v>
      </c>
      <c r="K1094" s="27">
        <v>15.2</v>
      </c>
      <c r="L1094" s="27" t="s">
        <v>12</v>
      </c>
      <c r="M1094" s="27" t="s">
        <v>112</v>
      </c>
      <c r="N1094" s="27" t="str">
        <f t="shared" si="477"/>
        <v>No</v>
      </c>
      <c r="O1094" s="27" t="str">
        <f t="shared" si="478"/>
        <v>No</v>
      </c>
      <c r="Q1094" s="27" t="s">
        <v>117</v>
      </c>
      <c r="R1094" s="27" t="str">
        <f>_xlfn.XLOOKUP("ug/ft2",D1092:D1102,F1092:F1102,"N/A")</f>
        <v>Yes</v>
      </c>
      <c r="S1094" s="27" t="str">
        <f>IF(COUNTIF(O1097:O1100,"Yes"),"Yes","No")</f>
        <v>No</v>
      </c>
      <c r="U1094" s="27" t="s">
        <v>163</v>
      </c>
      <c r="V1094" s="27" t="s">
        <v>9</v>
      </c>
      <c r="W1094" s="27" t="str">
        <f>O1096</f>
        <v>No</v>
      </c>
      <c r="X1094" s="27" t="str">
        <f t="shared" si="479"/>
        <v>Yes</v>
      </c>
    </row>
    <row r="1095" spans="1:38" x14ac:dyDescent="0.2">
      <c r="A1095" s="27" t="s">
        <v>71</v>
      </c>
      <c r="B1095" s="27" t="s">
        <v>32</v>
      </c>
      <c r="C1095" s="27">
        <v>14.9</v>
      </c>
      <c r="D1095" s="27" t="s">
        <v>33</v>
      </c>
      <c r="F1095" s="27" t="str">
        <f t="shared" ref="F1095" si="481">IF(C1095&gt;$W$6,"Yes","No")</f>
        <v>Yes</v>
      </c>
      <c r="G1095" s="27" t="s">
        <v>5</v>
      </c>
      <c r="J1095" s="27" t="s">
        <v>19</v>
      </c>
      <c r="K1095" s="27">
        <v>2.5</v>
      </c>
      <c r="L1095" s="27" t="s">
        <v>12</v>
      </c>
      <c r="M1095" s="27" t="s">
        <v>46</v>
      </c>
      <c r="N1095" s="27" t="str">
        <f>IF(K1095="N/A","No", IF(K1095&gt;5000,"Yes","No"))</f>
        <v>No</v>
      </c>
      <c r="O1095" s="27" t="str">
        <f>IF(K1095="Not","No",IF(K1095="n/a","N/A",IF(K1095&gt;$Y$2,"Yes","No")))</f>
        <v>No</v>
      </c>
      <c r="Q1095" s="27" t="s">
        <v>118</v>
      </c>
      <c r="R1095" s="27" t="str">
        <f>IF(COUNTIF(R1092:R1094,"Yes"),"Yes","No")</f>
        <v>Yes</v>
      </c>
      <c r="S1095" s="27" t="str">
        <f>IF(COUNTIF(S1092:S1094,"Yes"),"Yes","No")</f>
        <v>No</v>
      </c>
      <c r="U1095" s="27" t="s">
        <v>164</v>
      </c>
      <c r="V1095" s="27" t="s">
        <v>9</v>
      </c>
      <c r="W1095" s="27" t="str">
        <f>O1095</f>
        <v>No</v>
      </c>
      <c r="X1095" s="27" t="str">
        <f t="shared" si="479"/>
        <v>Yes</v>
      </c>
    </row>
    <row r="1096" spans="1:38" x14ac:dyDescent="0.2">
      <c r="J1096" s="27" t="s">
        <v>22</v>
      </c>
      <c r="K1096" s="27">
        <v>2.5</v>
      </c>
      <c r="L1096" s="27" t="s">
        <v>12</v>
      </c>
      <c r="M1096" s="27" t="s">
        <v>43</v>
      </c>
      <c r="N1096" s="27" t="str">
        <f>IF(K1096="N/A","No", IF(K1096&gt;5000,"Yes","No"))</f>
        <v>No</v>
      </c>
      <c r="O1096" s="27" t="str">
        <f>IF(K1096="Not","No",IF(K1096="n/a","N/A",IF(K1096&gt;$Y$2,"Yes","No")))</f>
        <v>No</v>
      </c>
      <c r="U1096" s="27" t="s">
        <v>162</v>
      </c>
      <c r="V1096" s="27" t="str">
        <f>R1093</f>
        <v>No</v>
      </c>
      <c r="W1096" s="27" t="str">
        <f>S1093</f>
        <v>No</v>
      </c>
      <c r="X1096" s="27" t="str">
        <f t="shared" si="479"/>
        <v>Yes</v>
      </c>
    </row>
    <row r="1097" spans="1:38" x14ac:dyDescent="0.2">
      <c r="J1097" s="27" t="s">
        <v>25</v>
      </c>
      <c r="K1097" s="27">
        <v>2.5</v>
      </c>
      <c r="L1097" s="27" t="s">
        <v>12</v>
      </c>
      <c r="M1097" s="27" t="s">
        <v>126</v>
      </c>
      <c r="N1097" s="27" t="str">
        <f>IF(K1097="N/A","No", IF(K1097&gt;20,"Yes","No"))</f>
        <v>No</v>
      </c>
      <c r="O1097" s="27" t="str">
        <f t="shared" ref="O1097:O1098" si="482">IF(K1097="Not","No",IF(K1097="n/a","N/A",IF(K1097&gt;$Y$6,"Yes","No")))</f>
        <v>No</v>
      </c>
      <c r="U1097" s="27" t="s">
        <v>101</v>
      </c>
      <c r="V1097" s="27" t="s">
        <v>5</v>
      </c>
      <c r="W1097" s="27" t="s">
        <v>9</v>
      </c>
      <c r="X1097" s="27" t="str">
        <f>IF(V1097="N/A","N/A",IF(W1097="N/A", "N/A", IF(V1097=W1097, "Yes","No")))</f>
        <v>No</v>
      </c>
    </row>
    <row r="1098" spans="1:38" x14ac:dyDescent="0.2">
      <c r="J1098" s="27" t="s">
        <v>29</v>
      </c>
      <c r="K1098" s="27">
        <v>2.5</v>
      </c>
      <c r="L1098" s="27" t="s">
        <v>12</v>
      </c>
      <c r="M1098" s="27" t="s">
        <v>222</v>
      </c>
      <c r="N1098" s="27" t="str">
        <f>IF(K1098="N/A","No", IF(K1098&gt;20,"Yes","No"))</f>
        <v>No</v>
      </c>
      <c r="O1098" s="27" t="str">
        <f t="shared" si="482"/>
        <v>No</v>
      </c>
      <c r="U1098" s="27" t="s">
        <v>104</v>
      </c>
      <c r="V1098" s="27" t="s">
        <v>120</v>
      </c>
      <c r="W1098" s="27" t="str">
        <f>O1099</f>
        <v>No</v>
      </c>
      <c r="X1098" s="27" t="str">
        <f>IF(V1098="N/A","N/A",IF(W1098="N/A", "N/A", IF(V1098=W1098, "Yes","No")))</f>
        <v>N/A</v>
      </c>
    </row>
    <row r="1099" spans="1:38" x14ac:dyDescent="0.2">
      <c r="J1099" s="27" t="s">
        <v>34</v>
      </c>
      <c r="K1099" s="27">
        <v>2.5</v>
      </c>
      <c r="L1099" s="27" t="s">
        <v>12</v>
      </c>
      <c r="M1099" s="27" t="s">
        <v>210</v>
      </c>
      <c r="N1099" s="27" t="str">
        <f>IF(K1099="N/A","No", IF(K1099&gt;230,"Yes","No"))</f>
        <v>No</v>
      </c>
      <c r="O1099" s="27" t="str">
        <f>IF(K1099="Not","No",IF(K1099="n/a","N/A",IF(K1099&gt;$Y$5,"Yes","No")))</f>
        <v>No</v>
      </c>
      <c r="U1099" s="27" t="s">
        <v>106</v>
      </c>
      <c r="V1099" s="27" t="str">
        <f>R1094</f>
        <v>Yes</v>
      </c>
      <c r="W1099" s="27" t="str">
        <f>S1094</f>
        <v>No</v>
      </c>
      <c r="X1099" s="27" t="str">
        <f>IF(V1099="N/A","N/A",IF(W1099="N/A", "N/A", IF(V1099=W1099, "Yes","No")))</f>
        <v>No</v>
      </c>
    </row>
    <row r="1100" spans="1:38" x14ac:dyDescent="0.2">
      <c r="J1100" s="69" t="s">
        <v>208</v>
      </c>
      <c r="K1100" s="27">
        <v>98</v>
      </c>
      <c r="L1100" s="27" t="s">
        <v>12</v>
      </c>
      <c r="M1100" s="27" t="s">
        <v>223</v>
      </c>
      <c r="N1100" s="27" t="str">
        <f>IF(K1100="N/A","No", IF(K1100&gt;20,"Yes","No"))</f>
        <v>Yes</v>
      </c>
      <c r="O1100" s="27" t="str">
        <f>IF(K1100="Not","No",IF(K1100="n/a","N/A",IF(K1100&gt;$Y$7,"Yes","No")))</f>
        <v>No</v>
      </c>
      <c r="U1100" s="27" t="s">
        <v>121</v>
      </c>
      <c r="V1100" s="27" t="str">
        <f>R1095</f>
        <v>Yes</v>
      </c>
      <c r="W1100" s="27" t="str">
        <f>S1095</f>
        <v>No</v>
      </c>
      <c r="X1100" s="27" t="str">
        <f>IF(V1100="N/A","N/A",IF(W1100="N/A", "N/A", IF(V1100=W1100, "Yes","No")))</f>
        <v>No</v>
      </c>
    </row>
    <row r="1102" spans="1:38" x14ac:dyDescent="0.2">
      <c r="A1102" s="57">
        <v>1345</v>
      </c>
      <c r="B1102" s="27" t="s">
        <v>111</v>
      </c>
      <c r="C1102" s="27">
        <v>73</v>
      </c>
    </row>
    <row r="1103" spans="1:38" x14ac:dyDescent="0.2">
      <c r="A1103" s="59" t="s">
        <v>0</v>
      </c>
      <c r="E1103" s="27" t="s">
        <v>274</v>
      </c>
      <c r="F1103" s="27" t="s">
        <v>275</v>
      </c>
      <c r="G1103" s="27" t="s">
        <v>119</v>
      </c>
      <c r="J1103" s="59" t="s">
        <v>1</v>
      </c>
      <c r="N1103" s="27" t="s">
        <v>277</v>
      </c>
      <c r="O1103" s="27" t="s">
        <v>278</v>
      </c>
      <c r="Q1103" s="59" t="s">
        <v>115</v>
      </c>
      <c r="R1103" s="59" t="s">
        <v>0</v>
      </c>
      <c r="S1103" s="59" t="s">
        <v>1</v>
      </c>
      <c r="U1103" s="59" t="s">
        <v>115</v>
      </c>
      <c r="V1103" s="59" t="s">
        <v>0</v>
      </c>
      <c r="W1103" s="59" t="s">
        <v>1</v>
      </c>
      <c r="X1103" s="59" t="s">
        <v>122</v>
      </c>
      <c r="AA1103" s="27" t="str">
        <f>IF(R1104="Yes","LRA-Soil","")</f>
        <v>LRA-Soil</v>
      </c>
      <c r="AB1103" s="27" t="str">
        <f>IF(R1105="Yes","LRA-Paint","")</f>
        <v/>
      </c>
      <c r="AC1103" s="27" t="str">
        <f>IF(R1106="Yes","LRA-Dust","")</f>
        <v>LRA-Dust</v>
      </c>
      <c r="AD1103" s="27" t="str">
        <f>IF(S1104="Yes","LSK-Soil","")</f>
        <v/>
      </c>
      <c r="AE1103" s="27" t="str">
        <f>IF(S1105="Yes","LSK-Paint","")</f>
        <v/>
      </c>
      <c r="AF1103" s="27" t="str">
        <f>IF(S1106="Yes","LSK-Dust","")</f>
        <v/>
      </c>
      <c r="AI1103" s="27" t="s">
        <v>46</v>
      </c>
      <c r="AJ1103" s="27" t="s">
        <v>43</v>
      </c>
      <c r="AK1103" s="27" t="s">
        <v>116</v>
      </c>
      <c r="AL1103" s="27" t="s">
        <v>117</v>
      </c>
    </row>
    <row r="1104" spans="1:38" x14ac:dyDescent="0.2">
      <c r="A1104" s="27" t="s">
        <v>185</v>
      </c>
      <c r="B1104" s="27" t="s">
        <v>217</v>
      </c>
      <c r="C1104" s="27">
        <v>0</v>
      </c>
      <c r="D1104" s="27" t="s">
        <v>4</v>
      </c>
      <c r="E1104" s="27" t="s">
        <v>9</v>
      </c>
      <c r="F1104" s="27" t="str">
        <f t="shared" ref="F1104" si="483">IF(C1104&gt;=$W$2,"Yes","No")</f>
        <v>No</v>
      </c>
      <c r="G1104" s="27" t="s">
        <v>9</v>
      </c>
      <c r="H1104" s="27" t="s">
        <v>46</v>
      </c>
      <c r="J1104" s="27" t="s">
        <v>6</v>
      </c>
      <c r="K1104" s="27">
        <v>27.6</v>
      </c>
      <c r="L1104" s="27" t="s">
        <v>12</v>
      </c>
      <c r="M1104" s="27" t="s">
        <v>114</v>
      </c>
      <c r="N1104" s="27" t="str">
        <f>IF(K1104="N/A","No", IF(K1104&gt;1200,"Yes","No"))</f>
        <v>No</v>
      </c>
      <c r="O1104" s="27" t="str">
        <f>IF(K1104="Not","No",IF(K1104="n/a","N/A",IF(K1104&gt;=$Y$3,"Yes","No")))</f>
        <v>No</v>
      </c>
      <c r="Q1104" s="27" t="s">
        <v>116</v>
      </c>
      <c r="R1104" s="27" t="str">
        <f>_xlfn.XLOOKUP("ppm",D1104:D1114,F1104:F1114,"N/A")</f>
        <v>Yes</v>
      </c>
      <c r="S1104" s="27" t="str">
        <f>IF(COUNTIF(O1104:O1106,"Yes"),"Yes","No")</f>
        <v>No</v>
      </c>
      <c r="U1104" s="27" t="s">
        <v>92</v>
      </c>
      <c r="V1104" s="27" t="s">
        <v>9</v>
      </c>
      <c r="W1104" s="27" t="s">
        <v>120</v>
      </c>
      <c r="X1104" s="27" t="str">
        <f>IF(V1104="N/A","N/A",IF(W1104="N/A", "N/A", IF(V1104=W1104, "Yes","No")))</f>
        <v>N/A</v>
      </c>
      <c r="AF1104" s="27" t="str">
        <f>IF(S1094="Yes","LSK-Dust","")</f>
        <v/>
      </c>
      <c r="AI1104" s="27">
        <f>COUNTIF(H1104:H1108,"Exterior")</f>
        <v>1</v>
      </c>
      <c r="AJ1104" s="27">
        <f>COUNTIF(H1104:H1108, "Interior")</f>
        <v>1</v>
      </c>
      <c r="AK1104" s="27">
        <f>COUNTIFS(D1104:D1108,"ppm")+COUNTIFS(D1104:D1108,"mg/Kg")</f>
        <v>1</v>
      </c>
      <c r="AL1104" s="27">
        <f>COUNTIF(D1104:D1108,"ug/ft2")</f>
        <v>1</v>
      </c>
    </row>
    <row r="1105" spans="1:38" x14ac:dyDescent="0.2">
      <c r="A1105" s="27" t="s">
        <v>187</v>
      </c>
      <c r="B1105" s="27" t="s">
        <v>294</v>
      </c>
      <c r="C1105" s="27">
        <v>470</v>
      </c>
      <c r="D1105" s="27" t="s">
        <v>12</v>
      </c>
      <c r="E1105" s="27" t="s">
        <v>9</v>
      </c>
      <c r="F1105" s="27" t="str">
        <f t="shared" ref="F1105" si="484">IF(C1105&gt;$W$3,"Yes","No")</f>
        <v>Yes</v>
      </c>
      <c r="G1105" s="27" t="s">
        <v>9</v>
      </c>
      <c r="J1105" s="27" t="s">
        <v>11</v>
      </c>
      <c r="K1105" s="27">
        <v>17.600000000000001</v>
      </c>
      <c r="L1105" s="27" t="s">
        <v>12</v>
      </c>
      <c r="M1105" s="27" t="s">
        <v>67</v>
      </c>
      <c r="N1105" s="27" t="str">
        <f t="shared" ref="N1105:N1106" si="485">IF(K1105="N/A","No", IF(K1105&gt;1200,"Yes","No"))</f>
        <v>No</v>
      </c>
      <c r="O1105" s="27" t="str">
        <f t="shared" ref="O1105:O1106" si="486">IF(K1105="Not","No",IF(K1105="n/a","N/A",IF(K1105&gt;$Y$3,"Yes","No")))</f>
        <v>No</v>
      </c>
      <c r="Q1105" s="27" t="s">
        <v>98</v>
      </c>
      <c r="R1105" s="63" t="s">
        <v>9</v>
      </c>
      <c r="S1105" s="27" t="str">
        <f>IF(COUNTIF(O1107:O1108,"Yes"),"Yes","No")</f>
        <v>No</v>
      </c>
      <c r="U1105" s="27" t="s">
        <v>95</v>
      </c>
      <c r="V1105" s="27" t="str">
        <f>R1104</f>
        <v>Yes</v>
      </c>
      <c r="W1105" s="27" t="str">
        <f>S1104</f>
        <v>No</v>
      </c>
      <c r="X1105" s="27" t="str">
        <f t="shared" ref="X1105:X1108" si="487">IF(V1105="N/A","N/A",IF(W1105="N/A", "N/A", IF(V1105=W1105, "Yes","No")))</f>
        <v>No</v>
      </c>
    </row>
    <row r="1106" spans="1:38" x14ac:dyDescent="0.2">
      <c r="A1106" s="27" t="s">
        <v>241</v>
      </c>
      <c r="B1106" s="27" t="s">
        <v>189</v>
      </c>
      <c r="C1106" s="27">
        <v>0</v>
      </c>
      <c r="D1106" s="27" t="s">
        <v>4</v>
      </c>
      <c r="E1106" s="27" t="s">
        <v>9</v>
      </c>
      <c r="F1106" s="27" t="str">
        <f t="shared" ref="F1106" si="488">IF(C1106&gt;=$W$2,"Yes","No")</f>
        <v>No</v>
      </c>
      <c r="G1106" s="27" t="s">
        <v>9</v>
      </c>
      <c r="H1106" s="27" t="s">
        <v>43</v>
      </c>
      <c r="J1106" s="27" t="s">
        <v>15</v>
      </c>
      <c r="K1106" s="27">
        <v>25</v>
      </c>
      <c r="L1106" s="27" t="s">
        <v>12</v>
      </c>
      <c r="M1106" s="27" t="s">
        <v>112</v>
      </c>
      <c r="N1106" s="27" t="str">
        <f t="shared" si="485"/>
        <v>No</v>
      </c>
      <c r="O1106" s="27" t="str">
        <f t="shared" si="486"/>
        <v>No</v>
      </c>
      <c r="Q1106" s="27" t="s">
        <v>117</v>
      </c>
      <c r="R1106" s="27" t="str">
        <f>_xlfn.XLOOKUP("ug/ft2",D1104:D1114,F1104:F1114,"N/A")</f>
        <v>Yes</v>
      </c>
      <c r="S1106" s="27" t="str">
        <f>IF(COUNTIF(O1109:O1112,"Yes"),"Yes","No")</f>
        <v>No</v>
      </c>
      <c r="U1106" s="27" t="s">
        <v>163</v>
      </c>
      <c r="V1106" s="27" t="s">
        <v>9</v>
      </c>
      <c r="W1106" s="27" t="str">
        <f>O1108</f>
        <v>No</v>
      </c>
      <c r="X1106" s="27" t="str">
        <f t="shared" si="487"/>
        <v>Yes</v>
      </c>
    </row>
    <row r="1107" spans="1:38" x14ac:dyDescent="0.2">
      <c r="A1107" s="27" t="s">
        <v>201</v>
      </c>
      <c r="B1107" s="27" t="s">
        <v>214</v>
      </c>
      <c r="C1107" s="27">
        <v>250</v>
      </c>
      <c r="D1107" s="27" t="s">
        <v>33</v>
      </c>
      <c r="E1107" s="27" t="s">
        <v>5</v>
      </c>
      <c r="F1107" s="27" t="str">
        <f t="shared" ref="F1107" si="489">IF(C1107&gt;$W$6,"Yes","No")</f>
        <v>Yes</v>
      </c>
      <c r="G1107" s="27" t="s">
        <v>5</v>
      </c>
      <c r="J1107" s="27" t="s">
        <v>19</v>
      </c>
      <c r="K1107" s="27">
        <v>2.5</v>
      </c>
      <c r="L1107" s="27" t="s">
        <v>12</v>
      </c>
      <c r="M1107" s="27" t="s">
        <v>46</v>
      </c>
      <c r="N1107" s="27" t="str">
        <f>IF(K1107="N/A","No", IF(K1107&gt;5000,"Yes","No"))</f>
        <v>No</v>
      </c>
      <c r="O1107" s="27" t="str">
        <f>IF(K1107="Not","No",IF(K1107="n/a","N/A",IF(K1107&gt;$Y$2,"Yes","No")))</f>
        <v>No</v>
      </c>
      <c r="Q1107" s="27" t="s">
        <v>118</v>
      </c>
      <c r="R1107" s="27" t="str">
        <f>IF(COUNTIF(R1104:R1106,"Yes"),"Yes","No")</f>
        <v>Yes</v>
      </c>
      <c r="S1107" s="27" t="str">
        <f>IF(COUNTIF(S1104:S1106,"Yes"),"Yes","No")</f>
        <v>No</v>
      </c>
      <c r="U1107" s="27" t="s">
        <v>164</v>
      </c>
      <c r="V1107" s="27" t="s">
        <v>9</v>
      </c>
      <c r="W1107" s="27" t="str">
        <f>O1107</f>
        <v>No</v>
      </c>
      <c r="X1107" s="27" t="str">
        <f t="shared" si="487"/>
        <v>Yes</v>
      </c>
    </row>
    <row r="1108" spans="1:38" x14ac:dyDescent="0.2">
      <c r="J1108" s="27" t="s">
        <v>22</v>
      </c>
      <c r="K1108" s="27">
        <v>2.5</v>
      </c>
      <c r="L1108" s="27" t="s">
        <v>12</v>
      </c>
      <c r="M1108" s="27" t="s">
        <v>43</v>
      </c>
      <c r="N1108" s="27" t="str">
        <f>IF(K1108="N/A","No", IF(K1108&gt;5000,"Yes","No"))</f>
        <v>No</v>
      </c>
      <c r="O1108" s="27" t="str">
        <f>IF(K1108="Not","No",IF(K1108="n/a","N/A",IF(K1108&gt;$Y$2,"Yes","No")))</f>
        <v>No</v>
      </c>
      <c r="U1108" s="27" t="s">
        <v>162</v>
      </c>
      <c r="V1108" s="27" t="str">
        <f>R1105</f>
        <v>No</v>
      </c>
      <c r="W1108" s="27" t="str">
        <f>S1105</f>
        <v>No</v>
      </c>
      <c r="X1108" s="27" t="str">
        <f t="shared" si="487"/>
        <v>Yes</v>
      </c>
    </row>
    <row r="1109" spans="1:38" x14ac:dyDescent="0.2">
      <c r="J1109" s="27" t="s">
        <v>25</v>
      </c>
      <c r="K1109" s="27">
        <v>5</v>
      </c>
      <c r="L1109" s="27" t="s">
        <v>12</v>
      </c>
      <c r="M1109" s="27" t="s">
        <v>126</v>
      </c>
      <c r="N1109" s="27" t="str">
        <f>IF(K1109="N/A","No", IF(K1109&gt;20,"Yes","No"))</f>
        <v>No</v>
      </c>
      <c r="O1109" s="27" t="str">
        <f t="shared" ref="O1109:O1110" si="490">IF(K1109="Not","No",IF(K1109="n/a","N/A",IF(K1109&gt;$Y$6,"Yes","No")))</f>
        <v>No</v>
      </c>
      <c r="U1109" s="27" t="s">
        <v>101</v>
      </c>
      <c r="V1109" s="27" t="s">
        <v>5</v>
      </c>
      <c r="W1109" s="27" t="s">
        <v>9</v>
      </c>
      <c r="X1109" s="27" t="str">
        <f>IF(V1109="N/A","N/A",IF(W1109="N/A", "N/A", IF(V1109=W1109, "Yes","No")))</f>
        <v>No</v>
      </c>
    </row>
    <row r="1110" spans="1:38" x14ac:dyDescent="0.2">
      <c r="J1110" s="27" t="s">
        <v>29</v>
      </c>
      <c r="K1110" s="27">
        <v>2.5</v>
      </c>
      <c r="L1110" s="27" t="s">
        <v>12</v>
      </c>
      <c r="M1110" s="27" t="s">
        <v>222</v>
      </c>
      <c r="N1110" s="27" t="str">
        <f>IF(K1110="N/A","No", IF(K1110&gt;20,"Yes","No"))</f>
        <v>No</v>
      </c>
      <c r="O1110" s="27" t="str">
        <f t="shared" si="490"/>
        <v>No</v>
      </c>
      <c r="U1110" s="27" t="s">
        <v>104</v>
      </c>
      <c r="V1110" s="27" t="s">
        <v>120</v>
      </c>
      <c r="W1110" s="27" t="str">
        <f>O1111</f>
        <v>No</v>
      </c>
      <c r="X1110" s="27" t="str">
        <f>IF(V1110="N/A","N/A",IF(W1110="N/A", "N/A", IF(V1110=W1110, "Yes","No")))</f>
        <v>N/A</v>
      </c>
    </row>
    <row r="1111" spans="1:38" x14ac:dyDescent="0.2">
      <c r="J1111" s="27" t="s">
        <v>34</v>
      </c>
      <c r="K1111" s="27">
        <v>8</v>
      </c>
      <c r="L1111" s="27" t="s">
        <v>12</v>
      </c>
      <c r="M1111" s="27" t="s">
        <v>210</v>
      </c>
      <c r="N1111" s="27" t="str">
        <f>IF(K1111="N/A","No", IF(K1111&gt;230,"Yes","No"))</f>
        <v>No</v>
      </c>
      <c r="O1111" s="27" t="str">
        <f>IF(K1111="Not","No",IF(K1111="n/a","N/A",IF(K1111&gt;$Y$5,"Yes","No")))</f>
        <v>No</v>
      </c>
      <c r="U1111" s="27" t="s">
        <v>106</v>
      </c>
      <c r="V1111" s="27" t="str">
        <f>R1106</f>
        <v>Yes</v>
      </c>
      <c r="W1111" s="27" t="str">
        <f>S1106</f>
        <v>No</v>
      </c>
      <c r="X1111" s="27" t="str">
        <f>IF(V1111="N/A","N/A",IF(W1111="N/A", "N/A", IF(V1111=W1111, "Yes","No")))</f>
        <v>No</v>
      </c>
    </row>
    <row r="1112" spans="1:38" x14ac:dyDescent="0.2">
      <c r="J1112" s="69" t="s">
        <v>208</v>
      </c>
      <c r="K1112" s="27">
        <v>2.5</v>
      </c>
      <c r="L1112" s="27" t="s">
        <v>12</v>
      </c>
      <c r="M1112" s="27" t="s">
        <v>223</v>
      </c>
      <c r="N1112" s="27" t="str">
        <f>IF(K1112="N/A","No", IF(K1112&gt;20,"Yes","No"))</f>
        <v>No</v>
      </c>
      <c r="O1112" s="27" t="str">
        <f>IF(K1112="Not","No",IF(K1112="n/a","N/A",IF(K1112&gt;$Y$7,"Yes","No")))</f>
        <v>No</v>
      </c>
      <c r="U1112" s="27" t="s">
        <v>121</v>
      </c>
      <c r="V1112" s="27" t="str">
        <f>R1107</f>
        <v>Yes</v>
      </c>
      <c r="W1112" s="27" t="str">
        <f>S1107</f>
        <v>No</v>
      </c>
      <c r="X1112" s="27" t="str">
        <f>IF(V1112="N/A","N/A",IF(W1112="N/A", "N/A", IF(V1112=W1112, "Yes","No")))</f>
        <v>No</v>
      </c>
    </row>
    <row r="1115" spans="1:38" x14ac:dyDescent="0.2">
      <c r="A1115" s="57">
        <v>1346</v>
      </c>
      <c r="B1115" s="27" t="s">
        <v>111</v>
      </c>
      <c r="C1115" s="27">
        <v>74</v>
      </c>
    </row>
    <row r="1116" spans="1:38" x14ac:dyDescent="0.2">
      <c r="A1116" s="59" t="s">
        <v>0</v>
      </c>
      <c r="E1116" s="27" t="s">
        <v>274</v>
      </c>
      <c r="F1116" s="27" t="s">
        <v>275</v>
      </c>
      <c r="G1116" s="27" t="s">
        <v>119</v>
      </c>
      <c r="J1116" s="59" t="s">
        <v>1</v>
      </c>
      <c r="N1116" s="27" t="s">
        <v>277</v>
      </c>
      <c r="O1116" s="27" t="s">
        <v>278</v>
      </c>
      <c r="Q1116" s="59" t="s">
        <v>115</v>
      </c>
      <c r="R1116" s="59" t="s">
        <v>0</v>
      </c>
      <c r="S1116" s="59" t="s">
        <v>1</v>
      </c>
      <c r="U1116" s="59" t="s">
        <v>115</v>
      </c>
      <c r="V1116" s="59" t="s">
        <v>0</v>
      </c>
      <c r="W1116" s="59" t="s">
        <v>1</v>
      </c>
      <c r="X1116" s="59" t="s">
        <v>122</v>
      </c>
      <c r="AA1116" s="27" t="str">
        <f>IF(R1117="Yes","LRA-Soil","")</f>
        <v/>
      </c>
      <c r="AB1116" s="27" t="str">
        <f>IF(R1118="Yes","LRA-Paint","")</f>
        <v/>
      </c>
      <c r="AC1116" s="27" t="str">
        <f>IF(R1119="Yes","LRA-Dust","")</f>
        <v>LRA-Dust</v>
      </c>
      <c r="AD1116" s="27" t="str">
        <f>IF(S1117="Yes","LSK-Soil","")</f>
        <v/>
      </c>
      <c r="AE1116" s="27" t="str">
        <f>IF(S1118="Yes","LSK-Paint","")</f>
        <v/>
      </c>
      <c r="AF1116" s="27" t="str">
        <f>IF(S1119="Yes","LSK-Dust","")</f>
        <v/>
      </c>
      <c r="AI1116" s="27" t="s">
        <v>46</v>
      </c>
      <c r="AJ1116" s="27" t="s">
        <v>43</v>
      </c>
      <c r="AK1116" s="27" t="s">
        <v>116</v>
      </c>
      <c r="AL1116" s="27" t="s">
        <v>117</v>
      </c>
    </row>
    <row r="1117" spans="1:38" x14ac:dyDescent="0.2">
      <c r="A1117" s="27" t="s">
        <v>185</v>
      </c>
      <c r="B1117" s="27" t="s">
        <v>217</v>
      </c>
      <c r="C1117" s="27">
        <v>0</v>
      </c>
      <c r="D1117" s="27" t="s">
        <v>4</v>
      </c>
      <c r="E1117" s="27" t="s">
        <v>9</v>
      </c>
      <c r="F1117" s="27" t="str">
        <f t="shared" ref="F1117" si="491">IF(C1117&gt;=$W$2,"Yes","No")</f>
        <v>No</v>
      </c>
      <c r="G1117" s="27" t="s">
        <v>9</v>
      </c>
      <c r="H1117" s="27" t="s">
        <v>46</v>
      </c>
      <c r="J1117" s="27" t="s">
        <v>6</v>
      </c>
      <c r="K1117" s="27">
        <v>55.7</v>
      </c>
      <c r="L1117" s="27" t="s">
        <v>12</v>
      </c>
      <c r="M1117" s="27" t="s">
        <v>114</v>
      </c>
      <c r="N1117" s="27" t="str">
        <f>IF(K1117="N/A","No", IF(K1117&gt;1200,"Yes","No"))</f>
        <v>No</v>
      </c>
      <c r="O1117" s="27" t="str">
        <f>IF(K1117="Not","No",IF(K1117="n/a","N/A",IF(K1117&gt;=$Y$3,"Yes","No")))</f>
        <v>No</v>
      </c>
      <c r="Q1117" s="27" t="s">
        <v>116</v>
      </c>
      <c r="R1117" s="27" t="str">
        <f>_xlfn.XLOOKUP("ppm",D1117:D1127,F1117:F1127,"N/A")</f>
        <v>No</v>
      </c>
      <c r="S1117" s="27" t="str">
        <f>IF(COUNTIF(O1117:O1119,"Yes"),"Yes","No")</f>
        <v>No</v>
      </c>
      <c r="U1117" s="27" t="s">
        <v>92</v>
      </c>
      <c r="V1117" s="27" t="s">
        <v>9</v>
      </c>
      <c r="W1117" s="27" t="s">
        <v>120</v>
      </c>
      <c r="X1117" s="27" t="str">
        <f>IF(V1117="N/A","N/A",IF(W1117="N/A", "N/A", IF(V1117=W1117, "Yes","No")))</f>
        <v>N/A</v>
      </c>
      <c r="AI1117" s="27">
        <f>COUNTIF(H1117:H1121,"Exterior")</f>
        <v>1</v>
      </c>
      <c r="AJ1117" s="27">
        <f>COUNTIF(H1117:H1121, "Interior")</f>
        <v>1</v>
      </c>
      <c r="AK1117" s="27">
        <f>COUNTIFS(D1117:D1121,"ppm")+COUNTIFS(D1117:D1121,"mg/Kg")</f>
        <v>1</v>
      </c>
      <c r="AL1117" s="27">
        <f>COUNTIF(D1117:D1121,"ug/ft2")</f>
        <v>1</v>
      </c>
    </row>
    <row r="1118" spans="1:38" x14ac:dyDescent="0.2">
      <c r="A1118" s="27" t="s">
        <v>187</v>
      </c>
      <c r="B1118" s="27" t="s">
        <v>294</v>
      </c>
      <c r="C1118" s="27">
        <v>19.600000000000001</v>
      </c>
      <c r="D1118" s="27" t="s">
        <v>12</v>
      </c>
      <c r="E1118" s="27" t="s">
        <v>9</v>
      </c>
      <c r="F1118" s="27" t="str">
        <f t="shared" ref="F1118" si="492">IF(C1118&gt;$W$3,"Yes","No")</f>
        <v>No</v>
      </c>
      <c r="G1118" s="27" t="s">
        <v>9</v>
      </c>
      <c r="J1118" s="27" t="s">
        <v>11</v>
      </c>
      <c r="K1118" s="27">
        <v>26.1</v>
      </c>
      <c r="L1118" s="27" t="s">
        <v>12</v>
      </c>
      <c r="M1118" s="27" t="s">
        <v>67</v>
      </c>
      <c r="N1118" s="27" t="str">
        <f t="shared" ref="N1118:N1119" si="493">IF(K1118="N/A","No", IF(K1118&gt;1200,"Yes","No"))</f>
        <v>No</v>
      </c>
      <c r="O1118" s="27" t="str">
        <f t="shared" ref="O1118:O1119" si="494">IF(K1118="Not","No",IF(K1118="n/a","N/A",IF(K1118&gt;$Y$3,"Yes","No")))</f>
        <v>No</v>
      </c>
      <c r="Q1118" s="27" t="s">
        <v>98</v>
      </c>
      <c r="R1118" s="63" t="s">
        <v>9</v>
      </c>
      <c r="S1118" s="27" t="str">
        <f>IF(COUNTIF(O1120:O1121,"Yes"),"Yes","No")</f>
        <v>No</v>
      </c>
      <c r="U1118" s="27" t="s">
        <v>95</v>
      </c>
      <c r="V1118" s="27" t="str">
        <f>R1117</f>
        <v>No</v>
      </c>
      <c r="W1118" s="27" t="str">
        <f>S1117</f>
        <v>No</v>
      </c>
      <c r="X1118" s="27" t="str">
        <f t="shared" ref="X1118:X1121" si="495">IF(V1118="N/A","N/A",IF(W1118="N/A", "N/A", IF(V1118=W1118, "Yes","No")))</f>
        <v>Yes</v>
      </c>
    </row>
    <row r="1119" spans="1:38" x14ac:dyDescent="0.2">
      <c r="A1119" s="27" t="s">
        <v>191</v>
      </c>
      <c r="B1119" s="27" t="s">
        <v>221</v>
      </c>
      <c r="C1119" s="27">
        <v>0</v>
      </c>
      <c r="D1119" s="27" t="s">
        <v>4</v>
      </c>
      <c r="E1119" s="27" t="s">
        <v>9</v>
      </c>
      <c r="F1119" s="27" t="str">
        <f t="shared" ref="F1119" si="496">IF(C1119&gt;=$W$2,"Yes","No")</f>
        <v>No</v>
      </c>
      <c r="G1119" s="27" t="s">
        <v>9</v>
      </c>
      <c r="H1119" s="27" t="s">
        <v>43</v>
      </c>
      <c r="J1119" s="27" t="s">
        <v>15</v>
      </c>
      <c r="K1119" s="27">
        <v>37.799999999999997</v>
      </c>
      <c r="L1119" s="27" t="s">
        <v>12</v>
      </c>
      <c r="M1119" s="27" t="s">
        <v>112</v>
      </c>
      <c r="N1119" s="27" t="str">
        <f t="shared" si="493"/>
        <v>No</v>
      </c>
      <c r="O1119" s="27" t="str">
        <f t="shared" si="494"/>
        <v>No</v>
      </c>
      <c r="Q1119" s="27" t="s">
        <v>117</v>
      </c>
      <c r="R1119" s="27" t="str">
        <f>_xlfn.XLOOKUP("ug/ft2",D1117:D1127,F1117:F1127,"N/A")</f>
        <v>Yes</v>
      </c>
      <c r="S1119" s="27" t="str">
        <f>IF(COUNTIF(O1122:O1125,"Yes"),"Yes","No")</f>
        <v>No</v>
      </c>
      <c r="U1119" s="27" t="s">
        <v>163</v>
      </c>
      <c r="V1119" s="27" t="s">
        <v>9</v>
      </c>
      <c r="W1119" s="27" t="str">
        <f>O1121</f>
        <v>No</v>
      </c>
      <c r="X1119" s="27" t="str">
        <f t="shared" si="495"/>
        <v>Yes</v>
      </c>
    </row>
    <row r="1120" spans="1:38" x14ac:dyDescent="0.2">
      <c r="A1120" s="27" t="s">
        <v>201</v>
      </c>
      <c r="B1120" s="27" t="s">
        <v>214</v>
      </c>
      <c r="C1120" s="27">
        <v>21.3</v>
      </c>
      <c r="D1120" s="27" t="s">
        <v>33</v>
      </c>
      <c r="E1120" s="27" t="s">
        <v>5</v>
      </c>
      <c r="F1120" s="27" t="str">
        <f t="shared" ref="F1120" si="497">IF(C1120&gt;$W$6,"Yes","No")</f>
        <v>Yes</v>
      </c>
      <c r="G1120" s="27" t="s">
        <v>5</v>
      </c>
      <c r="J1120" s="27" t="s">
        <v>19</v>
      </c>
      <c r="K1120" s="27">
        <v>430</v>
      </c>
      <c r="L1120" s="27" t="s">
        <v>12</v>
      </c>
      <c r="M1120" s="27" t="s">
        <v>46</v>
      </c>
      <c r="N1120" s="27" t="str">
        <f>IF(K1120="N/A","No", IF(K1120&gt;5000,"Yes","No"))</f>
        <v>No</v>
      </c>
      <c r="O1120" s="27" t="str">
        <f>IF(K1120="Not","No",IF(K1120="n/a","N/A",IF(K1120&gt;$Y$2,"Yes","No")))</f>
        <v>No</v>
      </c>
      <c r="Q1120" s="27" t="s">
        <v>118</v>
      </c>
      <c r="R1120" s="27" t="str">
        <f>IF(COUNTIF(R1117:R1119,"Yes"),"Yes","No")</f>
        <v>Yes</v>
      </c>
      <c r="S1120" s="27" t="str">
        <f>IF(COUNTIF(S1117:S1119,"Yes"),"Yes","No")</f>
        <v>No</v>
      </c>
      <c r="U1120" s="27" t="s">
        <v>164</v>
      </c>
      <c r="V1120" s="27" t="s">
        <v>9</v>
      </c>
      <c r="W1120" s="27" t="str">
        <f>O1120</f>
        <v>No</v>
      </c>
      <c r="X1120" s="27" t="str">
        <f t="shared" si="495"/>
        <v>Yes</v>
      </c>
    </row>
    <row r="1121" spans="1:38" x14ac:dyDescent="0.2">
      <c r="J1121" s="27" t="s">
        <v>22</v>
      </c>
      <c r="K1121" s="27">
        <v>10</v>
      </c>
      <c r="L1121" s="27" t="s">
        <v>12</v>
      </c>
      <c r="M1121" s="27" t="s">
        <v>43</v>
      </c>
      <c r="N1121" s="27" t="str">
        <f>IF(K1121="N/A","No", IF(K1121&gt;5000,"Yes","No"))</f>
        <v>No</v>
      </c>
      <c r="O1121" s="27" t="str">
        <f>IF(K1121="Not","No",IF(K1121="n/a","N/A",IF(K1121&gt;$Y$2,"Yes","No")))</f>
        <v>No</v>
      </c>
      <c r="U1121" s="27" t="s">
        <v>162</v>
      </c>
      <c r="V1121" s="27" t="str">
        <f>R1118</f>
        <v>No</v>
      </c>
      <c r="W1121" s="27" t="str">
        <f>S1118</f>
        <v>No</v>
      </c>
      <c r="X1121" s="27" t="str">
        <f t="shared" si="495"/>
        <v>Yes</v>
      </c>
    </row>
    <row r="1122" spans="1:38" x14ac:dyDescent="0.2">
      <c r="J1122" s="27" t="s">
        <v>25</v>
      </c>
      <c r="K1122" s="27">
        <v>2.5</v>
      </c>
      <c r="L1122" s="27" t="s">
        <v>12</v>
      </c>
      <c r="M1122" s="27" t="s">
        <v>126</v>
      </c>
      <c r="N1122" s="27" t="str">
        <f>IF(K1122="N/A","No", IF(K1122&gt;20,"Yes","No"))</f>
        <v>No</v>
      </c>
      <c r="O1122" s="27" t="str">
        <f t="shared" ref="O1122:O1123" si="498">IF(K1122="Not","No",IF(K1122="n/a","N/A",IF(K1122&gt;$Y$6,"Yes","No")))</f>
        <v>No</v>
      </c>
      <c r="U1122" s="27" t="s">
        <v>101</v>
      </c>
      <c r="V1122" s="27" t="s">
        <v>5</v>
      </c>
      <c r="W1122" s="27" t="s">
        <v>9</v>
      </c>
      <c r="X1122" s="27" t="str">
        <f>IF(V1122="N/A","N/A",IF(W1122="N/A", "N/A", IF(V1122=W1122, "Yes","No")))</f>
        <v>No</v>
      </c>
    </row>
    <row r="1123" spans="1:38" x14ac:dyDescent="0.2">
      <c r="J1123" s="27" t="s">
        <v>29</v>
      </c>
      <c r="K1123" s="27">
        <v>2.5</v>
      </c>
      <c r="L1123" s="27" t="s">
        <v>12</v>
      </c>
      <c r="M1123" s="27" t="s">
        <v>222</v>
      </c>
      <c r="N1123" s="27" t="str">
        <f>IF(K1123="N/A","No", IF(K1123&gt;20,"Yes","No"))</f>
        <v>No</v>
      </c>
      <c r="O1123" s="27" t="str">
        <f t="shared" si="498"/>
        <v>No</v>
      </c>
      <c r="U1123" s="27" t="s">
        <v>104</v>
      </c>
      <c r="V1123" s="27" t="s">
        <v>120</v>
      </c>
      <c r="W1123" s="27" t="str">
        <f>O1124</f>
        <v>No</v>
      </c>
      <c r="X1123" s="27" t="str">
        <f>IF(V1123="N/A","N/A",IF(W1123="N/A", "N/A", IF(V1123=W1123, "Yes","No")))</f>
        <v>N/A</v>
      </c>
    </row>
    <row r="1124" spans="1:38" x14ac:dyDescent="0.2">
      <c r="J1124" s="27" t="s">
        <v>34</v>
      </c>
      <c r="K1124" s="27">
        <v>2.5</v>
      </c>
      <c r="L1124" s="27" t="s">
        <v>12</v>
      </c>
      <c r="M1124" s="27" t="s">
        <v>210</v>
      </c>
      <c r="N1124" s="27" t="str">
        <f>IF(K1124="N/A","No", IF(K1124&gt;230,"Yes","No"))</f>
        <v>No</v>
      </c>
      <c r="O1124" s="27" t="str">
        <f>IF(K1124="Not","No",IF(K1124="n/a","N/A",IF(K1124&gt;$Y$5,"Yes","No")))</f>
        <v>No</v>
      </c>
      <c r="U1124" s="27" t="s">
        <v>106</v>
      </c>
      <c r="V1124" s="27" t="str">
        <f>R1119</f>
        <v>Yes</v>
      </c>
      <c r="W1124" s="27" t="str">
        <f>S1119</f>
        <v>No</v>
      </c>
      <c r="X1124" s="27" t="str">
        <f>IF(V1124="N/A","N/A",IF(W1124="N/A", "N/A", IF(V1124=W1124, "Yes","No")))</f>
        <v>No</v>
      </c>
    </row>
    <row r="1125" spans="1:38" x14ac:dyDescent="0.2">
      <c r="J1125" s="69" t="s">
        <v>208</v>
      </c>
      <c r="K1125" s="27">
        <v>28.6</v>
      </c>
      <c r="L1125" s="27" t="s">
        <v>12</v>
      </c>
      <c r="M1125" s="27" t="s">
        <v>223</v>
      </c>
      <c r="N1125" s="27" t="str">
        <f>IF(K1125="N/A","No", IF(K1125&gt;20,"Yes","No"))</f>
        <v>Yes</v>
      </c>
      <c r="O1125" s="27" t="str">
        <f>IF(K1125="Not","No",IF(K1125="n/a","N/A",IF(K1125&gt;$Y$7,"Yes","No")))</f>
        <v>No</v>
      </c>
      <c r="U1125" s="27" t="s">
        <v>121</v>
      </c>
      <c r="V1125" s="27" t="str">
        <f>R1120</f>
        <v>Yes</v>
      </c>
      <c r="W1125" s="27" t="str">
        <f>S1120</f>
        <v>No</v>
      </c>
      <c r="X1125" s="27" t="str">
        <f>IF(V1125="N/A","N/A",IF(W1125="N/A", "N/A", IF(V1125=W1125, "Yes","No")))</f>
        <v>No</v>
      </c>
    </row>
    <row r="1127" spans="1:38" x14ac:dyDescent="0.2">
      <c r="A1127" s="27">
        <v>1347</v>
      </c>
      <c r="B1127" s="27" t="s">
        <v>319</v>
      </c>
      <c r="C1127" s="27">
        <v>75</v>
      </c>
    </row>
    <row r="1128" spans="1:38" x14ac:dyDescent="0.2">
      <c r="A1128" s="59" t="s">
        <v>0</v>
      </c>
      <c r="E1128" s="27" t="s">
        <v>274</v>
      </c>
      <c r="F1128" s="27" t="s">
        <v>275</v>
      </c>
      <c r="G1128" s="27" t="s">
        <v>119</v>
      </c>
      <c r="J1128" s="59" t="s">
        <v>1</v>
      </c>
      <c r="N1128" s="27" t="s">
        <v>277</v>
      </c>
      <c r="O1128" s="27" t="s">
        <v>278</v>
      </c>
      <c r="Q1128" s="59" t="s">
        <v>115</v>
      </c>
      <c r="R1128" s="59" t="s">
        <v>0</v>
      </c>
      <c r="S1128" s="59" t="s">
        <v>1</v>
      </c>
      <c r="U1128" s="59" t="s">
        <v>115</v>
      </c>
      <c r="V1128" s="59" t="s">
        <v>0</v>
      </c>
      <c r="W1128" s="59" t="s">
        <v>1</v>
      </c>
      <c r="X1128" s="59" t="s">
        <v>122</v>
      </c>
      <c r="AA1128" s="27" t="str">
        <f>IF(R1129="Yes","LRA-Soil","")</f>
        <v/>
      </c>
      <c r="AB1128" s="27" t="str">
        <f>IF(R1130="Yes","LRA-Paint","")</f>
        <v/>
      </c>
      <c r="AC1128" s="27" t="str">
        <f>IF(R1131="Yes","LRA-Dust","")</f>
        <v/>
      </c>
      <c r="AD1128" s="27" t="str">
        <f>IF(S1129="Yes","LSK-Soil","")</f>
        <v/>
      </c>
      <c r="AE1128" s="27" t="str">
        <f>IF(S1130="Yes","LSK-Paint","")</f>
        <v/>
      </c>
      <c r="AF1128" s="27" t="str">
        <f>IF(S1131="Yes","LSK-Dust","")</f>
        <v/>
      </c>
      <c r="AI1128" s="27" t="s">
        <v>46</v>
      </c>
      <c r="AJ1128" s="27" t="s">
        <v>43</v>
      </c>
      <c r="AK1128" s="27" t="s">
        <v>116</v>
      </c>
      <c r="AL1128" s="27" t="s">
        <v>117</v>
      </c>
    </row>
    <row r="1129" spans="1:38" x14ac:dyDescent="0.2">
      <c r="A1129" s="27" t="s">
        <v>63</v>
      </c>
      <c r="B1129" s="27" t="s">
        <v>10</v>
      </c>
      <c r="C1129" s="27">
        <v>0</v>
      </c>
      <c r="D1129" s="27" t="s">
        <v>4</v>
      </c>
      <c r="F1129" s="27" t="str">
        <f t="shared" ref="F1129:F1134" si="499">IF(C1129&gt;=$W$2,"Yes","No")</f>
        <v>No</v>
      </c>
      <c r="G1129" s="27" t="s">
        <v>9</v>
      </c>
      <c r="H1129" s="27" t="s">
        <v>46</v>
      </c>
      <c r="J1129" s="27" t="s">
        <v>6</v>
      </c>
      <c r="K1129" s="27">
        <v>2</v>
      </c>
      <c r="L1129" s="27" t="s">
        <v>12</v>
      </c>
      <c r="M1129" s="27" t="s">
        <v>415</v>
      </c>
      <c r="N1129" s="27" t="str">
        <f>IF(K1129="N/A","No", IF(K1129&gt;1200,"Yes","No"))</f>
        <v>No</v>
      </c>
      <c r="O1129" s="27" t="str">
        <f>IF(K1129="Not","No",IF(K1129="n/a","N/A",IF(K1129&gt;=$Y$3,"Yes","No")))</f>
        <v>No</v>
      </c>
      <c r="Q1129" s="27" t="s">
        <v>116</v>
      </c>
      <c r="R1129" s="27" t="str">
        <f>_xlfn.XLOOKUP("ppm",D1129:D1136,F1129:F1136,"N/A")</f>
        <v>No</v>
      </c>
      <c r="S1129" s="27" t="str">
        <f>IF(COUNTIF(O1129:O1131,"Yes"),"Yes","No")</f>
        <v>No</v>
      </c>
      <c r="U1129" s="27" t="s">
        <v>92</v>
      </c>
      <c r="V1129" s="27" t="s">
        <v>120</v>
      </c>
      <c r="W1129" s="27" t="s">
        <v>120</v>
      </c>
      <c r="X1129" s="27" t="str">
        <f>IF(V1129="N/A","N/A",IF(W1129="N/A", "N/A", IF(V1129=W1129, "Yes","No")))</f>
        <v>N/A</v>
      </c>
      <c r="AF1129" s="27" t="str">
        <f>IF(S1119="Yes","LSK-Dust","")</f>
        <v/>
      </c>
      <c r="AI1129" s="27">
        <f>COUNTIF(H1129:H1134,"Exterior")</f>
        <v>1</v>
      </c>
      <c r="AJ1129" s="27">
        <f>COUNTIF(H1129:H1134, "Interior")</f>
        <v>1</v>
      </c>
      <c r="AK1129" s="27">
        <f>COUNTIFS(D1129:D1134,"ppm")+COUNTIFS(D1129:D1134,"mg/Kg")</f>
        <v>1</v>
      </c>
      <c r="AL1129" s="27">
        <f>COUNTIF(D1129:D1134,"ug/ft2")</f>
        <v>2</v>
      </c>
    </row>
    <row r="1130" spans="1:38" x14ac:dyDescent="0.2">
      <c r="A1130" s="27" t="s">
        <v>83</v>
      </c>
      <c r="B1130" s="27" t="s">
        <v>399</v>
      </c>
      <c r="C1130" s="27" t="s">
        <v>397</v>
      </c>
      <c r="D1130" s="27" t="s">
        <v>12</v>
      </c>
      <c r="F1130" s="63" t="s">
        <v>9</v>
      </c>
      <c r="G1130" s="27" t="s">
        <v>9</v>
      </c>
      <c r="J1130" s="27" t="s">
        <v>11</v>
      </c>
      <c r="K1130" s="27">
        <v>9</v>
      </c>
      <c r="L1130" s="27" t="s">
        <v>12</v>
      </c>
      <c r="M1130" s="27" t="s">
        <v>416</v>
      </c>
      <c r="N1130" s="27" t="str">
        <f t="shared" ref="N1130:N1131" si="500">IF(K1130="N/A","No", IF(K1130&gt;1200,"Yes","No"))</f>
        <v>No</v>
      </c>
      <c r="O1130" s="27" t="str">
        <f t="shared" ref="O1130:O1131" si="501">IF(K1130="Not","No",IF(K1130="n/a","N/A",IF(K1130&gt;$Y$3,"Yes","No")))</f>
        <v>No</v>
      </c>
      <c r="Q1130" s="27" t="s">
        <v>98</v>
      </c>
      <c r="R1130" s="27" t="str">
        <f>_xlfn.XLOOKUP("mg/cm2",D1129:D1133,G1129:G1133,"N/A",1,-1)</f>
        <v>No</v>
      </c>
      <c r="S1130" s="27" t="str">
        <f>IF(COUNTIF(O1132:O1133,"Yes"),"Yes","No")</f>
        <v>No</v>
      </c>
      <c r="U1130" s="27" t="s">
        <v>95</v>
      </c>
      <c r="V1130" s="27" t="str">
        <f>R1129</f>
        <v>No</v>
      </c>
      <c r="W1130" s="27" t="str">
        <f>S1129</f>
        <v>No</v>
      </c>
      <c r="X1130" s="27" t="str">
        <f t="shared" ref="X1130:X1133" si="502">IF(V1130="N/A","N/A",IF(W1130="N/A", "N/A", IF(V1130=W1130, "Yes","No")))</f>
        <v>Yes</v>
      </c>
    </row>
    <row r="1131" spans="1:38" x14ac:dyDescent="0.2">
      <c r="A1131" s="27" t="s">
        <v>71</v>
      </c>
      <c r="B1131" s="27" t="s">
        <v>174</v>
      </c>
      <c r="C1131" s="27">
        <v>0</v>
      </c>
      <c r="D1131" s="27" t="s">
        <v>4</v>
      </c>
      <c r="F1131" s="27" t="str">
        <f t="shared" ref="F1131" si="503">IF(C1131&gt;=$W$2,"Yes","No")</f>
        <v>No</v>
      </c>
      <c r="G1131" s="27" t="s">
        <v>9</v>
      </c>
      <c r="H1131" s="27" t="s">
        <v>43</v>
      </c>
      <c r="J1131" s="27" t="s">
        <v>15</v>
      </c>
      <c r="K1131" s="27">
        <v>8</v>
      </c>
      <c r="L1131" s="27" t="s">
        <v>12</v>
      </c>
      <c r="M1131" s="27" t="s">
        <v>417</v>
      </c>
      <c r="N1131" s="27" t="str">
        <f t="shared" si="500"/>
        <v>No</v>
      </c>
      <c r="O1131" s="27" t="str">
        <f t="shared" si="501"/>
        <v>No</v>
      </c>
      <c r="Q1131" s="27" t="s">
        <v>117</v>
      </c>
      <c r="R1131" s="27" t="str">
        <f>_xlfn.XLOOKUP("ug/ft2",D1129:D1134,F1129:F1134,"N/A")</f>
        <v>No</v>
      </c>
      <c r="S1131" s="27" t="str">
        <f>IF(COUNTIF(O1134:O1137,"Yes"),"Yes","No")</f>
        <v>No</v>
      </c>
      <c r="U1131" s="27" t="s">
        <v>163</v>
      </c>
      <c r="V1131" s="27" t="s">
        <v>9</v>
      </c>
      <c r="W1131" s="27" t="s">
        <v>9</v>
      </c>
      <c r="X1131" s="27" t="str">
        <f t="shared" si="502"/>
        <v>Yes</v>
      </c>
    </row>
    <row r="1132" spans="1:38" x14ac:dyDescent="0.2">
      <c r="A1132" s="27" t="s">
        <v>71</v>
      </c>
      <c r="B1132" s="27" t="s">
        <v>32</v>
      </c>
      <c r="C1132" s="27">
        <v>3</v>
      </c>
      <c r="D1132" s="27" t="s">
        <v>33</v>
      </c>
      <c r="F1132" s="27" t="str">
        <f t="shared" ref="F1132" si="504">IF(C1132&gt;$W$6,"Yes","No")</f>
        <v>No</v>
      </c>
      <c r="G1132" s="27" t="s">
        <v>9</v>
      </c>
      <c r="J1132" s="27" t="s">
        <v>19</v>
      </c>
      <c r="K1132" s="27">
        <v>250</v>
      </c>
      <c r="L1132" s="27" t="s">
        <v>12</v>
      </c>
      <c r="M1132" s="27" t="s">
        <v>418</v>
      </c>
      <c r="N1132" s="27" t="str">
        <f>IF(K1132="N/A","No", IF(K1132&gt;5000,"Yes","No"))</f>
        <v>No</v>
      </c>
      <c r="O1132" s="27" t="str">
        <f>IF(K1132="Not","No",IF(K1132="n/a","N/A",IF(K1132&gt;$Y$2,"Yes","No")))</f>
        <v>No</v>
      </c>
      <c r="Q1132" s="27" t="s">
        <v>118</v>
      </c>
      <c r="R1132" s="27" t="str">
        <f>IF(COUNTIF(R1129:R1131,"Yes"),"Yes","No")</f>
        <v>No</v>
      </c>
      <c r="S1132" s="27" t="str">
        <f>IF(COUNTIF(S1129:S1131,"Yes"),"Yes","No")</f>
        <v>No</v>
      </c>
      <c r="U1132" s="27" t="s">
        <v>164</v>
      </c>
      <c r="V1132" s="27" t="s">
        <v>9</v>
      </c>
      <c r="W1132" s="27" t="s">
        <v>9</v>
      </c>
      <c r="X1132" s="27" t="str">
        <f t="shared" si="502"/>
        <v>Yes</v>
      </c>
    </row>
    <row r="1133" spans="1:38" x14ac:dyDescent="0.2">
      <c r="A1133" s="27" t="s">
        <v>70</v>
      </c>
      <c r="B1133" s="27" t="s">
        <v>54</v>
      </c>
      <c r="C1133" s="27">
        <v>12</v>
      </c>
      <c r="D1133" s="27" t="s">
        <v>33</v>
      </c>
      <c r="F1133" s="27" t="str">
        <f t="shared" ref="F1133" si="505">IF(C1133&gt;$W$5,"Yes","No")</f>
        <v>No</v>
      </c>
      <c r="G1133" s="27" t="s">
        <v>9</v>
      </c>
      <c r="J1133" s="27" t="s">
        <v>22</v>
      </c>
      <c r="K1133" s="27" t="s">
        <v>120</v>
      </c>
      <c r="L1133" s="27" t="s">
        <v>12</v>
      </c>
      <c r="M1133" s="27" t="s">
        <v>66</v>
      </c>
      <c r="N1133" s="27" t="str">
        <f>IF(K1133="N/A","No", IF(K1133&gt;5000,"Yes","No"))</f>
        <v>No</v>
      </c>
      <c r="O1133" s="27" t="str">
        <f>IF(K1133="Not","No",IF(K1133="n/a","N/A",IF(K1133&gt;$Y$2,"Yes","No")))</f>
        <v>N/A</v>
      </c>
      <c r="U1133" s="27" t="s">
        <v>162</v>
      </c>
      <c r="V1133" s="27" t="str">
        <f>R1130</f>
        <v>No</v>
      </c>
      <c r="W1133" s="27" t="str">
        <f>S1130</f>
        <v>No</v>
      </c>
      <c r="X1133" s="27" t="str">
        <f t="shared" si="502"/>
        <v>Yes</v>
      </c>
    </row>
    <row r="1134" spans="1:38" x14ac:dyDescent="0.2">
      <c r="A1134" s="57" t="s">
        <v>73</v>
      </c>
      <c r="B1134" s="57" t="s">
        <v>414</v>
      </c>
      <c r="C1134" s="57">
        <v>1.2</v>
      </c>
      <c r="D1134" s="57" t="s">
        <v>4</v>
      </c>
      <c r="E1134" s="57"/>
      <c r="F1134" s="57" t="str">
        <f t="shared" si="499"/>
        <v>Yes</v>
      </c>
      <c r="G1134" s="57" t="s">
        <v>5</v>
      </c>
      <c r="J1134" s="27" t="s">
        <v>25</v>
      </c>
      <c r="K1134" s="27">
        <v>0</v>
      </c>
      <c r="L1134" s="27" t="s">
        <v>12</v>
      </c>
      <c r="M1134" s="27" t="s">
        <v>59</v>
      </c>
      <c r="N1134" s="27" t="str">
        <f>IF(K1134="N/A","No", IF(K1134&gt;230,"Yes","No"))</f>
        <v>No</v>
      </c>
      <c r="O1134" s="27" t="str">
        <f>IF(K1134="Not","No",IF(K1134="n/a","N/A",IF(K1134&gt;$Y$5,"Yes","No")))</f>
        <v>No</v>
      </c>
      <c r="U1134" s="27" t="s">
        <v>101</v>
      </c>
      <c r="V1134" s="27" t="s">
        <v>9</v>
      </c>
      <c r="W1134" s="27" t="s">
        <v>9</v>
      </c>
      <c r="X1134" s="27" t="str">
        <f>IF(V1134="N/A","N/A",IF(W1134="N/A", "N/A", IF(V1134=W1134, "Yes","No")))</f>
        <v>Yes</v>
      </c>
    </row>
    <row r="1135" spans="1:38" x14ac:dyDescent="0.2">
      <c r="J1135" s="27" t="s">
        <v>29</v>
      </c>
      <c r="K1135" s="27">
        <v>0</v>
      </c>
      <c r="L1135" s="27" t="s">
        <v>12</v>
      </c>
      <c r="M1135" s="27" t="s">
        <v>332</v>
      </c>
      <c r="N1135" s="27" t="str">
        <f>IF(K1135="N/A","No", IF(K1135&gt;20,"Yes","No"))</f>
        <v>No</v>
      </c>
      <c r="O1135" s="27" t="str">
        <f t="shared" ref="O1135:O1136" si="506">IF(K1135="Not","No",IF(K1135="n/a","N/A",IF(K1135&gt;$Y$6,"Yes","No")))</f>
        <v>No</v>
      </c>
      <c r="U1135" s="27" t="s">
        <v>104</v>
      </c>
      <c r="V1135" s="27" t="s">
        <v>9</v>
      </c>
      <c r="W1135" s="27" t="s">
        <v>9</v>
      </c>
      <c r="X1135" s="27" t="str">
        <f>IF(V1135="N/A","N/A",IF(W1135="N/A", "N/A", IF(V1135=W1135, "Yes","No")))</f>
        <v>Yes</v>
      </c>
    </row>
    <row r="1136" spans="1:38" x14ac:dyDescent="0.2">
      <c r="J1136" s="27" t="s">
        <v>34</v>
      </c>
      <c r="K1136" s="27">
        <v>0</v>
      </c>
      <c r="L1136" s="27" t="s">
        <v>12</v>
      </c>
      <c r="M1136" s="27" t="s">
        <v>207</v>
      </c>
      <c r="N1136" s="27" t="str">
        <f>IF(K1136="N/A","No", IF(K1136&gt;20,"Yes","No"))</f>
        <v>No</v>
      </c>
      <c r="O1136" s="27" t="str">
        <f t="shared" si="506"/>
        <v>No</v>
      </c>
      <c r="U1136" s="27" t="s">
        <v>106</v>
      </c>
      <c r="V1136" s="27" t="str">
        <f>R1131</f>
        <v>No</v>
      </c>
      <c r="W1136" s="27" t="str">
        <f>S1131</f>
        <v>No</v>
      </c>
      <c r="X1136" s="27" t="str">
        <f>IF(V1136="N/A","N/A",IF(W1136="N/A", "N/A", IF(V1136=W1136, "Yes","No")))</f>
        <v>Yes</v>
      </c>
    </row>
    <row r="1137" spans="1:38" x14ac:dyDescent="0.2">
      <c r="U1137" s="27" t="s">
        <v>121</v>
      </c>
      <c r="V1137" s="27" t="str">
        <f>R1132</f>
        <v>No</v>
      </c>
      <c r="W1137" s="27" t="str">
        <f>S1132</f>
        <v>No</v>
      </c>
      <c r="X1137" s="27" t="str">
        <f>IF(V1137="N/A","N/A",IF(W1137="N/A", "N/A", IF(V1137=W1137, "Yes","No")))</f>
        <v>Yes</v>
      </c>
    </row>
    <row r="1139" spans="1:38" x14ac:dyDescent="0.2">
      <c r="A1139" s="27">
        <v>1350</v>
      </c>
      <c r="B1139" s="27" t="s">
        <v>111</v>
      </c>
      <c r="C1139" s="27">
        <v>76</v>
      </c>
    </row>
    <row r="1140" spans="1:38" x14ac:dyDescent="0.2">
      <c r="A1140" s="59" t="s">
        <v>0</v>
      </c>
      <c r="E1140" s="27" t="s">
        <v>274</v>
      </c>
      <c r="F1140" s="27" t="s">
        <v>275</v>
      </c>
      <c r="G1140" s="27" t="s">
        <v>119</v>
      </c>
      <c r="J1140" s="59" t="s">
        <v>1</v>
      </c>
      <c r="N1140" s="27" t="s">
        <v>277</v>
      </c>
      <c r="O1140" s="27" t="s">
        <v>278</v>
      </c>
      <c r="Q1140" s="59" t="s">
        <v>115</v>
      </c>
      <c r="R1140" s="59" t="s">
        <v>0</v>
      </c>
      <c r="S1140" s="59" t="s">
        <v>1</v>
      </c>
      <c r="U1140" s="59" t="s">
        <v>115</v>
      </c>
      <c r="V1140" s="59" t="s">
        <v>0</v>
      </c>
      <c r="W1140" s="59" t="s">
        <v>1</v>
      </c>
      <c r="X1140" s="59" t="s">
        <v>122</v>
      </c>
      <c r="AA1140" s="27" t="str">
        <f>IF(R1141="Yes","LRA-Soil","")</f>
        <v>LRA-Soil</v>
      </c>
      <c r="AB1140" s="27" t="str">
        <f>IF(R1142="Yes","LRA-Paint","")</f>
        <v>LRA-Paint</v>
      </c>
      <c r="AC1140" s="27" t="str">
        <f>IF(R1143="Yes","LRA-Dust","")</f>
        <v>LRA-Dust</v>
      </c>
      <c r="AD1140" s="27" t="str">
        <f>IF(S1141="Yes","LSK-Soil","")</f>
        <v>LSK-Soil</v>
      </c>
      <c r="AE1140" s="27" t="str">
        <f>IF(S1142="Yes","LSK-Paint","")</f>
        <v>LSK-Paint</v>
      </c>
      <c r="AF1140" s="27" t="str">
        <f>IF(S1143="Yes","LSK-Dust","")</f>
        <v>LSK-Dust</v>
      </c>
      <c r="AI1140" s="27" t="s">
        <v>46</v>
      </c>
      <c r="AJ1140" s="27" t="s">
        <v>43</v>
      </c>
      <c r="AK1140" s="27" t="s">
        <v>116</v>
      </c>
      <c r="AL1140" s="27" t="s">
        <v>117</v>
      </c>
    </row>
    <row r="1141" spans="1:38" x14ac:dyDescent="0.2">
      <c r="A1141" s="27" t="s">
        <v>63</v>
      </c>
      <c r="B1141" s="27" t="s">
        <v>203</v>
      </c>
      <c r="C1141" s="27">
        <v>7.3</v>
      </c>
      <c r="D1141" s="27" t="s">
        <v>4</v>
      </c>
      <c r="F1141" s="27" t="str">
        <f t="shared" ref="F1141" si="507">IF(C1141&gt;=$W$2,"Yes","No")</f>
        <v>Yes</v>
      </c>
      <c r="G1141" s="27" t="s">
        <v>5</v>
      </c>
      <c r="H1141" s="27" t="s">
        <v>46</v>
      </c>
      <c r="J1141" s="27" t="s">
        <v>6</v>
      </c>
      <c r="K1141" s="27">
        <v>69.900000000000006</v>
      </c>
      <c r="L1141" s="27" t="s">
        <v>12</v>
      </c>
      <c r="M1141" s="27" t="s">
        <v>114</v>
      </c>
      <c r="N1141" s="27" t="str">
        <f>IF(K1141="N/A","No", IF(K1141&gt;1200,"Yes","No"))</f>
        <v>No</v>
      </c>
      <c r="O1141" s="27" t="str">
        <f>IF(K1141="Not","No",IF(K1141="n/a","N/A",IF(K1141&gt;=$Y$3,"Yes","No")))</f>
        <v>No</v>
      </c>
      <c r="Q1141" s="27" t="s">
        <v>116</v>
      </c>
      <c r="R1141" s="27" t="str">
        <f>_xlfn.XLOOKUP("ppm",D1141:D1144,G1141:G1144,"N/A")</f>
        <v>Yes</v>
      </c>
      <c r="S1141" s="27" t="str">
        <f>IF(COUNTIF(O1141:O1143,"Yes"),"Yes","No")</f>
        <v>Yes</v>
      </c>
      <c r="U1141" s="27" t="s">
        <v>92</v>
      </c>
      <c r="V1141" s="27" t="s">
        <v>5</v>
      </c>
      <c r="W1141" s="27" t="s">
        <v>120</v>
      </c>
      <c r="X1141" s="27" t="str">
        <f>IF(V1141="N/A","N/A",IF(W1141="N/A", "N/A", IF(V1141=W1141, "Yes","No")))</f>
        <v>N/A</v>
      </c>
      <c r="AF1141" s="27" t="str">
        <f>IF(S1131="Yes","LSK-Dust","")</f>
        <v/>
      </c>
      <c r="AI1141" s="27">
        <f>COUNTIF(H1141:H1145,"Exterior")</f>
        <v>1</v>
      </c>
      <c r="AJ1141" s="27">
        <f>COUNTIF(H1141:H1145, "Interior")</f>
        <v>1</v>
      </c>
      <c r="AK1141" s="27">
        <f>COUNTIFS(D1141:D1145,"ppm")+COUNTIFS(D1141:D1145,"mg/Kg")</f>
        <v>1</v>
      </c>
      <c r="AL1141" s="27">
        <f>COUNTIF(D1141:D1145,"ug/ft2")</f>
        <v>1</v>
      </c>
    </row>
    <row r="1142" spans="1:38" x14ac:dyDescent="0.2">
      <c r="A1142" s="27" t="s">
        <v>200</v>
      </c>
      <c r="B1142" s="27" t="s">
        <v>290</v>
      </c>
      <c r="C1142" s="27">
        <v>960</v>
      </c>
      <c r="D1142" s="27" t="s">
        <v>12</v>
      </c>
      <c r="E1142" s="27" t="s">
        <v>5</v>
      </c>
      <c r="F1142" s="27" t="str">
        <f t="shared" ref="F1142" si="508">IF(C1142&gt;$W$3,"Yes","No")</f>
        <v>Yes</v>
      </c>
      <c r="G1142" s="27" t="s">
        <v>5</v>
      </c>
      <c r="J1142" s="27" t="s">
        <v>11</v>
      </c>
      <c r="K1142" s="27">
        <v>1029</v>
      </c>
      <c r="L1142" s="27" t="s">
        <v>12</v>
      </c>
      <c r="M1142" s="27" t="s">
        <v>67</v>
      </c>
      <c r="N1142" s="27" t="str">
        <f t="shared" ref="N1142:N1143" si="509">IF(K1142="N/A","No", IF(K1142&gt;1200,"Yes","No"))</f>
        <v>No</v>
      </c>
      <c r="O1142" s="27" t="str">
        <f t="shared" ref="O1142:O1143" si="510">IF(K1142="Not","No",IF(K1142="n/a","N/A",IF(K1142&gt;$Y$3,"Yes","No")))</f>
        <v>Yes</v>
      </c>
      <c r="Q1142" s="27" t="s">
        <v>98</v>
      </c>
      <c r="R1142" s="27" t="str">
        <f>_xlfn.XLOOKUP("mg/cm2",D1141:D1145,G1141:G1145,"N/A",1,-1)</f>
        <v>Yes</v>
      </c>
      <c r="S1142" s="27" t="str">
        <f>IF(COUNTIF(O1144:O1145,"Yes"),"Yes","No")</f>
        <v>Yes</v>
      </c>
      <c r="U1142" s="27" t="s">
        <v>95</v>
      </c>
      <c r="V1142" s="27" t="str">
        <f>R1141</f>
        <v>Yes</v>
      </c>
      <c r="W1142" s="27" t="str">
        <f>S1141</f>
        <v>Yes</v>
      </c>
      <c r="X1142" s="27" t="str">
        <f t="shared" ref="X1142:X1145" si="511">IF(V1142="N/A","N/A",IF(W1142="N/A", "N/A", IF(V1142=W1142, "Yes","No")))</f>
        <v>Yes</v>
      </c>
    </row>
    <row r="1143" spans="1:38" x14ac:dyDescent="0.2">
      <c r="A1143" s="27" t="s">
        <v>113</v>
      </c>
      <c r="B1143" s="27" t="s">
        <v>77</v>
      </c>
      <c r="C1143" s="27">
        <v>14.1</v>
      </c>
      <c r="D1143" s="27" t="s">
        <v>4</v>
      </c>
      <c r="F1143" s="27" t="str">
        <f t="shared" ref="F1143" si="512">IF(C1143&gt;=$W$2,"Yes","No")</f>
        <v>Yes</v>
      </c>
      <c r="G1143" s="27" t="s">
        <v>5</v>
      </c>
      <c r="H1143" s="27" t="s">
        <v>43</v>
      </c>
      <c r="J1143" s="27" t="s">
        <v>15</v>
      </c>
      <c r="K1143" s="27">
        <v>1393</v>
      </c>
      <c r="L1143" s="27" t="s">
        <v>12</v>
      </c>
      <c r="M1143" s="27" t="s">
        <v>112</v>
      </c>
      <c r="N1143" s="27" t="str">
        <f t="shared" si="509"/>
        <v>Yes</v>
      </c>
      <c r="O1143" s="27" t="str">
        <f t="shared" si="510"/>
        <v>Yes</v>
      </c>
      <c r="Q1143" s="27" t="s">
        <v>117</v>
      </c>
      <c r="R1143" s="27" t="str">
        <f>_xlfn.XLOOKUP("ug/ft2",D1141:D1144,G1141:G1144,"N/A")</f>
        <v>Yes</v>
      </c>
      <c r="S1143" s="27" t="str">
        <f>IF(COUNTIF(O1146:O1149,"Yes"),"Yes","No")</f>
        <v>Yes</v>
      </c>
      <c r="U1143" s="27" t="s">
        <v>163</v>
      </c>
      <c r="V1143" s="27" t="s">
        <v>5</v>
      </c>
      <c r="W1143" s="27" t="str">
        <f>O1145</f>
        <v>No</v>
      </c>
      <c r="X1143" s="27" t="str">
        <f t="shared" si="511"/>
        <v>No</v>
      </c>
    </row>
    <row r="1144" spans="1:38" x14ac:dyDescent="0.2">
      <c r="A1144" s="27" t="s">
        <v>201</v>
      </c>
      <c r="B1144" s="27" t="s">
        <v>214</v>
      </c>
      <c r="C1144" s="27">
        <v>400</v>
      </c>
      <c r="D1144" s="27" t="s">
        <v>33</v>
      </c>
      <c r="E1144" s="27" t="s">
        <v>5</v>
      </c>
      <c r="F1144" s="27" t="str">
        <f t="shared" ref="F1144" si="513">IF(C1144&gt;$W$6,"Yes","No")</f>
        <v>Yes</v>
      </c>
      <c r="G1144" s="27" t="s">
        <v>5</v>
      </c>
      <c r="J1144" s="27" t="s">
        <v>19</v>
      </c>
      <c r="K1144" s="27">
        <v>56842</v>
      </c>
      <c r="L1144" s="27" t="s">
        <v>12</v>
      </c>
      <c r="M1144" s="27" t="s">
        <v>46</v>
      </c>
      <c r="N1144" s="27" t="str">
        <f>IF(K1144="N/A","No", IF(K1144&gt;5000,"Yes","No"))</f>
        <v>Yes</v>
      </c>
      <c r="O1144" s="27" t="str">
        <f>IF(K1144="Not","No",IF(K1144="n/a","N/A",IF(K1144&gt;$Y$2,"Yes","No")))</f>
        <v>Yes</v>
      </c>
      <c r="Q1144" s="27" t="s">
        <v>118</v>
      </c>
      <c r="R1144" s="27" t="str">
        <f>IF(COUNTIF(R1141:R1143,"Yes"),"Yes","No")</f>
        <v>Yes</v>
      </c>
      <c r="S1144" s="27" t="str">
        <f>IF(COUNTIF(S1141:S1143,"Yes"),"Yes","No")</f>
        <v>Yes</v>
      </c>
      <c r="U1144" s="27" t="s">
        <v>164</v>
      </c>
      <c r="V1144" s="27" t="s">
        <v>5</v>
      </c>
      <c r="W1144" s="27" t="str">
        <f>O1144</f>
        <v>Yes</v>
      </c>
      <c r="X1144" s="27" t="str">
        <f t="shared" si="511"/>
        <v>Yes</v>
      </c>
    </row>
    <row r="1145" spans="1:38" x14ac:dyDescent="0.2">
      <c r="J1145" s="27" t="s">
        <v>22</v>
      </c>
      <c r="K1145" s="27">
        <v>285</v>
      </c>
      <c r="L1145" s="27" t="s">
        <v>12</v>
      </c>
      <c r="M1145" s="27" t="s">
        <v>43</v>
      </c>
      <c r="N1145" s="27" t="str">
        <f>IF(K1145="N/A","No", IF(K1145&gt;5000,"Yes","No"))</f>
        <v>No</v>
      </c>
      <c r="O1145" s="27" t="str">
        <f>IF(K1145="Not","No",IF(K1145="n/a","N/A",IF(K1145&gt;$Y$2,"Yes","No")))</f>
        <v>No</v>
      </c>
      <c r="U1145" s="27" t="s">
        <v>162</v>
      </c>
      <c r="V1145" s="27" t="str">
        <f>R1142</f>
        <v>Yes</v>
      </c>
      <c r="W1145" s="27" t="str">
        <f>S1142</f>
        <v>Yes</v>
      </c>
      <c r="X1145" s="27" t="str">
        <f t="shared" si="511"/>
        <v>Yes</v>
      </c>
    </row>
    <row r="1146" spans="1:38" x14ac:dyDescent="0.2">
      <c r="J1146" s="27" t="s">
        <v>25</v>
      </c>
      <c r="K1146" s="27">
        <v>20</v>
      </c>
      <c r="L1146" s="27" t="s">
        <v>12</v>
      </c>
      <c r="M1146" s="27" t="s">
        <v>126</v>
      </c>
      <c r="N1146" s="27" t="str">
        <f>IF(K1146="N/A","No", IF(K1146&gt;=20,"Yes","No"))</f>
        <v>Yes</v>
      </c>
      <c r="O1146" s="27" t="str">
        <f>IF(K1146="Not","No",IF(K1146="n/a","N/A",IF(K1146&gt;=$Y$6,"Yes","No")))</f>
        <v>Yes</v>
      </c>
      <c r="U1146" s="27" t="s">
        <v>101</v>
      </c>
      <c r="V1146" s="27" t="s">
        <v>5</v>
      </c>
      <c r="W1146" s="27" t="s">
        <v>9</v>
      </c>
      <c r="X1146" s="27" t="str">
        <f>IF(V1146="N/A","N/A",IF(W1146="N/A", "N/A", IF(V1146=W1146, "Yes","No")))</f>
        <v>No</v>
      </c>
    </row>
    <row r="1147" spans="1:38" x14ac:dyDescent="0.2">
      <c r="J1147" s="27" t="s">
        <v>29</v>
      </c>
      <c r="K1147" s="27">
        <v>2.5</v>
      </c>
      <c r="L1147" s="27" t="s">
        <v>12</v>
      </c>
      <c r="M1147" s="27" t="s">
        <v>222</v>
      </c>
      <c r="N1147" s="27" t="str">
        <f>IF(K1147="N/A","No", IF(K1147&gt;20,"Yes","No"))</f>
        <v>No</v>
      </c>
      <c r="O1147" s="27" t="str">
        <f t="shared" ref="O1147" si="514">IF(K1147="Not","No",IF(K1147="n/a","N/A",IF(K1147&gt;$Y$6,"Yes","No")))</f>
        <v>No</v>
      </c>
      <c r="U1147" s="27" t="s">
        <v>104</v>
      </c>
      <c r="V1147" s="27" t="s">
        <v>120</v>
      </c>
      <c r="W1147" s="27" t="str">
        <f>O1148</f>
        <v>No</v>
      </c>
      <c r="X1147" s="27" t="str">
        <f>IF(V1147="N/A","N/A",IF(W1147="N/A", "N/A", IF(V1147=W1147, "Yes","No")))</f>
        <v>N/A</v>
      </c>
    </row>
    <row r="1148" spans="1:38" x14ac:dyDescent="0.2">
      <c r="J1148" s="27" t="s">
        <v>34</v>
      </c>
      <c r="K1148" s="27">
        <v>2.5</v>
      </c>
      <c r="L1148" s="27" t="s">
        <v>12</v>
      </c>
      <c r="M1148" s="27" t="s">
        <v>210</v>
      </c>
      <c r="N1148" s="27" t="str">
        <f>IF(K1148="N/A","No", IF(K1148&gt;230,"Yes","No"))</f>
        <v>No</v>
      </c>
      <c r="O1148" s="27" t="str">
        <f>IF(K1148="Not","No",IF(K1148="n/a","N/A",IF(K1148&gt;$Y$5,"Yes","No")))</f>
        <v>No</v>
      </c>
      <c r="U1148" s="27" t="s">
        <v>106</v>
      </c>
      <c r="V1148" s="27" t="str">
        <f>R1143</f>
        <v>Yes</v>
      </c>
      <c r="W1148" s="27" t="str">
        <f>S1143</f>
        <v>Yes</v>
      </c>
      <c r="X1148" s="27" t="str">
        <f>IF(V1148="N/A","N/A",IF(W1148="N/A", "N/A", IF(V1148=W1148, "Yes","No")))</f>
        <v>Yes</v>
      </c>
    </row>
    <row r="1149" spans="1:38" x14ac:dyDescent="0.2">
      <c r="J1149" s="27" t="s">
        <v>208</v>
      </c>
      <c r="K1149" s="27">
        <v>707</v>
      </c>
      <c r="L1149" s="27" t="s">
        <v>12</v>
      </c>
      <c r="M1149" s="27" t="s">
        <v>223</v>
      </c>
      <c r="N1149" s="27" t="str">
        <f>IF(K1149="N/A","No", IF(K1149&gt;20,"Yes","No"))</f>
        <v>Yes</v>
      </c>
      <c r="O1149" s="27" t="str">
        <f>IF(K1149="Not","No",IF(K1149="n/a","N/A",IF(K1149&gt;$Y$7,"Yes","No")))</f>
        <v>No</v>
      </c>
      <c r="U1149" s="27" t="s">
        <v>121</v>
      </c>
      <c r="V1149" s="27" t="str">
        <f>R1144</f>
        <v>Yes</v>
      </c>
      <c r="W1149" s="27" t="str">
        <f>S1144</f>
        <v>Yes</v>
      </c>
      <c r="X1149" s="27" t="str">
        <f>IF(V1149="N/A","N/A",IF(W1149="N/A", "N/A", IF(V1149=W1149, "Yes","No")))</f>
        <v>Yes</v>
      </c>
    </row>
    <row r="1151" spans="1:38" x14ac:dyDescent="0.2">
      <c r="A1151" s="27">
        <v>1355</v>
      </c>
      <c r="B1151" s="27" t="s">
        <v>111</v>
      </c>
      <c r="C1151" s="27">
        <v>77</v>
      </c>
    </row>
    <row r="1152" spans="1:38" x14ac:dyDescent="0.2">
      <c r="A1152" s="59" t="s">
        <v>0</v>
      </c>
      <c r="E1152" s="27" t="s">
        <v>274</v>
      </c>
      <c r="F1152" s="27" t="s">
        <v>275</v>
      </c>
      <c r="G1152" s="27" t="s">
        <v>119</v>
      </c>
      <c r="J1152" s="59" t="s">
        <v>1</v>
      </c>
      <c r="N1152" s="27" t="s">
        <v>277</v>
      </c>
      <c r="O1152" s="27" t="s">
        <v>278</v>
      </c>
      <c r="Q1152" s="59" t="s">
        <v>115</v>
      </c>
      <c r="R1152" s="59" t="s">
        <v>0</v>
      </c>
      <c r="S1152" s="59" t="s">
        <v>1</v>
      </c>
      <c r="U1152" s="59" t="s">
        <v>115</v>
      </c>
      <c r="V1152" s="59" t="s">
        <v>0</v>
      </c>
      <c r="W1152" s="59" t="s">
        <v>1</v>
      </c>
      <c r="X1152" s="59" t="s">
        <v>122</v>
      </c>
      <c r="AA1152" s="27" t="str">
        <f>IF(R1153="Yes","LRA-Soil","")</f>
        <v/>
      </c>
      <c r="AB1152" s="27" t="str">
        <f>IF(R1154="Yes","LRA-Paint","")</f>
        <v/>
      </c>
      <c r="AC1152" s="27" t="str">
        <f>IF(R1155="Yes","LRA-Dust","")</f>
        <v/>
      </c>
      <c r="AD1152" s="27" t="str">
        <f>IF(S1153="Yes","LSK-Soil","")</f>
        <v/>
      </c>
      <c r="AE1152" s="27" t="str">
        <f>IF(S1154="Yes","LSK-Paint","")</f>
        <v/>
      </c>
      <c r="AF1152" s="27" t="str">
        <f>IF(S1155="Yes","LSK-Dust","")</f>
        <v/>
      </c>
      <c r="AI1152" s="27" t="s">
        <v>46</v>
      </c>
      <c r="AJ1152" s="27" t="s">
        <v>43</v>
      </c>
      <c r="AK1152" s="27" t="s">
        <v>116</v>
      </c>
      <c r="AL1152" s="27" t="s">
        <v>117</v>
      </c>
    </row>
    <row r="1153" spans="1:38" x14ac:dyDescent="0.2">
      <c r="A1153" s="27" t="s">
        <v>63</v>
      </c>
      <c r="B1153" s="27" t="s">
        <v>64</v>
      </c>
      <c r="C1153" s="27">
        <v>0</v>
      </c>
      <c r="D1153" s="27" t="s">
        <v>4</v>
      </c>
      <c r="F1153" s="27" t="str">
        <f t="shared" ref="F1153" si="515">IF(C1153&gt;=$W$2,"Yes","No")</f>
        <v>No</v>
      </c>
      <c r="G1153" s="27" t="s">
        <v>9</v>
      </c>
      <c r="H1153" s="27" t="s">
        <v>46</v>
      </c>
      <c r="J1153" s="27" t="s">
        <v>6</v>
      </c>
      <c r="K1153" s="27">
        <v>35.4</v>
      </c>
      <c r="L1153" s="27" t="s">
        <v>12</v>
      </c>
      <c r="M1153" s="27" t="s">
        <v>114</v>
      </c>
      <c r="N1153" s="27" t="str">
        <f>IF(K1153="N/A","No", IF(K1153&gt;1200,"Yes","No"))</f>
        <v>No</v>
      </c>
      <c r="O1153" s="27" t="str">
        <f>IF(K1153="Not","No",IF(K1153="n/a","N/A",IF(K1153&gt;=$Y$3,"Yes","No")))</f>
        <v>No</v>
      </c>
      <c r="Q1153" s="27" t="s">
        <v>116</v>
      </c>
      <c r="R1153" s="27" t="str">
        <f>_xlfn.XLOOKUP("ppm",D1153:D1156,G1153:G1156,"N/A")</f>
        <v>No</v>
      </c>
      <c r="S1153" s="27" t="str">
        <f>IF(COUNTIF(O1153:O1155,"Yes"),"Yes","No")</f>
        <v>No</v>
      </c>
      <c r="U1153" s="27" t="s">
        <v>92</v>
      </c>
      <c r="V1153" s="27" t="s">
        <v>120</v>
      </c>
      <c r="W1153" s="27" t="s">
        <v>120</v>
      </c>
      <c r="X1153" s="27" t="str">
        <f>IF(V1153="N/A","N/A",IF(W1153="N/A", "N/A", IF(V1153=W1153, "Yes","No")))</f>
        <v>N/A</v>
      </c>
      <c r="AI1153" s="27">
        <f>COUNTIF(H1153:H1157,"Exterior")</f>
        <v>1</v>
      </c>
      <c r="AJ1153" s="27">
        <f>COUNTIF(H1153:H1157, "Interior")</f>
        <v>1</v>
      </c>
      <c r="AK1153" s="27">
        <f>COUNTIFS(D1153:D1157,"ppm")+COUNTIFS(D1153:D1157,"mg/Kg")</f>
        <v>1</v>
      </c>
      <c r="AL1153" s="27">
        <f>COUNTIF(D1153:D1157,"ug/ft2")</f>
        <v>1</v>
      </c>
    </row>
    <row r="1154" spans="1:38" x14ac:dyDescent="0.2">
      <c r="A1154" s="27" t="s">
        <v>200</v>
      </c>
      <c r="B1154" s="27" t="s">
        <v>294</v>
      </c>
      <c r="C1154" s="27">
        <v>24.8</v>
      </c>
      <c r="D1154" s="27" t="s">
        <v>12</v>
      </c>
      <c r="E1154" s="27" t="s">
        <v>9</v>
      </c>
      <c r="F1154" s="27" t="str">
        <f t="shared" ref="F1154" si="516">IF(C1154&gt;$W$3,"Yes","No")</f>
        <v>No</v>
      </c>
      <c r="G1154" s="27" t="s">
        <v>9</v>
      </c>
      <c r="J1154" s="27" t="s">
        <v>11</v>
      </c>
      <c r="K1154" s="27">
        <v>35.4</v>
      </c>
      <c r="L1154" s="27" t="s">
        <v>12</v>
      </c>
      <c r="M1154" s="27" t="s">
        <v>67</v>
      </c>
      <c r="N1154" s="27" t="str">
        <f t="shared" ref="N1154:N1155" si="517">IF(K1154="N/A","No", IF(K1154&gt;1200,"Yes","No"))</f>
        <v>No</v>
      </c>
      <c r="O1154" s="27" t="str">
        <f t="shared" ref="O1154:O1155" si="518">IF(K1154="Not","No",IF(K1154="n/a","N/A",IF(K1154&gt;$Y$3,"Yes","No")))</f>
        <v>No</v>
      </c>
      <c r="Q1154" s="27" t="s">
        <v>98</v>
      </c>
      <c r="R1154" s="27" t="str">
        <f>_xlfn.XLOOKUP("mg/cm2",D1153:D1157,G1153:G1157,"N/A",1,-1)</f>
        <v>No</v>
      </c>
      <c r="S1154" s="27" t="str">
        <f>IF(COUNTIF(O1156:O1157,"Yes"),"Yes","No")</f>
        <v>No</v>
      </c>
      <c r="U1154" s="27" t="s">
        <v>95</v>
      </c>
      <c r="V1154" s="27" t="str">
        <f>R1153</f>
        <v>No</v>
      </c>
      <c r="W1154" s="27" t="str">
        <f>S1153</f>
        <v>No</v>
      </c>
      <c r="X1154" s="27" t="str">
        <f t="shared" ref="X1154:X1157" si="519">IF(V1154="N/A","N/A",IF(W1154="N/A", "N/A", IF(V1154=W1154, "Yes","No")))</f>
        <v>Yes</v>
      </c>
    </row>
    <row r="1155" spans="1:38" x14ac:dyDescent="0.2">
      <c r="A1155" s="27" t="s">
        <v>191</v>
      </c>
      <c r="B1155" s="27" t="s">
        <v>189</v>
      </c>
      <c r="C1155" s="27">
        <v>0</v>
      </c>
      <c r="D1155" s="27" t="s">
        <v>4</v>
      </c>
      <c r="E1155" s="27" t="s">
        <v>9</v>
      </c>
      <c r="F1155" s="27" t="str">
        <f t="shared" ref="F1155" si="520">IF(C1155&gt;=$W$2,"Yes","No")</f>
        <v>No</v>
      </c>
      <c r="G1155" s="27" t="s">
        <v>9</v>
      </c>
      <c r="H1155" s="27" t="s">
        <v>43</v>
      </c>
      <c r="J1155" s="27" t="s">
        <v>15</v>
      </c>
      <c r="K1155" s="27">
        <v>25.5</v>
      </c>
      <c r="L1155" s="27" t="s">
        <v>12</v>
      </c>
      <c r="M1155" s="27" t="s">
        <v>112</v>
      </c>
      <c r="N1155" s="27" t="str">
        <f t="shared" si="517"/>
        <v>No</v>
      </c>
      <c r="O1155" s="27" t="str">
        <f t="shared" si="518"/>
        <v>No</v>
      </c>
      <c r="Q1155" s="27" t="s">
        <v>117</v>
      </c>
      <c r="R1155" s="27" t="str">
        <f>_xlfn.XLOOKUP("ug/ft2",D1153:D1156,G1153:G1156,"N/A")</f>
        <v>No</v>
      </c>
      <c r="S1155" s="27" t="str">
        <f>IF(COUNTIF(O1158:O1161,"Yes"),"Yes","No")</f>
        <v>No</v>
      </c>
      <c r="U1155" s="27" t="s">
        <v>163</v>
      </c>
      <c r="V1155" s="27" t="s">
        <v>9</v>
      </c>
      <c r="W1155" s="27" t="str">
        <f>O1157</f>
        <v>No</v>
      </c>
      <c r="X1155" s="27" t="str">
        <f t="shared" si="519"/>
        <v>Yes</v>
      </c>
    </row>
    <row r="1156" spans="1:38" x14ac:dyDescent="0.2">
      <c r="A1156" s="27" t="s">
        <v>71</v>
      </c>
      <c r="B1156" s="27" t="s">
        <v>32</v>
      </c>
      <c r="C1156" s="27">
        <v>3.5</v>
      </c>
      <c r="D1156" s="27" t="s">
        <v>33</v>
      </c>
      <c r="F1156" s="27" t="str">
        <f t="shared" ref="F1156" si="521">IF(C1156&gt;$W$6,"Yes","No")</f>
        <v>No</v>
      </c>
      <c r="G1156" s="27" t="s">
        <v>9</v>
      </c>
      <c r="J1156" s="27" t="s">
        <v>19</v>
      </c>
      <c r="K1156" s="27">
        <v>2.5</v>
      </c>
      <c r="L1156" s="27" t="s">
        <v>12</v>
      </c>
      <c r="M1156" s="27" t="s">
        <v>46</v>
      </c>
      <c r="N1156" s="27" t="str">
        <f>IF(K1156="N/A","No", IF(K1156&gt;5000,"Yes","No"))</f>
        <v>No</v>
      </c>
      <c r="O1156" s="27" t="str">
        <f>IF(K1156="Not","No",IF(K1156="n/a","N/A",IF(K1156&gt;$Y$2,"Yes","No")))</f>
        <v>No</v>
      </c>
      <c r="Q1156" s="27" t="s">
        <v>118</v>
      </c>
      <c r="R1156" s="27" t="str">
        <f>IF(COUNTIF(R1153:R1155,"Yes"),"Yes","No")</f>
        <v>No</v>
      </c>
      <c r="S1156" s="27" t="str">
        <f>IF(COUNTIF(S1153:S1155,"Yes"),"Yes","No")</f>
        <v>No</v>
      </c>
      <c r="U1156" s="27" t="s">
        <v>164</v>
      </c>
      <c r="V1156" s="27" t="s">
        <v>9</v>
      </c>
      <c r="W1156" s="27" t="str">
        <f>O1156</f>
        <v>No</v>
      </c>
      <c r="X1156" s="27" t="str">
        <f t="shared" si="519"/>
        <v>Yes</v>
      </c>
    </row>
    <row r="1157" spans="1:38" x14ac:dyDescent="0.2">
      <c r="J1157" s="27" t="s">
        <v>22</v>
      </c>
      <c r="K1157" s="27">
        <v>2.5</v>
      </c>
      <c r="L1157" s="27" t="s">
        <v>12</v>
      </c>
      <c r="M1157" s="27" t="s">
        <v>43</v>
      </c>
      <c r="N1157" s="27" t="str">
        <f>IF(K1157="N/A","No", IF(K1157&gt;5000,"Yes","No"))</f>
        <v>No</v>
      </c>
      <c r="O1157" s="27" t="str">
        <f>IF(K1157="Not","No",IF(K1157="n/a","N/A",IF(K1157&gt;$Y$2,"Yes","No")))</f>
        <v>No</v>
      </c>
      <c r="U1157" s="27" t="s">
        <v>162</v>
      </c>
      <c r="V1157" s="27" t="str">
        <f>R1154</f>
        <v>No</v>
      </c>
      <c r="W1157" s="27" t="str">
        <f>S1154</f>
        <v>No</v>
      </c>
      <c r="X1157" s="27" t="str">
        <f t="shared" si="519"/>
        <v>Yes</v>
      </c>
    </row>
    <row r="1158" spans="1:38" x14ac:dyDescent="0.2">
      <c r="J1158" s="27" t="s">
        <v>25</v>
      </c>
      <c r="K1158" s="27">
        <v>2.5</v>
      </c>
      <c r="L1158" s="27" t="s">
        <v>12</v>
      </c>
      <c r="M1158" s="27" t="s">
        <v>126</v>
      </c>
      <c r="N1158" s="27" t="str">
        <f>IF(K1158="N/A","No", IF(K1158&gt;=20,"Yes","No"))</f>
        <v>No</v>
      </c>
      <c r="O1158" s="27" t="str">
        <f>IF(K1158="Not","No",IF(K1158="n/a","N/A",IF(K1158&gt;=$Y$6,"Yes","No")))</f>
        <v>No</v>
      </c>
      <c r="U1158" s="27" t="s">
        <v>101</v>
      </c>
      <c r="V1158" s="27" t="s">
        <v>9</v>
      </c>
      <c r="W1158" s="27" t="s">
        <v>9</v>
      </c>
      <c r="X1158" s="27" t="str">
        <f>IF(V1158="N/A","N/A",IF(W1158="N/A", "N/A", IF(V1158=W1158, "Yes","No")))</f>
        <v>Yes</v>
      </c>
    </row>
    <row r="1159" spans="1:38" x14ac:dyDescent="0.2">
      <c r="J1159" s="27" t="s">
        <v>29</v>
      </c>
      <c r="K1159" s="27">
        <v>2.5</v>
      </c>
      <c r="L1159" s="27" t="s">
        <v>12</v>
      </c>
      <c r="M1159" s="27" t="s">
        <v>222</v>
      </c>
      <c r="N1159" s="27" t="str">
        <f>IF(K1159="N/A","No", IF(K1159&gt;20,"Yes","No"))</f>
        <v>No</v>
      </c>
      <c r="O1159" s="27" t="str">
        <f t="shared" ref="O1159" si="522">IF(K1159="Not","No",IF(K1159="n/a","N/A",IF(K1159&gt;$Y$6,"Yes","No")))</f>
        <v>No</v>
      </c>
      <c r="U1159" s="27" t="s">
        <v>104</v>
      </c>
      <c r="V1159" s="27" t="s">
        <v>120</v>
      </c>
      <c r="W1159" s="27" t="str">
        <f>O1160</f>
        <v>No</v>
      </c>
      <c r="X1159" s="27" t="str">
        <f>IF(V1159="N/A","N/A",IF(W1159="N/A", "N/A", IF(V1159=W1159, "Yes","No")))</f>
        <v>N/A</v>
      </c>
    </row>
    <row r="1160" spans="1:38" x14ac:dyDescent="0.2">
      <c r="J1160" s="27" t="s">
        <v>34</v>
      </c>
      <c r="K1160" s="27">
        <v>2.5</v>
      </c>
      <c r="L1160" s="27" t="s">
        <v>12</v>
      </c>
      <c r="M1160" s="27" t="s">
        <v>210</v>
      </c>
      <c r="N1160" s="27" t="str">
        <f>IF(K1160="N/A","No", IF(K1160&gt;230,"Yes","No"))</f>
        <v>No</v>
      </c>
      <c r="O1160" s="27" t="str">
        <f>IF(K1160="Not","No",IF(K1160="n/a","N/A",IF(K1160&gt;$Y$5,"Yes","No")))</f>
        <v>No</v>
      </c>
      <c r="U1160" s="27" t="s">
        <v>106</v>
      </c>
      <c r="V1160" s="27" t="str">
        <f>R1155</f>
        <v>No</v>
      </c>
      <c r="W1160" s="27" t="str">
        <f>S1155</f>
        <v>No</v>
      </c>
      <c r="X1160" s="27" t="str">
        <f>IF(V1160="N/A","N/A",IF(W1160="N/A", "N/A", IF(V1160=W1160, "Yes","No")))</f>
        <v>Yes</v>
      </c>
    </row>
    <row r="1161" spans="1:38" x14ac:dyDescent="0.2">
      <c r="J1161" s="27" t="s">
        <v>208</v>
      </c>
      <c r="K1161" s="27">
        <v>4.4000000000000004</v>
      </c>
      <c r="L1161" s="27" t="s">
        <v>12</v>
      </c>
      <c r="M1161" s="27" t="s">
        <v>223</v>
      </c>
      <c r="N1161" s="27" t="str">
        <f>IF(K1161="N/A","No", IF(K1161&gt;20,"Yes","No"))</f>
        <v>No</v>
      </c>
      <c r="O1161" s="27" t="str">
        <f>IF(K1161="Not","No",IF(K1161="n/a","N/A",IF(K1161&gt;$Y$7,"Yes","No")))</f>
        <v>No</v>
      </c>
      <c r="U1161" s="27" t="s">
        <v>121</v>
      </c>
      <c r="V1161" s="27" t="str">
        <f>R1156</f>
        <v>No</v>
      </c>
      <c r="W1161" s="27" t="str">
        <f>S1156</f>
        <v>No</v>
      </c>
      <c r="X1161" s="27" t="str">
        <f>IF(V1161="N/A","N/A",IF(W1161="N/A", "N/A", IF(V1161=W1161, "Yes","No")))</f>
        <v>Yes</v>
      </c>
    </row>
    <row r="1163" spans="1:38" x14ac:dyDescent="0.2">
      <c r="A1163" s="62">
        <v>1356</v>
      </c>
      <c r="B1163" s="27" t="s">
        <v>319</v>
      </c>
      <c r="C1163" s="27">
        <v>78</v>
      </c>
    </row>
    <row r="1164" spans="1:38" x14ac:dyDescent="0.2">
      <c r="A1164" s="59" t="s">
        <v>0</v>
      </c>
      <c r="E1164" s="27" t="s">
        <v>274</v>
      </c>
      <c r="F1164" s="27" t="s">
        <v>275</v>
      </c>
      <c r="G1164" s="27" t="s">
        <v>119</v>
      </c>
      <c r="J1164" s="59" t="s">
        <v>1</v>
      </c>
      <c r="N1164" s="27" t="s">
        <v>277</v>
      </c>
      <c r="O1164" s="27" t="s">
        <v>278</v>
      </c>
      <c r="Q1164" s="59" t="s">
        <v>115</v>
      </c>
      <c r="R1164" s="59" t="s">
        <v>0</v>
      </c>
      <c r="S1164" s="59" t="s">
        <v>1</v>
      </c>
      <c r="U1164" s="59" t="s">
        <v>115</v>
      </c>
      <c r="V1164" s="59" t="s">
        <v>0</v>
      </c>
      <c r="W1164" s="59" t="s">
        <v>1</v>
      </c>
      <c r="X1164" s="59" t="s">
        <v>122</v>
      </c>
      <c r="AA1164" s="27" t="str">
        <f>IF(R1165="Yes","LRA-Soil","")</f>
        <v/>
      </c>
      <c r="AB1164" s="27" t="str">
        <f>IF(R1166="Yes","LRA-Paint","")</f>
        <v>LRA-Paint</v>
      </c>
      <c r="AC1164" s="27" t="str">
        <f>IF(R1167="Yes","LRA-Dust","")</f>
        <v/>
      </c>
      <c r="AD1164" s="27" t="str">
        <f>IF(S1165="Yes","LSK-Soil","")</f>
        <v/>
      </c>
      <c r="AE1164" s="27" t="str">
        <f>IF(S1166="Yes","LSK-Paint","")</f>
        <v/>
      </c>
      <c r="AF1164" s="27" t="str">
        <f>IF(S1167="Yes","LSK-Dust","")</f>
        <v/>
      </c>
      <c r="AI1164" s="27" t="s">
        <v>46</v>
      </c>
      <c r="AJ1164" s="27" t="s">
        <v>43</v>
      </c>
      <c r="AK1164" s="27" t="s">
        <v>116</v>
      </c>
      <c r="AL1164" s="27" t="s">
        <v>117</v>
      </c>
    </row>
    <row r="1165" spans="1:38" x14ac:dyDescent="0.2">
      <c r="A1165" s="27" t="s">
        <v>63</v>
      </c>
      <c r="B1165" s="27" t="s">
        <v>18</v>
      </c>
      <c r="C1165" s="27">
        <v>0</v>
      </c>
      <c r="D1165" s="27" t="s">
        <v>4</v>
      </c>
      <c r="F1165" s="27" t="str">
        <f t="shared" ref="F1165" si="523">IF(C1165&gt;=$W$2,"Yes","No")</f>
        <v>No</v>
      </c>
      <c r="G1165" s="27" t="s">
        <v>9</v>
      </c>
      <c r="H1165" s="27" t="s">
        <v>46</v>
      </c>
      <c r="J1165" s="27" t="s">
        <v>6</v>
      </c>
      <c r="K1165" s="27">
        <v>279</v>
      </c>
      <c r="L1165" s="27" t="s">
        <v>12</v>
      </c>
      <c r="M1165" s="27" t="s">
        <v>419</v>
      </c>
      <c r="N1165" s="27" t="str">
        <f>IF(K1165="N/A","No", IF(K1165&gt;1200,"Yes","No"))</f>
        <v>No</v>
      </c>
      <c r="O1165" s="27" t="str">
        <f>IF(K1165="Not","No",IF(K1165="n/a","N/A",IF(K1165&gt;=$Y$3,"Yes","No")))</f>
        <v>No</v>
      </c>
      <c r="Q1165" s="27" t="s">
        <v>116</v>
      </c>
      <c r="R1165" s="27" t="str">
        <f>_xlfn.XLOOKUP("ppm",D1165:D1183,F1165:F1183,"N/A")</f>
        <v>No</v>
      </c>
      <c r="S1165" s="27" t="str">
        <f>IF(COUNTIF(O1165:O1167,"Yes"),"Yes","No")</f>
        <v>No</v>
      </c>
      <c r="U1165" s="27" t="s">
        <v>92</v>
      </c>
      <c r="V1165" s="27" t="str">
        <f>F1166</f>
        <v>No</v>
      </c>
      <c r="W1165" s="27" t="str">
        <f>O1165</f>
        <v>No</v>
      </c>
      <c r="X1165" s="27" t="str">
        <f>IF(V1165="N/A","N/A",IF(W1165="N/A", "N/A", IF(V1165=W1165, "Yes","No")))</f>
        <v>Yes</v>
      </c>
      <c r="AF1165" s="27" t="str">
        <f>IF(S1155="Yes","LSK-Dust","")</f>
        <v/>
      </c>
      <c r="AI1165" s="27">
        <f>COUNTIF(H1165:H1183,"Exterior")</f>
        <v>1</v>
      </c>
      <c r="AJ1165" s="27">
        <f>COUNTIF(H1165:H1183, "Interior")</f>
        <v>15</v>
      </c>
      <c r="AK1165" s="27">
        <f>COUNTIFS(D1165:D1183,"ppm")+COUNTIFS(D1165:D1183,"mg/Kg")</f>
        <v>1</v>
      </c>
      <c r="AL1165" s="27">
        <f>COUNTIF(D1165:D1183,"ug/ft2")</f>
        <v>2</v>
      </c>
    </row>
    <row r="1166" spans="1:38" x14ac:dyDescent="0.2">
      <c r="A1166" s="27" t="s">
        <v>161</v>
      </c>
      <c r="B1166" s="27" t="s">
        <v>28</v>
      </c>
      <c r="C1166" s="27">
        <v>179</v>
      </c>
      <c r="D1166" s="27" t="s">
        <v>12</v>
      </c>
      <c r="F1166" s="27" t="str">
        <f t="shared" ref="F1166" si="524">IF(C1166&gt;$W$3,"Yes","No")</f>
        <v>No</v>
      </c>
      <c r="G1166" s="27" t="s">
        <v>9</v>
      </c>
      <c r="J1166" s="27" t="s">
        <v>11</v>
      </c>
      <c r="K1166" s="27">
        <v>306</v>
      </c>
      <c r="L1166" s="27" t="s">
        <v>12</v>
      </c>
      <c r="M1166" s="27" t="s">
        <v>38</v>
      </c>
      <c r="N1166" s="27" t="str">
        <f t="shared" ref="N1166:N1167" si="525">IF(K1166="N/A","No", IF(K1166&gt;1200,"Yes","No"))</f>
        <v>No</v>
      </c>
      <c r="O1166" s="27" t="str">
        <f t="shared" ref="O1166:O1167" si="526">IF(K1166="Not","No",IF(K1166="n/a","N/A",IF(K1166&gt;$Y$3,"Yes","No")))</f>
        <v>No</v>
      </c>
      <c r="Q1166" s="27" t="s">
        <v>98</v>
      </c>
      <c r="R1166" s="27" t="str">
        <f>_xlfn.XLOOKUP("mg/cm2",D1165:D1183,G1165:G1183,"N/A",1,-1)</f>
        <v>Yes</v>
      </c>
      <c r="S1166" s="27" t="str">
        <f>IF(COUNTIF(O1168:O1169,"Yes"),"Yes","No")</f>
        <v>No</v>
      </c>
      <c r="U1166" s="27" t="s">
        <v>95</v>
      </c>
      <c r="V1166" s="27" t="str">
        <f>R1165</f>
        <v>No</v>
      </c>
      <c r="W1166" s="27" t="str">
        <f>S1165</f>
        <v>No</v>
      </c>
      <c r="X1166" s="27" t="str">
        <f t="shared" ref="X1166:X1169" si="527">IF(V1166="N/A","N/A",IF(W1166="N/A", "N/A", IF(V1166=W1166, "Yes","No")))</f>
        <v>Yes</v>
      </c>
    </row>
    <row r="1167" spans="1:38" x14ac:dyDescent="0.2">
      <c r="A1167" s="27" t="s">
        <v>113</v>
      </c>
      <c r="B1167" s="27" t="s">
        <v>10</v>
      </c>
      <c r="C1167" s="27">
        <v>14.9</v>
      </c>
      <c r="D1167" s="27" t="s">
        <v>4</v>
      </c>
      <c r="F1167" s="27" t="str">
        <f t="shared" ref="F1167:F1181" si="528">IF(C1167&gt;=$W$2,"Yes","No")</f>
        <v>Yes</v>
      </c>
      <c r="G1167" s="27" t="s">
        <v>5</v>
      </c>
      <c r="H1167" s="27" t="s">
        <v>43</v>
      </c>
      <c r="J1167" s="27" t="s">
        <v>15</v>
      </c>
      <c r="K1167" s="27">
        <v>81</v>
      </c>
      <c r="L1167" s="27" t="s">
        <v>12</v>
      </c>
      <c r="M1167" s="27" t="s">
        <v>324</v>
      </c>
      <c r="N1167" s="27" t="str">
        <f t="shared" si="525"/>
        <v>No</v>
      </c>
      <c r="O1167" s="27" t="str">
        <f t="shared" si="526"/>
        <v>No</v>
      </c>
      <c r="Q1167" s="27" t="s">
        <v>117</v>
      </c>
      <c r="R1167" s="27" t="str">
        <f>_xlfn.XLOOKUP("ug/ft2",D1165:D1183,F1165:F1183,"N/A")</f>
        <v>No</v>
      </c>
      <c r="S1167" s="27" t="str">
        <f>IF(COUNTIF(O1170:O1173,"Yes"),"Yes","No")</f>
        <v>No</v>
      </c>
      <c r="U1167" s="27" t="s">
        <v>163</v>
      </c>
      <c r="V1167" s="27" t="s">
        <v>5</v>
      </c>
      <c r="W1167" s="27" t="s">
        <v>9</v>
      </c>
      <c r="X1167" s="27" t="str">
        <f>IF(V1167="N/A","N/A",IF(W1167="N/A", "N/A", IF(V1167=W1167, "Yes","No")))</f>
        <v>No</v>
      </c>
    </row>
    <row r="1168" spans="1:38" x14ac:dyDescent="0.2">
      <c r="A1168" s="27" t="s">
        <v>109</v>
      </c>
      <c r="B1168" s="27" t="s">
        <v>174</v>
      </c>
      <c r="C1168" s="27">
        <v>11.2</v>
      </c>
      <c r="D1168" s="27" t="s">
        <v>4</v>
      </c>
      <c r="F1168" s="27" t="str">
        <f t="shared" si="528"/>
        <v>Yes</v>
      </c>
      <c r="G1168" s="27" t="s">
        <v>5</v>
      </c>
      <c r="H1168" s="27" t="s">
        <v>43</v>
      </c>
      <c r="J1168" s="27" t="s">
        <v>19</v>
      </c>
      <c r="K1168" s="27">
        <v>288</v>
      </c>
      <c r="L1168" s="27" t="s">
        <v>12</v>
      </c>
      <c r="M1168" s="27" t="s">
        <v>420</v>
      </c>
      <c r="N1168" s="27" t="str">
        <f>IF(K1168="N/A","No", IF(K1168&gt;5000,"Yes","No"))</f>
        <v>No</v>
      </c>
      <c r="O1168" s="27" t="str">
        <f>IF(K1168="Not","No",IF(K1168="n/a","N/A",IF(K1168&gt;$Y$2,"Yes","No")))</f>
        <v>No</v>
      </c>
      <c r="Q1168" s="27" t="s">
        <v>118</v>
      </c>
      <c r="R1168" s="27" t="str">
        <f>IF(COUNTIF(R1165:R1167,"Yes"),"Yes","No")</f>
        <v>Yes</v>
      </c>
      <c r="S1168" s="27" t="str">
        <f>IF(COUNTIF(S1165:S1167,"Yes"),"Yes","No")</f>
        <v>No</v>
      </c>
      <c r="U1168" s="27" t="s">
        <v>164</v>
      </c>
      <c r="V1168" s="27" t="s">
        <v>9</v>
      </c>
      <c r="W1168" s="27" t="s">
        <v>9</v>
      </c>
      <c r="X1168" s="27" t="str">
        <f>IF(V1167="N/A","N/A",IF(W1168="N/A", "N/A", IF(V1167=W1168, "Yes","No")))</f>
        <v>No</v>
      </c>
    </row>
    <row r="1169" spans="1:32" x14ac:dyDescent="0.2">
      <c r="A1169" s="27" t="s">
        <v>109</v>
      </c>
      <c r="B1169" s="27" t="s">
        <v>10</v>
      </c>
      <c r="C1169" s="27">
        <v>13.9</v>
      </c>
      <c r="D1169" s="27" t="s">
        <v>4</v>
      </c>
      <c r="F1169" s="27" t="str">
        <f t="shared" si="528"/>
        <v>Yes</v>
      </c>
      <c r="G1169" s="27" t="s">
        <v>5</v>
      </c>
      <c r="H1169" s="27" t="s">
        <v>43</v>
      </c>
      <c r="J1169" s="27" t="s">
        <v>22</v>
      </c>
      <c r="K1169" s="27">
        <v>78</v>
      </c>
      <c r="L1169" s="27" t="s">
        <v>12</v>
      </c>
      <c r="M1169" s="27" t="s">
        <v>36</v>
      </c>
      <c r="N1169" s="27" t="str">
        <f>IF(K1169="N/A","No", IF(K1169&gt;5000,"Yes","No"))</f>
        <v>No</v>
      </c>
      <c r="O1169" s="27" t="str">
        <f>IF(K1169="Not","No",IF(K1169="n/a","N/A",IF(K1169&gt;$Y$2,"Yes","No")))</f>
        <v>No</v>
      </c>
      <c r="U1169" s="27" t="s">
        <v>162</v>
      </c>
      <c r="V1169" s="27" t="str">
        <f>R1166</f>
        <v>Yes</v>
      </c>
      <c r="W1169" s="27" t="str">
        <f>S1166</f>
        <v>No</v>
      </c>
      <c r="X1169" s="27" t="str">
        <f t="shared" si="527"/>
        <v>No</v>
      </c>
    </row>
    <row r="1170" spans="1:32" x14ac:dyDescent="0.2">
      <c r="A1170" s="27" t="s">
        <v>109</v>
      </c>
      <c r="B1170" s="27" t="s">
        <v>24</v>
      </c>
      <c r="C1170" s="27">
        <v>11.4</v>
      </c>
      <c r="D1170" s="27" t="s">
        <v>4</v>
      </c>
      <c r="F1170" s="27" t="str">
        <f t="shared" si="528"/>
        <v>Yes</v>
      </c>
      <c r="G1170" s="27" t="s">
        <v>5</v>
      </c>
      <c r="H1170" s="27" t="s">
        <v>43</v>
      </c>
      <c r="J1170" s="27" t="s">
        <v>25</v>
      </c>
      <c r="K1170" s="27">
        <v>85</v>
      </c>
      <c r="L1170" s="27" t="s">
        <v>12</v>
      </c>
      <c r="M1170" s="27" t="s">
        <v>59</v>
      </c>
      <c r="N1170" s="27" t="str">
        <f>IF(K1170="N/A","No", IF(K1170&gt;230,"Yes","No"))</f>
        <v>No</v>
      </c>
      <c r="O1170" s="27" t="str">
        <f>IF(K1170="Not","No",IF(K1170="n/a","N/A",IF(K1170&gt;$Y$5,"Yes","No")))</f>
        <v>No</v>
      </c>
      <c r="U1170" s="27" t="s">
        <v>101</v>
      </c>
      <c r="V1170" s="27" t="s">
        <v>120</v>
      </c>
      <c r="W1170" s="27" t="s">
        <v>9</v>
      </c>
      <c r="X1170" s="27" t="str">
        <f>IF(V1170="N/A","N/A",IF(W1170="N/A", "N/A", IF(V1170=W1170, "Yes","No")))</f>
        <v>N/A</v>
      </c>
    </row>
    <row r="1171" spans="1:32" x14ac:dyDescent="0.2">
      <c r="A1171" s="27" t="s">
        <v>109</v>
      </c>
      <c r="B1171" s="27" t="s">
        <v>24</v>
      </c>
      <c r="C1171" s="27">
        <v>13.9</v>
      </c>
      <c r="D1171" s="27" t="s">
        <v>4</v>
      </c>
      <c r="F1171" s="27" t="str">
        <f t="shared" si="528"/>
        <v>Yes</v>
      </c>
      <c r="G1171" s="27" t="s">
        <v>5</v>
      </c>
      <c r="H1171" s="27" t="s">
        <v>43</v>
      </c>
      <c r="J1171" s="27" t="s">
        <v>29</v>
      </c>
      <c r="K1171" s="27">
        <v>0</v>
      </c>
      <c r="L1171" s="27" t="s">
        <v>12</v>
      </c>
      <c r="M1171" s="27" t="s">
        <v>421</v>
      </c>
      <c r="N1171" s="27" t="str">
        <f>IF(K1171="N/A","No", IF(K1171&gt;20,"Yes","No"))</f>
        <v>No</v>
      </c>
      <c r="O1171" s="27" t="str">
        <f t="shared" ref="O1171:O1172" si="529">IF(K1171="Not","No",IF(K1171="n/a","N/A",IF(K1171&gt;$Y$6,"Yes","No")))</f>
        <v>No</v>
      </c>
      <c r="U1171" s="27" t="s">
        <v>104</v>
      </c>
      <c r="V1171" s="27" t="s">
        <v>9</v>
      </c>
      <c r="W1171" s="27" t="s">
        <v>9</v>
      </c>
      <c r="X1171" s="27" t="str">
        <f>IF(V1171="N/A","N/A",IF(W1171="N/A", "N/A", IF(V1171=W1171, "Yes","No")))</f>
        <v>Yes</v>
      </c>
    </row>
    <row r="1172" spans="1:32" x14ac:dyDescent="0.2">
      <c r="A1172" s="27" t="s">
        <v>109</v>
      </c>
      <c r="B1172" s="27" t="s">
        <v>24</v>
      </c>
      <c r="C1172" s="27">
        <v>14.6</v>
      </c>
      <c r="D1172" s="27" t="s">
        <v>4</v>
      </c>
      <c r="F1172" s="27" t="str">
        <f t="shared" si="528"/>
        <v>Yes</v>
      </c>
      <c r="G1172" s="27" t="s">
        <v>5</v>
      </c>
      <c r="H1172" s="27" t="s">
        <v>43</v>
      </c>
      <c r="J1172" s="27" t="s">
        <v>34</v>
      </c>
      <c r="K1172" s="27">
        <v>0</v>
      </c>
      <c r="L1172" s="27" t="s">
        <v>12</v>
      </c>
      <c r="M1172" s="27" t="s">
        <v>74</v>
      </c>
      <c r="N1172" s="27" t="str">
        <f>IF(K1172="N/A","No", IF(K1172&gt;20,"Yes","No"))</f>
        <v>No</v>
      </c>
      <c r="O1172" s="27" t="str">
        <f t="shared" si="529"/>
        <v>No</v>
      </c>
      <c r="U1172" s="27" t="s">
        <v>106</v>
      </c>
      <c r="V1172" s="27" t="str">
        <f>R1167</f>
        <v>No</v>
      </c>
      <c r="W1172" s="27" t="str">
        <f>S1167</f>
        <v>No</v>
      </c>
      <c r="X1172" s="27" t="str">
        <f>IF(V1172="N/A","N/A",IF(W1172="N/A", "N/A", IF(V1172=W1172, "Yes","No")))</f>
        <v>Yes</v>
      </c>
    </row>
    <row r="1173" spans="1:32" x14ac:dyDescent="0.2">
      <c r="A1173" s="27" t="s">
        <v>293</v>
      </c>
      <c r="B1173" s="27" t="s">
        <v>174</v>
      </c>
      <c r="C1173" s="27">
        <v>14.9</v>
      </c>
      <c r="D1173" s="27" t="s">
        <v>4</v>
      </c>
      <c r="F1173" s="27" t="str">
        <f t="shared" si="528"/>
        <v>Yes</v>
      </c>
      <c r="G1173" s="27" t="s">
        <v>5</v>
      </c>
      <c r="H1173" s="27" t="s">
        <v>43</v>
      </c>
      <c r="U1173" s="27" t="s">
        <v>121</v>
      </c>
      <c r="V1173" s="27" t="str">
        <f>R1168</f>
        <v>Yes</v>
      </c>
      <c r="W1173" s="27" t="str">
        <f>S1168</f>
        <v>No</v>
      </c>
      <c r="X1173" s="27" t="str">
        <f>IF(V1173="N/A","N/A",IF(W1173="N/A", "N/A", IF(V1173=W1173, "Yes","No")))</f>
        <v>No</v>
      </c>
    </row>
    <row r="1174" spans="1:32" x14ac:dyDescent="0.2">
      <c r="A1174" s="27" t="s">
        <v>293</v>
      </c>
      <c r="B1174" s="27" t="s">
        <v>10</v>
      </c>
      <c r="C1174" s="27">
        <v>11.7</v>
      </c>
      <c r="D1174" s="27" t="s">
        <v>4</v>
      </c>
      <c r="F1174" s="27" t="str">
        <f t="shared" si="528"/>
        <v>Yes</v>
      </c>
      <c r="G1174" s="27" t="s">
        <v>5</v>
      </c>
      <c r="H1174" s="27" t="s">
        <v>43</v>
      </c>
    </row>
    <row r="1175" spans="1:32" x14ac:dyDescent="0.2">
      <c r="A1175" s="27" t="s">
        <v>293</v>
      </c>
      <c r="B1175" s="27" t="s">
        <v>77</v>
      </c>
      <c r="C1175" s="27">
        <v>15.2</v>
      </c>
      <c r="D1175" s="27" t="s">
        <v>4</v>
      </c>
      <c r="F1175" s="27" t="str">
        <f t="shared" si="528"/>
        <v>Yes</v>
      </c>
      <c r="G1175" s="27" t="s">
        <v>5</v>
      </c>
      <c r="H1175" s="27" t="s">
        <v>43</v>
      </c>
    </row>
    <row r="1176" spans="1:32" x14ac:dyDescent="0.2">
      <c r="A1176" s="27" t="s">
        <v>293</v>
      </c>
      <c r="B1176" s="27" t="s">
        <v>24</v>
      </c>
      <c r="C1176" s="27">
        <v>15.8</v>
      </c>
      <c r="D1176" s="27" t="s">
        <v>4</v>
      </c>
      <c r="F1176" s="27" t="str">
        <f t="shared" si="528"/>
        <v>Yes</v>
      </c>
      <c r="G1176" s="27" t="s">
        <v>5</v>
      </c>
      <c r="H1176" s="27" t="s">
        <v>43</v>
      </c>
    </row>
    <row r="1177" spans="1:32" x14ac:dyDescent="0.2">
      <c r="A1177" s="27" t="s">
        <v>293</v>
      </c>
      <c r="B1177" s="27" t="s">
        <v>24</v>
      </c>
      <c r="C1177" s="27">
        <v>14.3</v>
      </c>
      <c r="D1177" s="27" t="s">
        <v>4</v>
      </c>
      <c r="F1177" s="27" t="str">
        <f t="shared" si="528"/>
        <v>Yes</v>
      </c>
      <c r="G1177" s="27" t="s">
        <v>5</v>
      </c>
      <c r="H1177" s="27" t="s">
        <v>43</v>
      </c>
      <c r="AF1177" s="27" t="str">
        <f>IF(S1167="Yes","LSK-Dust","")</f>
        <v/>
      </c>
    </row>
    <row r="1178" spans="1:32" x14ac:dyDescent="0.2">
      <c r="A1178" s="27" t="s">
        <v>157</v>
      </c>
      <c r="B1178" s="27" t="s">
        <v>10</v>
      </c>
      <c r="C1178" s="27">
        <v>9</v>
      </c>
      <c r="D1178" s="27" t="s">
        <v>4</v>
      </c>
      <c r="F1178" s="27" t="str">
        <f t="shared" si="528"/>
        <v>Yes</v>
      </c>
      <c r="G1178" s="27" t="s">
        <v>5</v>
      </c>
      <c r="H1178" s="27" t="s">
        <v>43</v>
      </c>
    </row>
    <row r="1179" spans="1:32" x14ac:dyDescent="0.2">
      <c r="A1179" s="27" t="s">
        <v>70</v>
      </c>
      <c r="B1179" s="27" t="s">
        <v>24</v>
      </c>
      <c r="C1179" s="27">
        <v>7</v>
      </c>
      <c r="D1179" s="27" t="s">
        <v>4</v>
      </c>
      <c r="F1179" s="27" t="str">
        <f t="shared" si="528"/>
        <v>Yes</v>
      </c>
      <c r="G1179" s="27" t="s">
        <v>5</v>
      </c>
      <c r="H1179" s="27" t="s">
        <v>43</v>
      </c>
    </row>
    <row r="1180" spans="1:32" x14ac:dyDescent="0.2">
      <c r="A1180" s="27" t="s">
        <v>70</v>
      </c>
      <c r="B1180" s="27" t="s">
        <v>24</v>
      </c>
      <c r="C1180" s="27">
        <v>11.8</v>
      </c>
      <c r="D1180" s="27" t="s">
        <v>4</v>
      </c>
      <c r="F1180" s="27" t="str">
        <f t="shared" si="528"/>
        <v>Yes</v>
      </c>
      <c r="G1180" s="27" t="s">
        <v>5</v>
      </c>
      <c r="H1180" s="27" t="s">
        <v>43</v>
      </c>
    </row>
    <row r="1181" spans="1:32" x14ac:dyDescent="0.2">
      <c r="A1181" s="27" t="s">
        <v>70</v>
      </c>
      <c r="B1181" s="27" t="s">
        <v>24</v>
      </c>
      <c r="C1181" s="27">
        <v>10.3</v>
      </c>
      <c r="D1181" s="27" t="s">
        <v>4</v>
      </c>
      <c r="F1181" s="27" t="str">
        <f t="shared" si="528"/>
        <v>Yes</v>
      </c>
      <c r="G1181" s="27" t="s">
        <v>5</v>
      </c>
      <c r="H1181" s="27" t="s">
        <v>43</v>
      </c>
    </row>
    <row r="1182" spans="1:32" x14ac:dyDescent="0.2">
      <c r="A1182" s="27" t="s">
        <v>109</v>
      </c>
      <c r="B1182" s="27" t="s">
        <v>54</v>
      </c>
      <c r="C1182" s="27">
        <v>52</v>
      </c>
      <c r="D1182" s="27" t="s">
        <v>33</v>
      </c>
      <c r="F1182" s="27" t="str">
        <f t="shared" ref="F1182:F1183" si="530">IF(C1182&gt;$W$5,"Yes","No")</f>
        <v>No</v>
      </c>
      <c r="G1182" s="27" t="s">
        <v>9</v>
      </c>
    </row>
    <row r="1183" spans="1:32" x14ac:dyDescent="0.2">
      <c r="A1183" s="27" t="s">
        <v>293</v>
      </c>
      <c r="B1183" s="27" t="s">
        <v>54</v>
      </c>
      <c r="C1183" s="27">
        <v>45</v>
      </c>
      <c r="D1183" s="27" t="s">
        <v>33</v>
      </c>
      <c r="F1183" s="27" t="str">
        <f t="shared" si="530"/>
        <v>No</v>
      </c>
      <c r="G1183" s="27" t="s">
        <v>9</v>
      </c>
    </row>
    <row r="1186" spans="1:38" x14ac:dyDescent="0.2">
      <c r="A1186" s="27">
        <v>1401</v>
      </c>
      <c r="B1186" s="27" t="s">
        <v>422</v>
      </c>
      <c r="C1186" s="27">
        <v>79</v>
      </c>
    </row>
    <row r="1187" spans="1:38" x14ac:dyDescent="0.2">
      <c r="A1187" s="59" t="s">
        <v>0</v>
      </c>
      <c r="E1187" s="27" t="s">
        <v>274</v>
      </c>
      <c r="F1187" s="27" t="s">
        <v>275</v>
      </c>
      <c r="G1187" s="27" t="s">
        <v>119</v>
      </c>
      <c r="J1187" s="59" t="s">
        <v>1</v>
      </c>
      <c r="N1187" s="27" t="s">
        <v>277</v>
      </c>
      <c r="O1187" s="27" t="s">
        <v>278</v>
      </c>
      <c r="Q1187" s="59" t="s">
        <v>115</v>
      </c>
      <c r="R1187" s="59" t="s">
        <v>0</v>
      </c>
      <c r="S1187" s="59" t="s">
        <v>1</v>
      </c>
      <c r="U1187" s="59" t="s">
        <v>115</v>
      </c>
      <c r="V1187" s="59" t="s">
        <v>0</v>
      </c>
      <c r="W1187" s="59" t="s">
        <v>1</v>
      </c>
      <c r="X1187" s="59" t="s">
        <v>122</v>
      </c>
      <c r="AA1187" s="27" t="str">
        <f>IF(R1188="Yes","LRA-Soil","")</f>
        <v>LRA-Soil</v>
      </c>
      <c r="AB1187" s="27" t="str">
        <f>IF(R1189="Yes","LRA-Paint","")</f>
        <v>LRA-Paint</v>
      </c>
      <c r="AC1187" s="27" t="str">
        <f>IF(R1190="Yes","LRA-Dust","")</f>
        <v>LRA-Dust</v>
      </c>
      <c r="AD1187" s="27" t="str">
        <f>IF(S1188="Yes","LSK-Soil","")</f>
        <v/>
      </c>
      <c r="AE1187" s="27" t="str">
        <f>IF(S1189="Yes","LSK-Paint","")</f>
        <v>LSK-Paint</v>
      </c>
      <c r="AF1187" s="27" t="str">
        <f>IF(S1190="Yes","LSK-Dust","")</f>
        <v>LSK-Dust</v>
      </c>
      <c r="AI1187" s="27" t="s">
        <v>46</v>
      </c>
      <c r="AJ1187" s="27" t="s">
        <v>43</v>
      </c>
      <c r="AK1187" s="27" t="s">
        <v>116</v>
      </c>
      <c r="AL1187" s="27" t="s">
        <v>117</v>
      </c>
    </row>
    <row r="1188" spans="1:38" x14ac:dyDescent="0.2">
      <c r="A1188" s="27" t="s">
        <v>63</v>
      </c>
      <c r="B1188" s="27" t="s">
        <v>10</v>
      </c>
      <c r="C1188" s="27">
        <v>46.5</v>
      </c>
      <c r="D1188" s="27" t="s">
        <v>4</v>
      </c>
      <c r="F1188" s="27" t="str">
        <f t="shared" ref="F1188:F1202" si="531">IF(C1188&gt;=$W$2,"Yes","No")</f>
        <v>Yes</v>
      </c>
      <c r="G1188" s="27" t="s">
        <v>5</v>
      </c>
      <c r="H1188" s="27" t="s">
        <v>46</v>
      </c>
      <c r="J1188" s="27" t="s">
        <v>6</v>
      </c>
      <c r="K1188" s="27">
        <v>110</v>
      </c>
      <c r="L1188" s="27" t="s">
        <v>12</v>
      </c>
      <c r="M1188" s="27" t="s">
        <v>114</v>
      </c>
      <c r="N1188" s="27" t="str">
        <f>IF(K1188="N/A","No", IF(K1188&gt;1200,"Yes","No"))</f>
        <v>No</v>
      </c>
      <c r="O1188" s="27" t="str">
        <f>IF(K1188="Not","No",IF(K1188="n/a","N/A",IF(K1188&gt;=$Y$3,"Yes","No")))</f>
        <v>No</v>
      </c>
      <c r="Q1188" s="27" t="s">
        <v>116</v>
      </c>
      <c r="R1188" s="27" t="str">
        <f>_xlfn.XLOOKUP("ppm",D1188:D1204,G1188:G1204,"N/A")</f>
        <v>Yes</v>
      </c>
      <c r="S1188" s="27" t="str">
        <f>IF(COUNTIF(O1188:O1190,"Yes"),"Yes","No")</f>
        <v>No</v>
      </c>
      <c r="U1188" s="27" t="s">
        <v>92</v>
      </c>
      <c r="V1188" s="27" t="s">
        <v>120</v>
      </c>
      <c r="W1188" s="27" t="s">
        <v>120</v>
      </c>
      <c r="X1188" s="27" t="str">
        <f>IF(V1188="N/A","N/A",IF(W1188="N/A", "N/A", IF(V1188=W1188, "Yes","No")))</f>
        <v>N/A</v>
      </c>
      <c r="AI1188" s="27">
        <f>COUNTIF(H1188:H1204,"Exterior")</f>
        <v>8</v>
      </c>
      <c r="AJ1188" s="27">
        <f>COUNTIF(H1188:H1204, "Interior")</f>
        <v>6</v>
      </c>
      <c r="AK1188" s="27">
        <f>COUNTIFS(D1188:D1204,"ppm")+COUNTIFS(D1188:D1204,"mg/Kg")</f>
        <v>1</v>
      </c>
      <c r="AL1188" s="27">
        <f>COUNTIF(D1188:D1204,"ug/ft2")</f>
        <v>2</v>
      </c>
    </row>
    <row r="1189" spans="1:38" x14ac:dyDescent="0.2">
      <c r="A1189" s="27" t="s">
        <v>63</v>
      </c>
      <c r="B1189" s="27" t="s">
        <v>64</v>
      </c>
      <c r="C1189" s="27">
        <v>37.200000000000003</v>
      </c>
      <c r="D1189" s="27" t="s">
        <v>4</v>
      </c>
      <c r="F1189" s="27" t="str">
        <f t="shared" si="531"/>
        <v>Yes</v>
      </c>
      <c r="G1189" s="27" t="s">
        <v>5</v>
      </c>
      <c r="H1189" s="27" t="s">
        <v>46</v>
      </c>
      <c r="J1189" s="27" t="s">
        <v>11</v>
      </c>
      <c r="K1189" s="27">
        <v>84</v>
      </c>
      <c r="L1189" s="27" t="s">
        <v>12</v>
      </c>
      <c r="M1189" s="27" t="s">
        <v>67</v>
      </c>
      <c r="N1189" s="27" t="str">
        <f t="shared" ref="N1189:N1190" si="532">IF(K1189="N/A","No", IF(K1189&gt;1200,"Yes","No"))</f>
        <v>No</v>
      </c>
      <c r="O1189" s="27" t="str">
        <f t="shared" ref="O1189:O1190" si="533">IF(K1189="Not","No",IF(K1189="n/a","N/A",IF(K1189&gt;$Y$3,"Yes","No")))</f>
        <v>No</v>
      </c>
      <c r="Q1189" s="27" t="s">
        <v>98</v>
      </c>
      <c r="R1189" s="63" t="s">
        <v>5</v>
      </c>
      <c r="S1189" s="27" t="str">
        <f>IF(COUNTIF(O1191:O1192,"Yes"),"Yes","No")</f>
        <v>Yes</v>
      </c>
      <c r="U1189" s="27" t="s">
        <v>95</v>
      </c>
      <c r="V1189" s="27" t="str">
        <f>R1188</f>
        <v>Yes</v>
      </c>
      <c r="W1189" s="27" t="str">
        <f>S1188</f>
        <v>No</v>
      </c>
      <c r="X1189" s="27" t="str">
        <f t="shared" ref="X1189:X1192" si="534">IF(V1189="N/A","N/A",IF(W1189="N/A", "N/A", IF(V1189=W1189, "Yes","No")))</f>
        <v>No</v>
      </c>
    </row>
    <row r="1190" spans="1:38" x14ac:dyDescent="0.2">
      <c r="A1190" s="27" t="s">
        <v>63</v>
      </c>
      <c r="B1190" s="27" t="s">
        <v>203</v>
      </c>
      <c r="C1190" s="27">
        <v>33.9</v>
      </c>
      <c r="D1190" s="27" t="s">
        <v>4</v>
      </c>
      <c r="F1190" s="27" t="str">
        <f t="shared" si="531"/>
        <v>Yes</v>
      </c>
      <c r="G1190" s="27" t="s">
        <v>5</v>
      </c>
      <c r="H1190" s="27" t="s">
        <v>46</v>
      </c>
      <c r="J1190" s="27" t="s">
        <v>15</v>
      </c>
      <c r="K1190" s="27">
        <v>235</v>
      </c>
      <c r="L1190" s="27" t="s">
        <v>12</v>
      </c>
      <c r="M1190" s="27" t="s">
        <v>112</v>
      </c>
      <c r="N1190" s="27" t="str">
        <f t="shared" si="532"/>
        <v>No</v>
      </c>
      <c r="O1190" s="27" t="str">
        <f t="shared" si="533"/>
        <v>No</v>
      </c>
      <c r="Q1190" s="27" t="s">
        <v>117</v>
      </c>
      <c r="R1190" s="27" t="str">
        <f>_xlfn.XLOOKUP("ug/ft2",D1188:D1204,G1188:G1204,"N/A")</f>
        <v>Yes</v>
      </c>
      <c r="S1190" s="27" t="str">
        <f>IF(COUNTIF(O1193:O1196,"Yes"),"Yes","No")</f>
        <v>Yes</v>
      </c>
      <c r="U1190" s="27" t="s">
        <v>163</v>
      </c>
      <c r="V1190" s="27" t="s">
        <v>9</v>
      </c>
      <c r="W1190" s="27" t="str">
        <f>O1192</f>
        <v>No</v>
      </c>
      <c r="X1190" s="27" t="str">
        <f t="shared" si="534"/>
        <v>Yes</v>
      </c>
    </row>
    <row r="1191" spans="1:38" x14ac:dyDescent="0.2">
      <c r="A1191" s="27" t="s">
        <v>63</v>
      </c>
      <c r="B1191" s="27" t="s">
        <v>204</v>
      </c>
      <c r="C1191" s="27">
        <v>3.5</v>
      </c>
      <c r="D1191" s="27" t="s">
        <v>4</v>
      </c>
      <c r="F1191" s="27" t="str">
        <f t="shared" si="531"/>
        <v>Yes</v>
      </c>
      <c r="G1191" s="27" t="s">
        <v>5</v>
      </c>
      <c r="H1191" s="27" t="s">
        <v>46</v>
      </c>
      <c r="J1191" s="27" t="s">
        <v>19</v>
      </c>
      <c r="K1191" s="27">
        <v>20082</v>
      </c>
      <c r="L1191" s="27" t="s">
        <v>12</v>
      </c>
      <c r="M1191" s="27" t="s">
        <v>46</v>
      </c>
      <c r="N1191" s="27" t="str">
        <f>IF(K1191="N/A","No", IF(K1191&gt;5000,"Yes","No"))</f>
        <v>Yes</v>
      </c>
      <c r="O1191" s="27" t="str">
        <f>IF(K1191="Not","No",IF(K1191="n/a","N/A",IF(K1191&gt;$Y$2,"Yes","No")))</f>
        <v>Yes</v>
      </c>
      <c r="Q1191" s="27" t="s">
        <v>118</v>
      </c>
      <c r="R1191" s="27" t="str">
        <f>IF(COUNTIF(R1188:R1190,"Yes"),"Yes","No")</f>
        <v>Yes</v>
      </c>
      <c r="S1191" s="27" t="str">
        <f>IF(COUNTIF(S1188:S1190,"Yes"),"Yes","No")</f>
        <v>Yes</v>
      </c>
      <c r="U1191" s="27" t="s">
        <v>164</v>
      </c>
      <c r="V1191" s="27" t="s">
        <v>5</v>
      </c>
      <c r="W1191" s="27" t="str">
        <f>O1191</f>
        <v>Yes</v>
      </c>
      <c r="X1191" s="27" t="str">
        <f t="shared" si="534"/>
        <v>Yes</v>
      </c>
    </row>
    <row r="1192" spans="1:38" x14ac:dyDescent="0.2">
      <c r="A1192" s="27" t="s">
        <v>63</v>
      </c>
      <c r="B1192" s="27" t="s">
        <v>24</v>
      </c>
      <c r="C1192" s="27">
        <v>8.1</v>
      </c>
      <c r="D1192" s="27" t="s">
        <v>4</v>
      </c>
      <c r="F1192" s="27" t="str">
        <f t="shared" si="531"/>
        <v>Yes</v>
      </c>
      <c r="G1192" s="27" t="s">
        <v>5</v>
      </c>
      <c r="H1192" s="27" t="s">
        <v>46</v>
      </c>
      <c r="J1192" s="27" t="s">
        <v>22</v>
      </c>
      <c r="K1192" s="27">
        <v>584</v>
      </c>
      <c r="L1192" s="27" t="s">
        <v>12</v>
      </c>
      <c r="M1192" s="27" t="s">
        <v>43</v>
      </c>
      <c r="N1192" s="27" t="str">
        <f>IF(K1192="N/A","No", IF(K1192&gt;5000,"Yes","No"))</f>
        <v>No</v>
      </c>
      <c r="O1192" s="27" t="str">
        <f>IF(K1192="Not","No",IF(K1192="n/a","N/A",IF(K1192&gt;$Y$2,"Yes","No")))</f>
        <v>No</v>
      </c>
      <c r="U1192" s="27" t="s">
        <v>162</v>
      </c>
      <c r="V1192" s="27" t="str">
        <f>R1189</f>
        <v>Yes</v>
      </c>
      <c r="W1192" s="27" t="str">
        <f>S1189</f>
        <v>Yes</v>
      </c>
      <c r="X1192" s="27" t="str">
        <f t="shared" si="534"/>
        <v>Yes</v>
      </c>
    </row>
    <row r="1193" spans="1:38" x14ac:dyDescent="0.2">
      <c r="A1193" s="27" t="s">
        <v>63</v>
      </c>
      <c r="B1193" s="27" t="s">
        <v>24</v>
      </c>
      <c r="C1193" s="27">
        <v>36.6</v>
      </c>
      <c r="D1193" s="27" t="s">
        <v>4</v>
      </c>
      <c r="F1193" s="27" t="str">
        <f t="shared" si="531"/>
        <v>Yes</v>
      </c>
      <c r="G1193" s="27" t="s">
        <v>5</v>
      </c>
      <c r="H1193" s="27" t="s">
        <v>46</v>
      </c>
      <c r="J1193" s="27" t="s">
        <v>25</v>
      </c>
      <c r="K1193" s="27">
        <v>43</v>
      </c>
      <c r="L1193" s="27" t="s">
        <v>12</v>
      </c>
      <c r="M1193" s="27" t="s">
        <v>126</v>
      </c>
      <c r="N1193" s="27" t="str">
        <f>IF(K1193="N/A","No", IF(K1193&gt;=20,"Yes","No"))</f>
        <v>Yes</v>
      </c>
      <c r="O1193" s="27" t="str">
        <f>IF(K1193="Not","No",IF(K1193="n/a","N/A",IF(K1193&gt;=$Y$6,"Yes","No")))</f>
        <v>Yes</v>
      </c>
      <c r="U1193" s="27" t="s">
        <v>101</v>
      </c>
      <c r="V1193" s="27" t="s">
        <v>5</v>
      </c>
      <c r="W1193" s="27" t="s">
        <v>5</v>
      </c>
      <c r="X1193" s="27" t="str">
        <f>IF(V1193="N/A","N/A",IF(W1193="N/A", "N/A", IF(V1193=W1193, "Yes","No")))</f>
        <v>Yes</v>
      </c>
    </row>
    <row r="1194" spans="1:38" x14ac:dyDescent="0.2">
      <c r="A1194" s="27" t="s">
        <v>63</v>
      </c>
      <c r="B1194" s="27" t="s">
        <v>24</v>
      </c>
      <c r="C1194" s="27">
        <v>37.200000000000003</v>
      </c>
      <c r="D1194" s="27" t="s">
        <v>4</v>
      </c>
      <c r="F1194" s="27" t="str">
        <f t="shared" si="531"/>
        <v>Yes</v>
      </c>
      <c r="G1194" s="27" t="s">
        <v>5</v>
      </c>
      <c r="H1194" s="27" t="s">
        <v>46</v>
      </c>
      <c r="J1194" s="27" t="s">
        <v>29</v>
      </c>
      <c r="K1194" s="27">
        <v>107</v>
      </c>
      <c r="L1194" s="27" t="s">
        <v>12</v>
      </c>
      <c r="M1194" s="27" t="s">
        <v>222</v>
      </c>
      <c r="N1194" s="27" t="str">
        <f>IF(K1194="N/A","No", IF(K1194&gt;20,"Yes","No"))</f>
        <v>Yes</v>
      </c>
      <c r="O1194" s="27" t="str">
        <f t="shared" ref="O1194" si="535">IF(K1194="Not","No",IF(K1194="n/a","N/A",IF(K1194&gt;$Y$6,"Yes","No")))</f>
        <v>Yes</v>
      </c>
      <c r="U1194" s="27" t="s">
        <v>104</v>
      </c>
      <c r="V1194" s="27" t="s">
        <v>5</v>
      </c>
      <c r="W1194" s="27" t="str">
        <f>O1195</f>
        <v>No</v>
      </c>
      <c r="X1194" s="27" t="str">
        <f>IF(V1194="N/A","N/A",IF(W1194="N/A", "N/A", IF(V1194=W1194, "Yes","No")))</f>
        <v>No</v>
      </c>
    </row>
    <row r="1195" spans="1:38" x14ac:dyDescent="0.2">
      <c r="A1195" s="27" t="s">
        <v>63</v>
      </c>
      <c r="B1195" s="27" t="s">
        <v>24</v>
      </c>
      <c r="C1195" s="27">
        <v>1.8</v>
      </c>
      <c r="D1195" s="27" t="s">
        <v>4</v>
      </c>
      <c r="F1195" s="27" t="str">
        <f t="shared" si="531"/>
        <v>Yes</v>
      </c>
      <c r="G1195" s="27" t="s">
        <v>5</v>
      </c>
      <c r="H1195" s="27" t="s">
        <v>46</v>
      </c>
      <c r="J1195" s="27" t="s">
        <v>34</v>
      </c>
      <c r="K1195" s="27">
        <v>104</v>
      </c>
      <c r="L1195" s="27" t="s">
        <v>12</v>
      </c>
      <c r="M1195" s="27" t="s">
        <v>210</v>
      </c>
      <c r="N1195" s="27" t="str">
        <f>IF(K1195="N/A","No", IF(K1195&gt;230,"Yes","No"))</f>
        <v>No</v>
      </c>
      <c r="O1195" s="27" t="str">
        <f>IF(K1195="Not","No",IF(K1195="n/a","N/A",IF(K1195&gt;$Y$5,"Yes","No")))</f>
        <v>No</v>
      </c>
      <c r="U1195" s="27" t="s">
        <v>106</v>
      </c>
      <c r="V1195" s="27" t="str">
        <f>R1190</f>
        <v>Yes</v>
      </c>
      <c r="W1195" s="27" t="str">
        <f>S1190</f>
        <v>Yes</v>
      </c>
      <c r="X1195" s="27" t="str">
        <f>IF(V1195="N/A","N/A",IF(W1195="N/A", "N/A", IF(V1195=W1195, "Yes","No")))</f>
        <v>Yes</v>
      </c>
    </row>
    <row r="1196" spans="1:38" x14ac:dyDescent="0.2">
      <c r="A1196" s="27" t="s">
        <v>75</v>
      </c>
      <c r="B1196" s="27" t="s">
        <v>301</v>
      </c>
      <c r="C1196" s="27">
        <v>1730</v>
      </c>
      <c r="D1196" s="27" t="s">
        <v>12</v>
      </c>
      <c r="F1196" s="27" t="str">
        <f t="shared" ref="F1196" si="536">IF(C1196&gt;$W$3,"Yes","No")</f>
        <v>Yes</v>
      </c>
      <c r="G1196" s="27" t="s">
        <v>5</v>
      </c>
      <c r="J1196" s="27" t="s">
        <v>208</v>
      </c>
      <c r="K1196" s="27">
        <v>595</v>
      </c>
      <c r="L1196" s="27" t="s">
        <v>12</v>
      </c>
      <c r="M1196" s="27" t="s">
        <v>223</v>
      </c>
      <c r="N1196" s="27" t="str">
        <f>IF(K1196="N/A","No", IF(K1196&gt;20,"Yes","No"))</f>
        <v>Yes</v>
      </c>
      <c r="O1196" s="27" t="str">
        <f>IF(K1196="Not","No",IF(K1196="n/a","N/A",IF(K1196&gt;$Y$7,"Yes","No")))</f>
        <v>No</v>
      </c>
      <c r="U1196" s="27" t="s">
        <v>121</v>
      </c>
      <c r="V1196" s="27" t="str">
        <f>R1191</f>
        <v>Yes</v>
      </c>
      <c r="W1196" s="27" t="str">
        <f>S1191</f>
        <v>Yes</v>
      </c>
      <c r="X1196" s="27" t="str">
        <f>IF(V1196="N/A","N/A",IF(W1196="N/A", "N/A", IF(V1196=W1196, "Yes","No")))</f>
        <v>Yes</v>
      </c>
    </row>
    <row r="1197" spans="1:38" x14ac:dyDescent="0.2">
      <c r="A1197" s="27" t="s">
        <v>113</v>
      </c>
      <c r="B1197" s="27" t="s">
        <v>40</v>
      </c>
      <c r="C1197" s="27">
        <v>6.2</v>
      </c>
      <c r="D1197" s="27" t="s">
        <v>4</v>
      </c>
      <c r="F1197" s="27" t="str">
        <f t="shared" si="531"/>
        <v>Yes</v>
      </c>
      <c r="G1197" s="27" t="s">
        <v>9</v>
      </c>
      <c r="H1197" s="27" t="s">
        <v>43</v>
      </c>
    </row>
    <row r="1198" spans="1:38" x14ac:dyDescent="0.2">
      <c r="A1198" s="27" t="s">
        <v>113</v>
      </c>
      <c r="B1198" s="27" t="s">
        <v>40</v>
      </c>
      <c r="C1198" s="27">
        <v>3.9</v>
      </c>
      <c r="D1198" s="27" t="s">
        <v>4</v>
      </c>
      <c r="F1198" s="27" t="str">
        <f t="shared" si="531"/>
        <v>Yes</v>
      </c>
      <c r="G1198" s="27" t="s">
        <v>9</v>
      </c>
      <c r="H1198" s="27" t="s">
        <v>43</v>
      </c>
    </row>
    <row r="1199" spans="1:38" x14ac:dyDescent="0.2">
      <c r="A1199" s="27" t="s">
        <v>109</v>
      </c>
      <c r="B1199" s="27" t="s">
        <v>40</v>
      </c>
      <c r="C1199" s="27">
        <v>2.8</v>
      </c>
      <c r="D1199" s="27" t="s">
        <v>4</v>
      </c>
      <c r="F1199" s="27" t="str">
        <f t="shared" si="531"/>
        <v>Yes</v>
      </c>
      <c r="G1199" s="27" t="s">
        <v>9</v>
      </c>
      <c r="H1199" s="27" t="s">
        <v>43</v>
      </c>
    </row>
    <row r="1200" spans="1:38" x14ac:dyDescent="0.2">
      <c r="A1200" s="27" t="s">
        <v>64</v>
      </c>
      <c r="B1200" s="27" t="s">
        <v>10</v>
      </c>
      <c r="C1200" s="27">
        <v>45</v>
      </c>
      <c r="D1200" s="27" t="s">
        <v>4</v>
      </c>
      <c r="F1200" s="27" t="str">
        <f t="shared" si="531"/>
        <v>Yes</v>
      </c>
      <c r="G1200" s="27" t="s">
        <v>9</v>
      </c>
      <c r="H1200" s="27" t="s">
        <v>43</v>
      </c>
    </row>
    <row r="1201" spans="1:38" x14ac:dyDescent="0.2">
      <c r="A1201" s="27" t="s">
        <v>64</v>
      </c>
      <c r="B1201" s="27" t="s">
        <v>155</v>
      </c>
      <c r="C1201" s="27">
        <v>7.9</v>
      </c>
      <c r="D1201" s="27" t="s">
        <v>4</v>
      </c>
      <c r="F1201" s="27" t="str">
        <f t="shared" si="531"/>
        <v>Yes</v>
      </c>
      <c r="G1201" s="27" t="s">
        <v>9</v>
      </c>
      <c r="H1201" s="27" t="s">
        <v>43</v>
      </c>
    </row>
    <row r="1202" spans="1:38" x14ac:dyDescent="0.2">
      <c r="A1202" s="27" t="s">
        <v>64</v>
      </c>
      <c r="B1202" s="27" t="s">
        <v>40</v>
      </c>
      <c r="C1202" s="27">
        <v>13.6</v>
      </c>
      <c r="D1202" s="27" t="s">
        <v>4</v>
      </c>
      <c r="F1202" s="27" t="str">
        <f t="shared" si="531"/>
        <v>Yes</v>
      </c>
      <c r="G1202" s="27" t="s">
        <v>9</v>
      </c>
      <c r="H1202" s="27" t="s">
        <v>43</v>
      </c>
    </row>
    <row r="1203" spans="1:38" x14ac:dyDescent="0.2">
      <c r="A1203" s="27" t="s">
        <v>109</v>
      </c>
      <c r="B1203" s="27" t="s">
        <v>54</v>
      </c>
      <c r="C1203" s="27">
        <v>1600</v>
      </c>
      <c r="D1203" s="27" t="s">
        <v>33</v>
      </c>
      <c r="F1203" s="27" t="str">
        <f t="shared" ref="F1203" si="537">IF(C1203&gt;$W$5,"Yes","No")</f>
        <v>Yes</v>
      </c>
      <c r="G1203" s="27" t="s">
        <v>5</v>
      </c>
    </row>
    <row r="1204" spans="1:38" x14ac:dyDescent="0.2">
      <c r="A1204" s="27" t="s">
        <v>71</v>
      </c>
      <c r="B1204" s="27" t="s">
        <v>32</v>
      </c>
      <c r="C1204" s="27">
        <v>12</v>
      </c>
      <c r="D1204" s="27" t="s">
        <v>33</v>
      </c>
      <c r="F1204" s="27" t="str">
        <f t="shared" ref="F1204" si="538">IF(C1204&gt;$W$6,"Yes","No")</f>
        <v>Yes</v>
      </c>
      <c r="G1204" s="27" t="s">
        <v>5</v>
      </c>
    </row>
    <row r="1206" spans="1:38" x14ac:dyDescent="0.2">
      <c r="A1206" s="27">
        <v>1402</v>
      </c>
      <c r="B1206" s="27" t="s">
        <v>422</v>
      </c>
      <c r="C1206" s="27">
        <v>80</v>
      </c>
    </row>
    <row r="1207" spans="1:38" x14ac:dyDescent="0.2">
      <c r="A1207" s="59" t="s">
        <v>0</v>
      </c>
      <c r="E1207" s="27" t="s">
        <v>274</v>
      </c>
      <c r="F1207" s="27" t="s">
        <v>275</v>
      </c>
      <c r="G1207" s="27" t="s">
        <v>119</v>
      </c>
      <c r="J1207" s="59" t="s">
        <v>1</v>
      </c>
      <c r="N1207" s="27" t="s">
        <v>277</v>
      </c>
      <c r="O1207" s="27" t="s">
        <v>278</v>
      </c>
      <c r="Q1207" s="59" t="s">
        <v>115</v>
      </c>
      <c r="R1207" s="59" t="s">
        <v>0</v>
      </c>
      <c r="S1207" s="59" t="s">
        <v>1</v>
      </c>
      <c r="U1207" s="59" t="s">
        <v>115</v>
      </c>
      <c r="V1207" s="59" t="s">
        <v>0</v>
      </c>
      <c r="W1207" s="59" t="s">
        <v>1</v>
      </c>
      <c r="X1207" s="59" t="s">
        <v>122</v>
      </c>
      <c r="AA1207" s="27" t="str">
        <f>IF(R1208="Yes","LRA-Soil","")</f>
        <v>LRA-Soil</v>
      </c>
      <c r="AB1207" s="27" t="str">
        <f>IF(R1209="Yes","LRA-Paint","")</f>
        <v>LRA-Paint</v>
      </c>
      <c r="AC1207" s="27" t="str">
        <f>IF(R1210="Yes","LRA-Dust","")</f>
        <v/>
      </c>
      <c r="AD1207" s="27" t="str">
        <f>IF(S1208="Yes","LSK-Soil","")</f>
        <v/>
      </c>
      <c r="AE1207" s="27" t="str">
        <f>IF(S1209="Yes","LSK-Paint","")</f>
        <v>LSK-Paint</v>
      </c>
      <c r="AF1207" s="27" t="str">
        <f>IF(S1210="Yes","LSK-Dust","")</f>
        <v/>
      </c>
      <c r="AI1207" s="27" t="s">
        <v>46</v>
      </c>
      <c r="AJ1207" s="27" t="s">
        <v>43</v>
      </c>
      <c r="AK1207" s="27" t="s">
        <v>116</v>
      </c>
      <c r="AL1207" s="27" t="s">
        <v>117</v>
      </c>
    </row>
    <row r="1208" spans="1:38" x14ac:dyDescent="0.2">
      <c r="A1208" s="27" t="s">
        <v>250</v>
      </c>
      <c r="B1208" s="27" t="s">
        <v>221</v>
      </c>
      <c r="C1208" s="27">
        <v>1.8</v>
      </c>
      <c r="D1208" s="27" t="s">
        <v>4</v>
      </c>
      <c r="E1208" s="27" t="s">
        <v>5</v>
      </c>
      <c r="F1208" s="27" t="str">
        <f t="shared" ref="F1208:F1209" si="539">IF(C1208&gt;=$W$2,"Yes","No")</f>
        <v>Yes</v>
      </c>
      <c r="G1208" s="27" t="s">
        <v>9</v>
      </c>
      <c r="H1208" s="27" t="s">
        <v>46</v>
      </c>
      <c r="J1208" s="27" t="s">
        <v>6</v>
      </c>
      <c r="K1208" s="27">
        <v>136</v>
      </c>
      <c r="L1208" s="27" t="s">
        <v>12</v>
      </c>
      <c r="M1208" s="27" t="s">
        <v>114</v>
      </c>
      <c r="N1208" s="27" t="str">
        <f>IF(K1208="N/A","No", IF(K1208&gt;1200,"Yes","No"))</f>
        <v>No</v>
      </c>
      <c r="O1208" s="27" t="str">
        <f>IF(K1208="Not","No",IF(K1208="n/a","N/A",IF(K1208&gt;=$Y$3,"Yes","No")))</f>
        <v>No</v>
      </c>
      <c r="Q1208" s="27" t="s">
        <v>116</v>
      </c>
      <c r="R1208" s="27" t="str">
        <f>_xlfn.XLOOKUP("ppm",D1208:D1218,G1208:G1218,"N/A")</f>
        <v>Yes</v>
      </c>
      <c r="S1208" s="27" t="str">
        <f>IF(COUNTIF(O1208:O1210,"Yes"),"Yes","No")</f>
        <v>No</v>
      </c>
      <c r="U1208" s="27" t="s">
        <v>92</v>
      </c>
      <c r="V1208" s="27" t="str">
        <f>F1211</f>
        <v>No</v>
      </c>
      <c r="W1208" s="27" t="s">
        <v>120</v>
      </c>
      <c r="X1208" s="27" t="str">
        <f>IF(V1208="N/A","N/A",IF(W1208="N/A", "N/A", IF(V1208=W1208, "Yes","No")))</f>
        <v>N/A</v>
      </c>
      <c r="AI1208" s="27">
        <f>COUNTIF(H1208:H1218,"Exterior")</f>
        <v>2</v>
      </c>
      <c r="AJ1208" s="27">
        <f>COUNTIF(H1208:H1218, "Interior")</f>
        <v>6</v>
      </c>
      <c r="AK1208" s="27">
        <f>COUNTIFS(D1208:D1218,"ppm")+COUNTIFS(D1208:D1218,"mg/Kg")</f>
        <v>2</v>
      </c>
      <c r="AL1208" s="27">
        <f>COUNTIF(D1208:D1218,"ug/ft2")</f>
        <v>1</v>
      </c>
    </row>
    <row r="1209" spans="1:38" x14ac:dyDescent="0.2">
      <c r="A1209" s="27" t="s">
        <v>235</v>
      </c>
      <c r="B1209" s="27" t="s">
        <v>211</v>
      </c>
      <c r="C1209" s="27">
        <v>34.5</v>
      </c>
      <c r="D1209" s="27" t="s">
        <v>4</v>
      </c>
      <c r="E1209" s="27" t="s">
        <v>5</v>
      </c>
      <c r="F1209" s="27" t="str">
        <f t="shared" si="539"/>
        <v>Yes</v>
      </c>
      <c r="G1209" s="27" t="s">
        <v>5</v>
      </c>
      <c r="H1209" s="27" t="s">
        <v>46</v>
      </c>
      <c r="J1209" s="27" t="s">
        <v>11</v>
      </c>
      <c r="K1209" s="27">
        <v>166</v>
      </c>
      <c r="L1209" s="27" t="s">
        <v>12</v>
      </c>
      <c r="M1209" s="27" t="s">
        <v>67</v>
      </c>
      <c r="N1209" s="27" t="str">
        <f t="shared" ref="N1209:N1210" si="540">IF(K1209="N/A","No", IF(K1209&gt;1200,"Yes","No"))</f>
        <v>No</v>
      </c>
      <c r="O1209" s="27" t="str">
        <f t="shared" ref="O1209:O1210" si="541">IF(K1209="Not","No",IF(K1209="n/a","N/A",IF(K1209&gt;$Y$3,"Yes","No")))</f>
        <v>No</v>
      </c>
      <c r="Q1209" s="27" t="s">
        <v>98</v>
      </c>
      <c r="R1209" s="27" t="str">
        <f>_xlfn.XLOOKUP("mg/cm2",D1208:D1218,G1208:G1218,"N/A",1,-1)</f>
        <v>Yes</v>
      </c>
      <c r="S1209" s="27" t="str">
        <f>IF(COUNTIF(O1211:O1212,"Yes"),"Yes","No")</f>
        <v>Yes</v>
      </c>
      <c r="U1209" s="27" t="s">
        <v>95</v>
      </c>
      <c r="V1209" s="27" t="str">
        <f>R1208</f>
        <v>Yes</v>
      </c>
      <c r="W1209" s="27" t="str">
        <f>S1208</f>
        <v>No</v>
      </c>
      <c r="X1209" s="27" t="str">
        <f t="shared" ref="X1209:X1212" si="542">IF(V1209="N/A","N/A",IF(W1209="N/A", "N/A", IF(V1209=W1209, "Yes","No")))</f>
        <v>No</v>
      </c>
    </row>
    <row r="1210" spans="1:38" x14ac:dyDescent="0.2">
      <c r="A1210" s="27" t="s">
        <v>200</v>
      </c>
      <c r="B1210" s="27" t="s">
        <v>286</v>
      </c>
      <c r="C1210" s="27">
        <v>2220</v>
      </c>
      <c r="D1210" s="27" t="s">
        <v>12</v>
      </c>
      <c r="E1210" s="27" t="s">
        <v>5</v>
      </c>
      <c r="F1210" s="27" t="str">
        <f t="shared" ref="F1210:F1211" si="543">IF(C1210&gt;$W$3,"Yes","No")</f>
        <v>Yes</v>
      </c>
      <c r="G1210" s="27" t="s">
        <v>5</v>
      </c>
      <c r="J1210" s="27" t="s">
        <v>15</v>
      </c>
      <c r="K1210" s="27">
        <v>231</v>
      </c>
      <c r="L1210" s="27" t="s">
        <v>12</v>
      </c>
      <c r="M1210" s="27" t="s">
        <v>112</v>
      </c>
      <c r="N1210" s="27" t="str">
        <f t="shared" si="540"/>
        <v>No</v>
      </c>
      <c r="O1210" s="27" t="str">
        <f t="shared" si="541"/>
        <v>No</v>
      </c>
      <c r="Q1210" s="27" t="s">
        <v>117</v>
      </c>
      <c r="R1210" s="27" t="str">
        <f>_xlfn.XLOOKUP("ug/ft2",D1208:D1218,G1208:G1218,"N/A")</f>
        <v>No</v>
      </c>
      <c r="S1210" s="27" t="str">
        <f>IF(COUNTIF(O1213:O1216,"Yes"),"Yes","No")</f>
        <v>No</v>
      </c>
      <c r="U1210" s="27" t="s">
        <v>163</v>
      </c>
      <c r="V1210" s="27" t="s">
        <v>5</v>
      </c>
      <c r="W1210" s="27" t="str">
        <f>O1212</f>
        <v>No</v>
      </c>
      <c r="X1210" s="27" t="str">
        <f t="shared" si="542"/>
        <v>No</v>
      </c>
    </row>
    <row r="1211" spans="1:38" x14ac:dyDescent="0.2">
      <c r="A1211" s="27" t="s">
        <v>243</v>
      </c>
      <c r="B1211" s="27" t="s">
        <v>290</v>
      </c>
      <c r="C1211" s="27">
        <v>233</v>
      </c>
      <c r="D1211" s="27" t="s">
        <v>12</v>
      </c>
      <c r="E1211" s="27" t="s">
        <v>9</v>
      </c>
      <c r="F1211" s="27" t="str">
        <f t="shared" si="543"/>
        <v>No</v>
      </c>
      <c r="G1211" s="27" t="s">
        <v>9</v>
      </c>
      <c r="J1211" s="27" t="s">
        <v>19</v>
      </c>
      <c r="K1211" s="27">
        <v>53084</v>
      </c>
      <c r="L1211" s="27" t="s">
        <v>12</v>
      </c>
      <c r="M1211" s="27" t="s">
        <v>46</v>
      </c>
      <c r="N1211" s="27" t="str">
        <f>IF(K1211="N/A","No", IF(K1211&gt;5000,"Yes","No"))</f>
        <v>Yes</v>
      </c>
      <c r="O1211" s="27" t="str">
        <f>IF(K1211="Not","No",IF(K1211="n/a","N/A",IF(K1211&gt;$Y$2,"Yes","No")))</f>
        <v>Yes</v>
      </c>
      <c r="Q1211" s="27" t="s">
        <v>118</v>
      </c>
      <c r="R1211" s="27" t="str">
        <f>IF(COUNTIF(R1208:R1210,"Yes"),"Yes","No")</f>
        <v>Yes</v>
      </c>
      <c r="S1211" s="27" t="str">
        <f>IF(COUNTIF(S1208:S1210,"Yes"),"Yes","No")</f>
        <v>Yes</v>
      </c>
      <c r="U1211" s="27" t="s">
        <v>164</v>
      </c>
      <c r="V1211" s="27" t="s">
        <v>5</v>
      </c>
      <c r="W1211" s="27" t="str">
        <f>O1211</f>
        <v>Yes</v>
      </c>
      <c r="X1211" s="27" t="str">
        <f t="shared" si="542"/>
        <v>Yes</v>
      </c>
    </row>
    <row r="1212" spans="1:38" x14ac:dyDescent="0.2">
      <c r="A1212" s="27" t="s">
        <v>287</v>
      </c>
      <c r="B1212" s="27" t="s">
        <v>423</v>
      </c>
      <c r="C1212" s="27">
        <v>4</v>
      </c>
      <c r="D1212" s="27" t="s">
        <v>4</v>
      </c>
      <c r="E1212" s="27" t="s">
        <v>5</v>
      </c>
      <c r="F1212" s="27" t="str">
        <f t="shared" ref="F1212:F1217" si="544">IF(C1212&gt;=$W$2,"Yes","No")</f>
        <v>Yes</v>
      </c>
      <c r="G1212" s="27" t="s">
        <v>5</v>
      </c>
      <c r="H1212" s="27" t="s">
        <v>43</v>
      </c>
      <c r="J1212" s="27" t="s">
        <v>22</v>
      </c>
      <c r="K1212" s="27">
        <v>1675</v>
      </c>
      <c r="L1212" s="27" t="s">
        <v>12</v>
      </c>
      <c r="M1212" s="27" t="s">
        <v>43</v>
      </c>
      <c r="N1212" s="27" t="str">
        <f>IF(K1212="N/A","No", IF(K1212&gt;5000,"Yes","No"))</f>
        <v>No</v>
      </c>
      <c r="O1212" s="27" t="str">
        <f>IF(K1212="Not","No",IF(K1212="n/a","N/A",IF(K1212&gt;$Y$2,"Yes","No")))</f>
        <v>No</v>
      </c>
      <c r="U1212" s="27" t="s">
        <v>162</v>
      </c>
      <c r="V1212" s="27" t="str">
        <f>R1209</f>
        <v>Yes</v>
      </c>
      <c r="W1212" s="27" t="str">
        <f>S1209</f>
        <v>Yes</v>
      </c>
      <c r="X1212" s="27" t="str">
        <f t="shared" si="542"/>
        <v>Yes</v>
      </c>
    </row>
    <row r="1213" spans="1:38" x14ac:dyDescent="0.2">
      <c r="A1213" s="27" t="s">
        <v>287</v>
      </c>
      <c r="B1213" s="27" t="s">
        <v>189</v>
      </c>
      <c r="C1213" s="27">
        <v>12.8</v>
      </c>
      <c r="D1213" s="27" t="s">
        <v>4</v>
      </c>
      <c r="E1213" s="27" t="s">
        <v>5</v>
      </c>
      <c r="F1213" s="27" t="str">
        <f t="shared" si="544"/>
        <v>Yes</v>
      </c>
      <c r="G1213" s="27" t="s">
        <v>5</v>
      </c>
      <c r="H1213" s="27" t="s">
        <v>43</v>
      </c>
      <c r="J1213" s="27" t="s">
        <v>25</v>
      </c>
      <c r="K1213" s="27">
        <v>12</v>
      </c>
      <c r="L1213" s="27" t="s">
        <v>12</v>
      </c>
      <c r="M1213" s="27" t="s">
        <v>126</v>
      </c>
      <c r="N1213" s="27" t="str">
        <f>IF(K1213="N/A","No", IF(K1213&gt;=20,"Yes","No"))</f>
        <v>No</v>
      </c>
      <c r="O1213" s="27" t="str">
        <f>IF(K1213="Not","No",IF(K1213="n/a","N/A",IF(K1213&gt;=$Y$6,"Yes","No")))</f>
        <v>No</v>
      </c>
      <c r="U1213" s="27" t="s">
        <v>101</v>
      </c>
      <c r="V1213" s="27" t="s">
        <v>120</v>
      </c>
      <c r="W1213" s="27" t="s">
        <v>9</v>
      </c>
      <c r="X1213" s="27" t="str">
        <f>IF(V1213="N/A","N/A",IF(W1213="N/A", "N/A", IF(V1213=W1213, "Yes","No")))</f>
        <v>N/A</v>
      </c>
    </row>
    <row r="1214" spans="1:38" x14ac:dyDescent="0.2">
      <c r="A1214" s="27" t="s">
        <v>239</v>
      </c>
      <c r="B1214" s="27" t="s">
        <v>424</v>
      </c>
      <c r="C1214" s="27">
        <v>23.4</v>
      </c>
      <c r="D1214" s="27" t="s">
        <v>4</v>
      </c>
      <c r="E1214" s="27" t="s">
        <v>5</v>
      </c>
      <c r="F1214" s="27" t="str">
        <f t="shared" si="544"/>
        <v>Yes</v>
      </c>
      <c r="G1214" s="27" t="s">
        <v>5</v>
      </c>
      <c r="H1214" s="27" t="s">
        <v>43</v>
      </c>
      <c r="J1214" s="27" t="s">
        <v>29</v>
      </c>
      <c r="K1214" s="27">
        <v>9</v>
      </c>
      <c r="L1214" s="27" t="s">
        <v>12</v>
      </c>
      <c r="M1214" s="27" t="s">
        <v>222</v>
      </c>
      <c r="N1214" s="27" t="str">
        <f>IF(K1214="N/A","No", IF(K1214&gt;20,"Yes","No"))</f>
        <v>No</v>
      </c>
      <c r="O1214" s="27" t="str">
        <f t="shared" ref="O1214" si="545">IF(K1214="Not","No",IF(K1214="n/a","N/A",IF(K1214&gt;$Y$6,"Yes","No")))</f>
        <v>No</v>
      </c>
      <c r="U1214" s="27" t="s">
        <v>104</v>
      </c>
      <c r="V1214" s="27" t="s">
        <v>9</v>
      </c>
      <c r="W1214" s="27" t="str">
        <f>O1215</f>
        <v>No</v>
      </c>
      <c r="X1214" s="27" t="str">
        <f>IF(V1214="N/A","N/A",IF(W1214="N/A", "N/A", IF(V1214=W1214, "Yes","No")))</f>
        <v>Yes</v>
      </c>
    </row>
    <row r="1215" spans="1:38" x14ac:dyDescent="0.2">
      <c r="A1215" s="27" t="s">
        <v>249</v>
      </c>
      <c r="B1215" s="27" t="s">
        <v>236</v>
      </c>
      <c r="C1215" s="27">
        <v>9.6999999999999993</v>
      </c>
      <c r="D1215" s="27" t="s">
        <v>4</v>
      </c>
      <c r="E1215" s="27" t="s">
        <v>5</v>
      </c>
      <c r="F1215" s="27" t="str">
        <f t="shared" si="544"/>
        <v>Yes</v>
      </c>
      <c r="G1215" s="27" t="s">
        <v>5</v>
      </c>
      <c r="H1215" s="27" t="s">
        <v>43</v>
      </c>
      <c r="J1215" s="27" t="s">
        <v>34</v>
      </c>
      <c r="K1215" s="27">
        <v>18</v>
      </c>
      <c r="L1215" s="27" t="s">
        <v>12</v>
      </c>
      <c r="M1215" s="27" t="s">
        <v>210</v>
      </c>
      <c r="N1215" s="27" t="str">
        <f>IF(K1215="N/A","No", IF(K1215&gt;230,"Yes","No"))</f>
        <v>No</v>
      </c>
      <c r="O1215" s="27" t="str">
        <f>IF(K1215="Not","No",IF(K1215="n/a","N/A",IF(K1215&gt;$Y$5,"Yes","No")))</f>
        <v>No</v>
      </c>
      <c r="U1215" s="27" t="s">
        <v>106</v>
      </c>
      <c r="V1215" s="27" t="str">
        <f>R1210</f>
        <v>No</v>
      </c>
      <c r="W1215" s="27" t="str">
        <f>S1210</f>
        <v>No</v>
      </c>
      <c r="X1215" s="27" t="str">
        <f>IF(V1215="N/A","N/A",IF(W1215="N/A", "N/A", IF(V1215=W1215, "Yes","No")))</f>
        <v>Yes</v>
      </c>
    </row>
    <row r="1216" spans="1:38" x14ac:dyDescent="0.2">
      <c r="A1216" s="27" t="s">
        <v>249</v>
      </c>
      <c r="B1216" s="27" t="s">
        <v>211</v>
      </c>
      <c r="C1216" s="27">
        <v>5.0999999999999996</v>
      </c>
      <c r="D1216" s="27" t="s">
        <v>4</v>
      </c>
      <c r="E1216" s="27" t="s">
        <v>5</v>
      </c>
      <c r="F1216" s="27" t="str">
        <f t="shared" si="544"/>
        <v>Yes</v>
      </c>
      <c r="G1216" s="27" t="s">
        <v>5</v>
      </c>
      <c r="H1216" s="27" t="s">
        <v>43</v>
      </c>
      <c r="J1216" s="27" t="s">
        <v>208</v>
      </c>
      <c r="K1216" s="27">
        <v>616</v>
      </c>
      <c r="L1216" s="27" t="s">
        <v>12</v>
      </c>
      <c r="M1216" s="27" t="s">
        <v>223</v>
      </c>
      <c r="N1216" s="27" t="str">
        <f>IF(K1216="N/A","No", IF(K1216&gt;20,"Yes","No"))</f>
        <v>Yes</v>
      </c>
      <c r="O1216" s="27" t="str">
        <f>IF(K1216="Not","No",IF(K1216="n/a","N/A",IF(K1216&gt;$Y$7,"Yes","No")))</f>
        <v>No</v>
      </c>
      <c r="U1216" s="27" t="s">
        <v>121</v>
      </c>
      <c r="V1216" s="27" t="str">
        <f>R1211</f>
        <v>Yes</v>
      </c>
      <c r="W1216" s="27" t="str">
        <f>S1211</f>
        <v>Yes</v>
      </c>
      <c r="X1216" s="27" t="str">
        <f>IF(V1216="N/A","N/A",IF(W1216="N/A", "N/A", IF(V1216=W1216, "Yes","No")))</f>
        <v>Yes</v>
      </c>
    </row>
    <row r="1217" spans="1:38" x14ac:dyDescent="0.2">
      <c r="A1217" s="27" t="s">
        <v>237</v>
      </c>
      <c r="B1217" s="27" t="s">
        <v>424</v>
      </c>
      <c r="C1217" s="27">
        <v>5.7</v>
      </c>
      <c r="D1217" s="27" t="s">
        <v>4</v>
      </c>
      <c r="E1217" s="27" t="s">
        <v>5</v>
      </c>
      <c r="F1217" s="27" t="str">
        <f t="shared" si="544"/>
        <v>Yes</v>
      </c>
      <c r="G1217" s="27" t="s">
        <v>5</v>
      </c>
      <c r="H1217" s="27" t="s">
        <v>43</v>
      </c>
    </row>
    <row r="1218" spans="1:38" x14ac:dyDescent="0.2">
      <c r="A1218" s="27" t="s">
        <v>425</v>
      </c>
      <c r="B1218" s="27" t="s">
        <v>192</v>
      </c>
      <c r="C1218" s="27">
        <v>54</v>
      </c>
      <c r="D1218" s="27" t="s">
        <v>33</v>
      </c>
      <c r="E1218" s="27" t="s">
        <v>9</v>
      </c>
      <c r="F1218" s="27" t="str">
        <f t="shared" ref="F1218" si="546">IF(C1218&gt;$W$5,"Yes","No")</f>
        <v>No</v>
      </c>
      <c r="G1218" s="27" t="s">
        <v>9</v>
      </c>
    </row>
    <row r="1220" spans="1:38" x14ac:dyDescent="0.2">
      <c r="A1220" s="27">
        <v>1403</v>
      </c>
      <c r="B1220" s="27" t="s">
        <v>319</v>
      </c>
      <c r="C1220" s="27">
        <v>81</v>
      </c>
      <c r="AF1220" s="27" t="str">
        <f>IF(S1210="Yes","LSK-Dust","")</f>
        <v/>
      </c>
    </row>
    <row r="1221" spans="1:38" x14ac:dyDescent="0.2">
      <c r="A1221" s="59" t="s">
        <v>0</v>
      </c>
      <c r="E1221" s="27" t="s">
        <v>274</v>
      </c>
      <c r="F1221" s="27" t="s">
        <v>275</v>
      </c>
      <c r="G1221" s="27" t="s">
        <v>119</v>
      </c>
      <c r="J1221" s="59" t="s">
        <v>1</v>
      </c>
      <c r="N1221" s="27" t="s">
        <v>277</v>
      </c>
      <c r="O1221" s="27" t="s">
        <v>278</v>
      </c>
      <c r="Q1221" s="59" t="s">
        <v>115</v>
      </c>
      <c r="R1221" s="59" t="s">
        <v>0</v>
      </c>
      <c r="S1221" s="59" t="s">
        <v>1</v>
      </c>
      <c r="U1221" s="59" t="s">
        <v>115</v>
      </c>
      <c r="V1221" s="59" t="s">
        <v>0</v>
      </c>
      <c r="W1221" s="59" t="s">
        <v>1</v>
      </c>
      <c r="X1221" s="59" t="s">
        <v>122</v>
      </c>
      <c r="AA1221" s="27" t="str">
        <f>IF(R1222="Yes","LRA-Soil","")</f>
        <v/>
      </c>
      <c r="AB1221" s="27" t="str">
        <f>IF(R1223="Yes","LRA-Paint","")</f>
        <v/>
      </c>
      <c r="AC1221" s="27" t="str">
        <f>IF(R1224="Yes","LRA-Dust","")</f>
        <v>LRA-Dust</v>
      </c>
      <c r="AD1221" s="27" t="str">
        <f>IF(S1222="Yes","LSK-Soil","")</f>
        <v/>
      </c>
      <c r="AE1221" s="27" t="str">
        <f>IF(S1223="Yes","LSK-Paint","")</f>
        <v/>
      </c>
      <c r="AF1221" s="27" t="str">
        <f>IF(S1224="Yes","LSK-Dust","")</f>
        <v>LSK-Dust</v>
      </c>
      <c r="AI1221" s="27" t="s">
        <v>46</v>
      </c>
      <c r="AJ1221" s="27" t="s">
        <v>43</v>
      </c>
      <c r="AK1221" s="27" t="s">
        <v>116</v>
      </c>
      <c r="AL1221" s="27" t="s">
        <v>117</v>
      </c>
    </row>
    <row r="1222" spans="1:38" x14ac:dyDescent="0.2">
      <c r="A1222" s="27" t="s">
        <v>63</v>
      </c>
      <c r="B1222" s="27" t="s">
        <v>10</v>
      </c>
      <c r="C1222" s="27">
        <v>0</v>
      </c>
      <c r="D1222" s="27" t="s">
        <v>4</v>
      </c>
      <c r="F1222" s="27" t="str">
        <f t="shared" ref="F1222" si="547">IF(C1222&gt;=$W$2,"Yes","No")</f>
        <v>No</v>
      </c>
      <c r="G1222" s="27" t="s">
        <v>9</v>
      </c>
      <c r="H1222" s="27" t="s">
        <v>46</v>
      </c>
      <c r="J1222" s="27" t="s">
        <v>6</v>
      </c>
      <c r="K1222" s="27">
        <v>125</v>
      </c>
      <c r="L1222" s="27" t="s">
        <v>12</v>
      </c>
      <c r="M1222" s="27" t="s">
        <v>36</v>
      </c>
      <c r="N1222" s="27" t="str">
        <f>IF(K1222="N/A","No", IF(K1222&gt;1200,"Yes","No"))</f>
        <v>No</v>
      </c>
      <c r="O1222" s="27" t="str">
        <f>IF(K1222="Not","No",IF(K1222="n/a","N/A",IF(K1222&gt;=$Y$3,"Yes","No")))</f>
        <v>No</v>
      </c>
      <c r="Q1222" s="27" t="s">
        <v>116</v>
      </c>
      <c r="R1222" s="27" t="str">
        <f>_xlfn.XLOOKUP("ppm",D1222:D1229,F1222:F1229,"N/A")</f>
        <v>No</v>
      </c>
      <c r="S1222" s="27" t="str">
        <f>IF(COUNTIF(O1222:O1224,"Yes"),"Yes","No")</f>
        <v>No</v>
      </c>
      <c r="U1222" s="27" t="s">
        <v>92</v>
      </c>
      <c r="V1222" s="27" t="s">
        <v>120</v>
      </c>
      <c r="W1222" s="27" t="s">
        <v>120</v>
      </c>
      <c r="X1222" s="27" t="str">
        <f>IF(V1222="N/A","N/A",IF(W1222="N/A", "N/A", IF(V1222=W1222, "Yes","No")))</f>
        <v>N/A</v>
      </c>
      <c r="AI1222" s="27">
        <f>COUNTIF(H1222:H1225,"Exterior")</f>
        <v>1</v>
      </c>
      <c r="AJ1222" s="27">
        <f>COUNTIF(H1222:H1225, "Interior")</f>
        <v>1</v>
      </c>
      <c r="AK1222" s="27">
        <f>COUNTIFS(D1222:D1225,"ppm")+COUNTIFS(D1222:D1225,"mg/Kg")</f>
        <v>1</v>
      </c>
      <c r="AL1222" s="27">
        <f>COUNTIF(D1222:D1225,"ug/ft2")</f>
        <v>1</v>
      </c>
    </row>
    <row r="1223" spans="1:38" x14ac:dyDescent="0.2">
      <c r="A1223" s="27" t="s">
        <v>200</v>
      </c>
      <c r="B1223" s="27" t="s">
        <v>286</v>
      </c>
      <c r="C1223" s="27">
        <v>140</v>
      </c>
      <c r="D1223" s="27" t="s">
        <v>12</v>
      </c>
      <c r="E1223" s="27" t="s">
        <v>9</v>
      </c>
      <c r="F1223" s="27" t="str">
        <f t="shared" ref="F1223" si="548">IF(C1223&gt;$W$3,"Yes","No")</f>
        <v>No</v>
      </c>
      <c r="G1223" s="27" t="s">
        <v>9</v>
      </c>
      <c r="J1223" s="27" t="s">
        <v>11</v>
      </c>
      <c r="K1223" s="27">
        <v>153</v>
      </c>
      <c r="L1223" s="27" t="s">
        <v>12</v>
      </c>
      <c r="M1223" s="27" t="s">
        <v>38</v>
      </c>
      <c r="N1223" s="27" t="str">
        <f t="shared" ref="N1223:N1224" si="549">IF(K1223="N/A","No", IF(K1223&gt;1200,"Yes","No"))</f>
        <v>No</v>
      </c>
      <c r="O1223" s="27" t="str">
        <f t="shared" ref="O1223:O1224" si="550">IF(K1223="Not","No",IF(K1223="n/a","N/A",IF(K1223&gt;$Y$3,"Yes","No")))</f>
        <v>No</v>
      </c>
      <c r="Q1223" s="27" t="s">
        <v>98</v>
      </c>
      <c r="R1223" s="27" t="str">
        <f>_xlfn.XLOOKUP("mg/cm2",D1222:D1226,G1222:G1226,"N/A",1,-1)</f>
        <v>No</v>
      </c>
      <c r="S1223" s="27" t="str">
        <f>IF(COUNTIF(O1225:O1226,"Yes"),"Yes","No")</f>
        <v>No</v>
      </c>
      <c r="U1223" s="27" t="s">
        <v>95</v>
      </c>
      <c r="V1223" s="27" t="str">
        <f>R1222</f>
        <v>No</v>
      </c>
      <c r="W1223" s="27" t="str">
        <f>S1222</f>
        <v>No</v>
      </c>
      <c r="X1223" s="27" t="str">
        <f t="shared" ref="X1223:X1226" si="551">IF(V1223="N/A","N/A",IF(W1223="N/A", "N/A", IF(V1223=W1223, "Yes","No")))</f>
        <v>Yes</v>
      </c>
    </row>
    <row r="1224" spans="1:38" x14ac:dyDescent="0.2">
      <c r="A1224" s="27" t="s">
        <v>213</v>
      </c>
      <c r="B1224" s="27" t="s">
        <v>424</v>
      </c>
      <c r="C1224" s="27">
        <v>0.12</v>
      </c>
      <c r="D1224" s="27" t="s">
        <v>4</v>
      </c>
      <c r="E1224" s="27" t="s">
        <v>9</v>
      </c>
      <c r="F1224" s="27" t="str">
        <f t="shared" ref="F1224" si="552">IF(C1224&gt;=$W$2,"Yes","No")</f>
        <v>No</v>
      </c>
      <c r="G1224" s="27" t="s">
        <v>9</v>
      </c>
      <c r="H1224" s="27" t="s">
        <v>43</v>
      </c>
      <c r="J1224" s="27" t="s">
        <v>15</v>
      </c>
      <c r="K1224" s="27">
        <v>14</v>
      </c>
      <c r="L1224" s="27" t="s">
        <v>12</v>
      </c>
      <c r="M1224" s="27" t="s">
        <v>41</v>
      </c>
      <c r="N1224" s="27" t="str">
        <f t="shared" si="549"/>
        <v>No</v>
      </c>
      <c r="O1224" s="27" t="str">
        <f t="shared" si="550"/>
        <v>No</v>
      </c>
      <c r="Q1224" s="27" t="s">
        <v>117</v>
      </c>
      <c r="R1224" s="27" t="str">
        <f>_xlfn.XLOOKUP("ug/ft2",D1222:D1226,F1222:F1226,"N/A")</f>
        <v>Yes</v>
      </c>
      <c r="S1224" s="27" t="str">
        <f>IF(COUNTIF(O1227:O1230,"Yes"),"Yes","No")</f>
        <v>Yes</v>
      </c>
      <c r="U1224" s="27" t="s">
        <v>163</v>
      </c>
      <c r="V1224" s="27" t="s">
        <v>9</v>
      </c>
      <c r="W1224" s="27" t="s">
        <v>9</v>
      </c>
      <c r="X1224" s="27" t="str">
        <f t="shared" si="551"/>
        <v>Yes</v>
      </c>
    </row>
    <row r="1225" spans="1:38" x14ac:dyDescent="0.2">
      <c r="A1225" s="27" t="s">
        <v>201</v>
      </c>
      <c r="B1225" s="27" t="s">
        <v>214</v>
      </c>
      <c r="C1225" s="27">
        <v>44</v>
      </c>
      <c r="D1225" s="27" t="s">
        <v>33</v>
      </c>
      <c r="E1225" s="27" t="s">
        <v>5</v>
      </c>
      <c r="F1225" s="27" t="str">
        <f t="shared" ref="F1225" si="553">IF(C1225&gt;$W$6,"Yes","No")</f>
        <v>Yes</v>
      </c>
      <c r="G1225" s="27" t="s">
        <v>5</v>
      </c>
      <c r="J1225" s="27" t="s">
        <v>19</v>
      </c>
      <c r="K1225" s="27">
        <v>377</v>
      </c>
      <c r="L1225" s="27" t="s">
        <v>12</v>
      </c>
      <c r="M1225" s="27" t="s">
        <v>426</v>
      </c>
      <c r="N1225" s="27" t="str">
        <f>IF(K1225="N/A","No", IF(K1225&gt;5000,"Yes","No"))</f>
        <v>No</v>
      </c>
      <c r="O1225" s="27" t="str">
        <f>IF(K1225="Not","No",IF(K1225="n/a","N/A",IF(K1225&gt;$Y$2,"Yes","No")))</f>
        <v>No</v>
      </c>
      <c r="Q1225" s="27" t="s">
        <v>118</v>
      </c>
      <c r="R1225" s="27" t="str">
        <f>IF(COUNTIF(R1222:R1224,"Yes"),"Yes","No")</f>
        <v>Yes</v>
      </c>
      <c r="S1225" s="27" t="str">
        <f>IF(COUNTIF(S1222:S1224,"Yes"),"Yes","No")</f>
        <v>Yes</v>
      </c>
      <c r="U1225" s="27" t="s">
        <v>164</v>
      </c>
      <c r="V1225" s="27" t="s">
        <v>9</v>
      </c>
      <c r="W1225" s="27" t="s">
        <v>9</v>
      </c>
      <c r="X1225" s="27" t="str">
        <f t="shared" si="551"/>
        <v>Yes</v>
      </c>
    </row>
    <row r="1226" spans="1:38" x14ac:dyDescent="0.2">
      <c r="J1226" s="27" t="s">
        <v>22</v>
      </c>
      <c r="K1226" s="27">
        <v>16</v>
      </c>
      <c r="L1226" s="27" t="s">
        <v>12</v>
      </c>
      <c r="M1226" s="27" t="s">
        <v>36</v>
      </c>
      <c r="N1226" s="27" t="str">
        <f>IF(K1226="N/A","No", IF(K1226&gt;5000,"Yes","No"))</f>
        <v>No</v>
      </c>
      <c r="O1226" s="27" t="str">
        <f>IF(K1226="Not","No",IF(K1226="n/a","N/A",IF(K1226&gt;$Y$2,"Yes","No")))</f>
        <v>No</v>
      </c>
      <c r="U1226" s="27" t="s">
        <v>162</v>
      </c>
      <c r="V1226" s="27" t="str">
        <f>R1223</f>
        <v>No</v>
      </c>
      <c r="W1226" s="27" t="str">
        <f>S1223</f>
        <v>No</v>
      </c>
      <c r="X1226" s="27" t="str">
        <f t="shared" si="551"/>
        <v>Yes</v>
      </c>
    </row>
    <row r="1227" spans="1:38" x14ac:dyDescent="0.2">
      <c r="J1227" s="27" t="s">
        <v>25</v>
      </c>
      <c r="K1227" s="27">
        <v>0</v>
      </c>
      <c r="L1227" s="27" t="s">
        <v>12</v>
      </c>
      <c r="M1227" s="27" t="s">
        <v>59</v>
      </c>
      <c r="N1227" s="27" t="str">
        <f>IF(K1227="N/A","No", IF(K1227&gt;230,"Yes","No"))</f>
        <v>No</v>
      </c>
      <c r="O1227" s="27" t="str">
        <f>IF(K1227="Not","No",IF(K1227="n/a","N/A",IF(K1227&gt;$Y$5,"Yes","No")))</f>
        <v>No</v>
      </c>
      <c r="U1227" s="27" t="s">
        <v>101</v>
      </c>
      <c r="V1227" s="27" t="s">
        <v>5</v>
      </c>
      <c r="W1227" s="27" t="s">
        <v>5</v>
      </c>
      <c r="X1227" s="27" t="str">
        <f>IF(V1227="N/A","N/A",IF(W1227="N/A", "N/A", IF(V1227=W1227, "Yes","No")))</f>
        <v>Yes</v>
      </c>
    </row>
    <row r="1228" spans="1:38" x14ac:dyDescent="0.2">
      <c r="J1228" s="27" t="s">
        <v>29</v>
      </c>
      <c r="K1228" s="27">
        <v>108</v>
      </c>
      <c r="L1228" s="27" t="s">
        <v>12</v>
      </c>
      <c r="M1228" s="27" t="s">
        <v>72</v>
      </c>
      <c r="N1228" s="27" t="str">
        <f>IF(K1228="N/A","No", IF(K1228&gt;20,"Yes","No"))</f>
        <v>Yes</v>
      </c>
      <c r="O1228" s="27" t="str">
        <f t="shared" ref="O1228:O1229" si="554">IF(K1228="Not","No",IF(K1228="n/a","N/A",IF(K1228&gt;$Y$6,"Yes","No")))</f>
        <v>Yes</v>
      </c>
      <c r="U1228" s="27" t="s">
        <v>104</v>
      </c>
      <c r="V1228" s="27" t="s">
        <v>120</v>
      </c>
      <c r="W1228" s="27" t="s">
        <v>9</v>
      </c>
      <c r="X1228" s="27" t="str">
        <f>IF(V1228="N/A","N/A",IF(W1228="N/A", "N/A", IF(V1228=W1228, "Yes","No")))</f>
        <v>N/A</v>
      </c>
    </row>
    <row r="1229" spans="1:38" x14ac:dyDescent="0.2">
      <c r="J1229" s="27" t="s">
        <v>34</v>
      </c>
      <c r="K1229" s="27">
        <v>25</v>
      </c>
      <c r="L1229" s="27" t="s">
        <v>12</v>
      </c>
      <c r="M1229" s="27" t="s">
        <v>74</v>
      </c>
      <c r="N1229" s="27" t="str">
        <f>IF(K1229="N/A","No", IF(K1229&gt;20,"Yes","No"))</f>
        <v>Yes</v>
      </c>
      <c r="O1229" s="27" t="str">
        <f t="shared" si="554"/>
        <v>Yes</v>
      </c>
      <c r="U1229" s="27" t="s">
        <v>106</v>
      </c>
      <c r="V1229" s="27" t="str">
        <f>R1224</f>
        <v>Yes</v>
      </c>
      <c r="W1229" s="27" t="str">
        <f>S1224</f>
        <v>Yes</v>
      </c>
      <c r="X1229" s="27" t="str">
        <f>IF(V1229="N/A","N/A",IF(W1229="N/A", "N/A", IF(V1229=W1229, "Yes","No")))</f>
        <v>Yes</v>
      </c>
    </row>
    <row r="1230" spans="1:38" x14ac:dyDescent="0.2">
      <c r="U1230" s="27" t="s">
        <v>121</v>
      </c>
      <c r="V1230" s="27" t="str">
        <f>R1225</f>
        <v>Yes</v>
      </c>
      <c r="W1230" s="27" t="str">
        <f>S1225</f>
        <v>Yes</v>
      </c>
      <c r="X1230" s="27" t="str">
        <f>IF(V1230="N/A","N/A",IF(W1230="N/A", "N/A", IF(V1230=W1230, "Yes","No")))</f>
        <v>Yes</v>
      </c>
    </row>
    <row r="1231" spans="1:38" x14ac:dyDescent="0.2">
      <c r="A1231" s="27">
        <v>1415</v>
      </c>
      <c r="B1231" s="27" t="s">
        <v>319</v>
      </c>
      <c r="C1231" s="27">
        <v>82</v>
      </c>
    </row>
    <row r="1232" spans="1:38" x14ac:dyDescent="0.2">
      <c r="A1232" s="59" t="s">
        <v>0</v>
      </c>
      <c r="E1232" s="27" t="s">
        <v>274</v>
      </c>
      <c r="F1232" s="27" t="s">
        <v>275</v>
      </c>
      <c r="G1232" s="27" t="s">
        <v>119</v>
      </c>
      <c r="J1232" s="59" t="s">
        <v>1</v>
      </c>
      <c r="N1232" s="27" t="s">
        <v>277</v>
      </c>
      <c r="O1232" s="27" t="s">
        <v>278</v>
      </c>
      <c r="Q1232" s="59" t="s">
        <v>115</v>
      </c>
      <c r="R1232" s="59" t="s">
        <v>0</v>
      </c>
      <c r="S1232" s="59" t="s">
        <v>1</v>
      </c>
      <c r="U1232" s="59" t="s">
        <v>115</v>
      </c>
      <c r="V1232" s="59" t="s">
        <v>0</v>
      </c>
      <c r="W1232" s="59" t="s">
        <v>1</v>
      </c>
      <c r="X1232" s="59" t="s">
        <v>122</v>
      </c>
      <c r="AA1232" s="27" t="str">
        <f>IF(R1233="Yes","LRA-Soil","")</f>
        <v>LRA-Soil</v>
      </c>
      <c r="AB1232" s="27" t="str">
        <f>IF(R1234="Yes","LRA-Paint","")</f>
        <v>LRA-Paint</v>
      </c>
      <c r="AC1232" s="27" t="str">
        <f>IF(R1235="Yes","LRA-Dust","")</f>
        <v>LRA-Dust</v>
      </c>
      <c r="AD1232" s="27" t="str">
        <f>IF(S1233="Yes","LSK-Soil","")</f>
        <v>LSK-Soil</v>
      </c>
      <c r="AE1232" s="27" t="str">
        <f>IF(S1234="Yes","LSK-Paint","")</f>
        <v/>
      </c>
      <c r="AF1232" s="27" t="str">
        <f>IF(S1235="Yes","LSK-Dust","")</f>
        <v>LSK-Dust</v>
      </c>
      <c r="AI1232" s="27" t="s">
        <v>46</v>
      </c>
      <c r="AJ1232" s="27" t="s">
        <v>43</v>
      </c>
      <c r="AK1232" s="27" t="s">
        <v>116</v>
      </c>
      <c r="AL1232" s="27" t="s">
        <v>117</v>
      </c>
    </row>
    <row r="1233" spans="1:38" x14ac:dyDescent="0.2">
      <c r="A1233" s="27" t="s">
        <v>63</v>
      </c>
      <c r="B1233" s="27" t="s">
        <v>64</v>
      </c>
      <c r="C1233" s="27">
        <v>2.1</v>
      </c>
      <c r="D1233" s="27" t="s">
        <v>4</v>
      </c>
      <c r="F1233" s="27" t="str">
        <f t="shared" ref="F1233:F1240" si="555">IF(C1233&gt;=$W$2,"Yes","No")</f>
        <v>Yes</v>
      </c>
      <c r="G1233" s="27" t="s">
        <v>5</v>
      </c>
      <c r="H1233" s="27" t="s">
        <v>46</v>
      </c>
      <c r="J1233" s="27" t="s">
        <v>6</v>
      </c>
      <c r="K1233" s="27">
        <v>1579</v>
      </c>
      <c r="L1233" s="27" t="s">
        <v>12</v>
      </c>
      <c r="M1233" s="27" t="s">
        <v>36</v>
      </c>
      <c r="N1233" s="27" t="str">
        <f>IF(K1233="N/A","No", IF(K1233&gt;1200,"Yes","No"))</f>
        <v>Yes</v>
      </c>
      <c r="O1233" s="27" t="str">
        <f>IF(K1233="Not","No",IF(K1233="n/a","N/A",IF(K1233&gt;=$Y$3,"Yes","No")))</f>
        <v>Yes</v>
      </c>
      <c r="Q1233" s="27" t="s">
        <v>116</v>
      </c>
      <c r="R1233" s="63" t="s">
        <v>5</v>
      </c>
      <c r="S1233" s="27" t="str">
        <f>IF(COUNTIF(O1233:O1235,"Yes"),"Yes","No")</f>
        <v>Yes</v>
      </c>
      <c r="U1233" s="27" t="s">
        <v>92</v>
      </c>
      <c r="V1233" s="27" t="s">
        <v>120</v>
      </c>
      <c r="W1233" s="27" t="s">
        <v>120</v>
      </c>
      <c r="X1233" s="27" t="str">
        <f>IF(V1233="N/A","N/A",IF(W1233="N/A", "N/A", IF(V1233=W1233, "Yes","No")))</f>
        <v>N/A</v>
      </c>
      <c r="AI1233" s="27">
        <f>COUNTIF(H1233:H1251,"Exterior")</f>
        <v>8</v>
      </c>
      <c r="AJ1233" s="27">
        <f>COUNTIF(H1233:H1251, "Interior")</f>
        <v>6</v>
      </c>
      <c r="AK1233" s="27">
        <f>COUNTIFS(D1233:D1251,"ppm")+COUNTIFS(D1233:D1251,"mg/Kg")</f>
        <v>2</v>
      </c>
      <c r="AL1233" s="27">
        <f>COUNTIF(D1233:D1251,"ug/ft2")</f>
        <v>3</v>
      </c>
    </row>
    <row r="1234" spans="1:38" x14ac:dyDescent="0.2">
      <c r="A1234" s="27" t="s">
        <v>63</v>
      </c>
      <c r="B1234" s="27" t="s">
        <v>24</v>
      </c>
      <c r="C1234" s="27">
        <v>2.8</v>
      </c>
      <c r="D1234" s="27" t="s">
        <v>4</v>
      </c>
      <c r="F1234" s="27" t="str">
        <f t="shared" si="555"/>
        <v>Yes</v>
      </c>
      <c r="G1234" s="27" t="s">
        <v>5</v>
      </c>
      <c r="H1234" s="27" t="s">
        <v>46</v>
      </c>
      <c r="J1234" s="27" t="s">
        <v>11</v>
      </c>
      <c r="K1234" s="27">
        <v>197</v>
      </c>
      <c r="L1234" s="27" t="s">
        <v>12</v>
      </c>
      <c r="M1234" s="27" t="s">
        <v>38</v>
      </c>
      <c r="N1234" s="27" t="str">
        <f t="shared" ref="N1234:N1235" si="556">IF(K1234="N/A","No", IF(K1234&gt;1200,"Yes","No"))</f>
        <v>No</v>
      </c>
      <c r="O1234" s="27" t="str">
        <f t="shared" ref="O1234:O1235" si="557">IF(K1234="Not","No",IF(K1234="n/a","N/A",IF(K1234&gt;$Y$3,"Yes","No")))</f>
        <v>No</v>
      </c>
      <c r="Q1234" s="27" t="s">
        <v>98</v>
      </c>
      <c r="R1234" s="27" t="str">
        <f>_xlfn.XLOOKUP("mg/cm2",D1233:D1251,G1233:G1251,"N/A",1,-1)</f>
        <v>Yes</v>
      </c>
      <c r="S1234" s="27" t="str">
        <f>IF(COUNTIF(O1236:O1237,"Yes"),"Yes","No")</f>
        <v>No</v>
      </c>
      <c r="U1234" s="27" t="s">
        <v>95</v>
      </c>
      <c r="V1234" s="27" t="str">
        <f>R1233</f>
        <v>Yes</v>
      </c>
      <c r="W1234" s="27" t="str">
        <f>S1233</f>
        <v>Yes</v>
      </c>
      <c r="X1234" s="27" t="str">
        <f t="shared" ref="X1234:X1237" si="558">IF(V1234="N/A","N/A",IF(W1234="N/A", "N/A", IF(V1234=W1234, "Yes","No")))</f>
        <v>Yes</v>
      </c>
    </row>
    <row r="1235" spans="1:38" x14ac:dyDescent="0.2">
      <c r="A1235" s="27" t="s">
        <v>63</v>
      </c>
      <c r="B1235" s="27" t="s">
        <v>24</v>
      </c>
      <c r="C1235" s="27">
        <v>3.3</v>
      </c>
      <c r="D1235" s="27" t="s">
        <v>4</v>
      </c>
      <c r="F1235" s="27" t="str">
        <f t="shared" si="555"/>
        <v>Yes</v>
      </c>
      <c r="G1235" s="27" t="s">
        <v>5</v>
      </c>
      <c r="H1235" s="27" t="s">
        <v>46</v>
      </c>
      <c r="J1235" s="27" t="s">
        <v>15</v>
      </c>
      <c r="K1235" s="27">
        <v>16</v>
      </c>
      <c r="L1235" s="27" t="s">
        <v>12</v>
      </c>
      <c r="M1235" s="27" t="s">
        <v>41</v>
      </c>
      <c r="N1235" s="27" t="str">
        <f t="shared" si="556"/>
        <v>No</v>
      </c>
      <c r="O1235" s="27" t="str">
        <f t="shared" si="557"/>
        <v>No</v>
      </c>
      <c r="Q1235" s="27" t="s">
        <v>117</v>
      </c>
      <c r="R1235" s="27" t="str">
        <f>_xlfn.XLOOKUP("ug/ft2",D1233:D1251,F1233:F1251,"N/A")</f>
        <v>Yes</v>
      </c>
      <c r="S1235" s="27" t="str">
        <f>IF(COUNTIF(O1238:O1241,"Yes"),"Yes","No")</f>
        <v>Yes</v>
      </c>
      <c r="U1235" s="27" t="s">
        <v>163</v>
      </c>
      <c r="V1235" s="27" t="s">
        <v>5</v>
      </c>
      <c r="W1235" s="27" t="s">
        <v>9</v>
      </c>
      <c r="X1235" s="27" t="str">
        <f t="shared" si="558"/>
        <v>No</v>
      </c>
    </row>
    <row r="1236" spans="1:38" x14ac:dyDescent="0.2">
      <c r="A1236" s="27" t="s">
        <v>63</v>
      </c>
      <c r="B1236" s="27" t="s">
        <v>24</v>
      </c>
      <c r="C1236" s="27">
        <v>1</v>
      </c>
      <c r="D1236" s="27" t="s">
        <v>4</v>
      </c>
      <c r="F1236" s="27" t="str">
        <f t="shared" si="555"/>
        <v>Yes</v>
      </c>
      <c r="G1236" s="27" t="s">
        <v>5</v>
      </c>
      <c r="H1236" s="27" t="s">
        <v>46</v>
      </c>
      <c r="J1236" s="27" t="s">
        <v>19</v>
      </c>
      <c r="K1236" s="27">
        <v>514</v>
      </c>
      <c r="L1236" s="27" t="s">
        <v>12</v>
      </c>
      <c r="M1236" s="27" t="s">
        <v>70</v>
      </c>
      <c r="N1236" s="27" t="str">
        <f>IF(K1236="N/A","No", IF(K1236&gt;5000,"Yes","No"))</f>
        <v>No</v>
      </c>
      <c r="O1236" s="27" t="str">
        <f>IF(K1236="Not","No",IF(K1236="n/a","N/A",IF(K1236&gt;$Y$2,"Yes","No")))</f>
        <v>No</v>
      </c>
      <c r="Q1236" s="27" t="s">
        <v>118</v>
      </c>
      <c r="R1236" s="27" t="str">
        <f>IF(COUNTIF(R1233:R1235,"Yes"),"Yes","No")</f>
        <v>Yes</v>
      </c>
      <c r="S1236" s="27" t="str">
        <f>IF(COUNTIF(S1233:S1235,"Yes"),"Yes","No")</f>
        <v>Yes</v>
      </c>
      <c r="U1236" s="27" t="s">
        <v>164</v>
      </c>
      <c r="V1236" s="27" t="s">
        <v>5</v>
      </c>
      <c r="W1236" s="27" t="s">
        <v>9</v>
      </c>
      <c r="X1236" s="27" t="str">
        <f t="shared" si="558"/>
        <v>No</v>
      </c>
    </row>
    <row r="1237" spans="1:38" x14ac:dyDescent="0.2">
      <c r="A1237" s="27" t="s">
        <v>63</v>
      </c>
      <c r="B1237" s="27" t="s">
        <v>24</v>
      </c>
      <c r="C1237" s="27">
        <v>1</v>
      </c>
      <c r="D1237" s="27" t="s">
        <v>4</v>
      </c>
      <c r="F1237" s="27" t="str">
        <f t="shared" si="555"/>
        <v>Yes</v>
      </c>
      <c r="G1237" s="27" t="s">
        <v>5</v>
      </c>
      <c r="H1237" s="27" t="s">
        <v>46</v>
      </c>
      <c r="J1237" s="27" t="s">
        <v>22</v>
      </c>
      <c r="K1237" s="27">
        <v>380</v>
      </c>
      <c r="L1237" s="27" t="s">
        <v>12</v>
      </c>
      <c r="M1237" s="27" t="s">
        <v>36</v>
      </c>
      <c r="N1237" s="27" t="str">
        <f>IF(K1237="N/A","No", IF(K1237&gt;5000,"Yes","No"))</f>
        <v>No</v>
      </c>
      <c r="O1237" s="27" t="str">
        <f>IF(K1237="Not","No",IF(K1237="n/a","N/A",IF(K1237&gt;$Y$2,"Yes","No")))</f>
        <v>No</v>
      </c>
      <c r="U1237" s="27" t="s">
        <v>162</v>
      </c>
      <c r="V1237" s="27" t="str">
        <f>R1234</f>
        <v>Yes</v>
      </c>
      <c r="W1237" s="27" t="str">
        <f>S1234</f>
        <v>No</v>
      </c>
      <c r="X1237" s="27" t="str">
        <f t="shared" si="558"/>
        <v>No</v>
      </c>
    </row>
    <row r="1238" spans="1:38" x14ac:dyDescent="0.2">
      <c r="A1238" s="27" t="s">
        <v>63</v>
      </c>
      <c r="B1238" s="27" t="s">
        <v>24</v>
      </c>
      <c r="C1238" s="27">
        <v>4.2</v>
      </c>
      <c r="D1238" s="27" t="s">
        <v>4</v>
      </c>
      <c r="F1238" s="27" t="str">
        <f t="shared" si="555"/>
        <v>Yes</v>
      </c>
      <c r="G1238" s="27" t="s">
        <v>5</v>
      </c>
      <c r="H1238" s="27" t="s">
        <v>46</v>
      </c>
      <c r="J1238" s="27" t="s">
        <v>25</v>
      </c>
      <c r="K1238" s="27">
        <v>51</v>
      </c>
      <c r="L1238" s="27" t="s">
        <v>12</v>
      </c>
      <c r="M1238" s="27" t="s">
        <v>59</v>
      </c>
      <c r="N1238" s="27" t="str">
        <f>IF(K1238="N/A","No", IF(K1238&gt;230,"Yes","No"))</f>
        <v>No</v>
      </c>
      <c r="O1238" s="27" t="str">
        <f>IF(K1238="Not","No",IF(K1238="n/a","N/A",IF(K1238&gt;$Y$5,"Yes","No")))</f>
        <v>No</v>
      </c>
      <c r="U1238" s="27" t="s">
        <v>101</v>
      </c>
      <c r="V1238" s="27" t="s">
        <v>5</v>
      </c>
      <c r="W1238" s="27" t="s">
        <v>5</v>
      </c>
      <c r="X1238" s="27" t="str">
        <f>IF(V1238="N/A","N/A",IF(W1238="N/A", "N/A", IF(V1238=W1238, "Yes","No")))</f>
        <v>Yes</v>
      </c>
    </row>
    <row r="1239" spans="1:38" x14ac:dyDescent="0.2">
      <c r="A1239" s="27" t="s">
        <v>63</v>
      </c>
      <c r="B1239" s="27" t="s">
        <v>24</v>
      </c>
      <c r="C1239" s="27">
        <v>2.8</v>
      </c>
      <c r="D1239" s="27" t="s">
        <v>4</v>
      </c>
      <c r="F1239" s="27" t="str">
        <f t="shared" si="555"/>
        <v>Yes</v>
      </c>
      <c r="G1239" s="27" t="s">
        <v>5</v>
      </c>
      <c r="H1239" s="27" t="s">
        <v>46</v>
      </c>
      <c r="J1239" s="27" t="s">
        <v>29</v>
      </c>
      <c r="K1239" s="27">
        <v>0</v>
      </c>
      <c r="L1239" s="27" t="s">
        <v>12</v>
      </c>
      <c r="M1239" s="27" t="s">
        <v>72</v>
      </c>
      <c r="N1239" s="27" t="str">
        <f>IF(K1239="N/A","No", IF(K1239&gt;20,"Yes","No"))</f>
        <v>No</v>
      </c>
      <c r="O1239" s="27" t="str">
        <f t="shared" ref="O1239:O1240" si="559">IF(K1239="Not","No",IF(K1239="n/a","N/A",IF(K1239&gt;$Y$6,"Yes","No")))</f>
        <v>No</v>
      </c>
      <c r="U1239" s="27" t="s">
        <v>104</v>
      </c>
      <c r="V1239" s="27" t="s">
        <v>5</v>
      </c>
      <c r="W1239" s="27" t="s">
        <v>9</v>
      </c>
      <c r="X1239" s="27" t="str">
        <f>IF(V1239="N/A","N/A",IF(W1239="N/A", "N/A", IF(V1239=W1239, "Yes","No")))</f>
        <v>No</v>
      </c>
    </row>
    <row r="1240" spans="1:38" x14ac:dyDescent="0.2">
      <c r="A1240" s="27" t="s">
        <v>63</v>
      </c>
      <c r="B1240" s="27" t="s">
        <v>24</v>
      </c>
      <c r="C1240" s="27">
        <v>3.4</v>
      </c>
      <c r="D1240" s="27" t="s">
        <v>4</v>
      </c>
      <c r="F1240" s="27" t="str">
        <f t="shared" si="555"/>
        <v>Yes</v>
      </c>
      <c r="G1240" s="27" t="s">
        <v>5</v>
      </c>
      <c r="H1240" s="27" t="s">
        <v>46</v>
      </c>
      <c r="J1240" s="27" t="s">
        <v>34</v>
      </c>
      <c r="K1240" s="27">
        <v>57</v>
      </c>
      <c r="L1240" s="27" t="s">
        <v>12</v>
      </c>
      <c r="M1240" s="27" t="s">
        <v>74</v>
      </c>
      <c r="N1240" s="27" t="str">
        <f>IF(K1240="N/A","No", IF(K1240&gt;20,"Yes","No"))</f>
        <v>Yes</v>
      </c>
      <c r="O1240" s="27" t="str">
        <f t="shared" si="559"/>
        <v>Yes</v>
      </c>
      <c r="U1240" s="27" t="s">
        <v>106</v>
      </c>
      <c r="V1240" s="27" t="str">
        <f>R1235</f>
        <v>Yes</v>
      </c>
      <c r="W1240" s="27" t="str">
        <f>S1235</f>
        <v>Yes</v>
      </c>
      <c r="X1240" s="27" t="str">
        <f>IF(V1240="N/A","N/A",IF(W1240="N/A", "N/A", IF(V1240=W1240, "Yes","No")))</f>
        <v>Yes</v>
      </c>
    </row>
    <row r="1241" spans="1:38" x14ac:dyDescent="0.2">
      <c r="A1241" s="27" t="s">
        <v>75</v>
      </c>
      <c r="B1241" s="27" t="s">
        <v>69</v>
      </c>
      <c r="C1241" s="27">
        <v>88</v>
      </c>
      <c r="D1241" s="27" t="s">
        <v>12</v>
      </c>
      <c r="F1241" s="27" t="str">
        <f t="shared" ref="F1241:F1242" si="560">IF(C1241&gt;$W$3,"Yes","No")</f>
        <v>No</v>
      </c>
      <c r="G1241" s="27" t="s">
        <v>9</v>
      </c>
      <c r="U1241" s="27" t="s">
        <v>121</v>
      </c>
      <c r="V1241" s="27" t="str">
        <f>R1236</f>
        <v>Yes</v>
      </c>
      <c r="W1241" s="27" t="str">
        <f>S1236</f>
        <v>Yes</v>
      </c>
      <c r="X1241" s="27" t="str">
        <f>IF(V1241="N/A","N/A",IF(W1241="N/A", "N/A", IF(V1241=W1241, "Yes","No")))</f>
        <v>Yes</v>
      </c>
    </row>
    <row r="1242" spans="1:38" x14ac:dyDescent="0.2">
      <c r="A1242" s="27" t="s">
        <v>75</v>
      </c>
      <c r="B1242" s="27" t="s">
        <v>301</v>
      </c>
      <c r="C1242" s="27">
        <v>1000</v>
      </c>
      <c r="D1242" s="27" t="s">
        <v>12</v>
      </c>
      <c r="F1242" s="27" t="str">
        <f t="shared" si="560"/>
        <v>Yes</v>
      </c>
      <c r="G1242" s="27" t="s">
        <v>9</v>
      </c>
    </row>
    <row r="1243" spans="1:38" x14ac:dyDescent="0.2">
      <c r="A1243" s="27" t="s">
        <v>245</v>
      </c>
      <c r="B1243" s="27" t="s">
        <v>40</v>
      </c>
      <c r="C1243" s="27">
        <v>1.5</v>
      </c>
      <c r="D1243" s="27" t="s">
        <v>4</v>
      </c>
      <c r="F1243" s="27" t="str">
        <f t="shared" ref="F1243:F1248" si="561">IF(C1243&gt;=$W$2,"Yes","No")</f>
        <v>Yes</v>
      </c>
      <c r="G1243" s="27" t="s">
        <v>5</v>
      </c>
      <c r="H1243" s="27" t="s">
        <v>43</v>
      </c>
    </row>
    <row r="1244" spans="1:38" x14ac:dyDescent="0.2">
      <c r="A1244" s="27" t="s">
        <v>113</v>
      </c>
      <c r="B1244" s="27" t="s">
        <v>10</v>
      </c>
      <c r="C1244" s="27">
        <v>7.4</v>
      </c>
      <c r="D1244" s="27" t="s">
        <v>4</v>
      </c>
      <c r="F1244" s="27" t="str">
        <f t="shared" si="561"/>
        <v>Yes</v>
      </c>
      <c r="G1244" s="27" t="s">
        <v>5</v>
      </c>
      <c r="H1244" s="27" t="s">
        <v>43</v>
      </c>
    </row>
    <row r="1245" spans="1:38" x14ac:dyDescent="0.2">
      <c r="A1245" s="27" t="s">
        <v>109</v>
      </c>
      <c r="B1245" s="27" t="s">
        <v>24</v>
      </c>
      <c r="C1245" s="27">
        <v>5.7</v>
      </c>
      <c r="D1245" s="27" t="s">
        <v>4</v>
      </c>
      <c r="F1245" s="27" t="str">
        <f t="shared" si="561"/>
        <v>Yes</v>
      </c>
      <c r="G1245" s="27" t="s">
        <v>5</v>
      </c>
      <c r="H1245" s="27" t="s">
        <v>43</v>
      </c>
    </row>
    <row r="1246" spans="1:38" x14ac:dyDescent="0.2">
      <c r="A1246" s="27" t="s">
        <v>157</v>
      </c>
      <c r="B1246" s="27" t="s">
        <v>24</v>
      </c>
      <c r="C1246" s="27">
        <v>5.9</v>
      </c>
      <c r="D1246" s="27" t="s">
        <v>4</v>
      </c>
      <c r="F1246" s="27" t="str">
        <f t="shared" si="561"/>
        <v>Yes</v>
      </c>
      <c r="G1246" s="27" t="s">
        <v>5</v>
      </c>
      <c r="H1246" s="27" t="s">
        <v>43</v>
      </c>
    </row>
    <row r="1247" spans="1:38" x14ac:dyDescent="0.2">
      <c r="A1247" s="27" t="s">
        <v>322</v>
      </c>
      <c r="B1247" s="27" t="s">
        <v>304</v>
      </c>
      <c r="C1247" s="27">
        <v>1.4</v>
      </c>
      <c r="D1247" s="27" t="s">
        <v>4</v>
      </c>
      <c r="F1247" s="27" t="str">
        <f t="shared" si="561"/>
        <v>Yes</v>
      </c>
      <c r="G1247" s="27" t="s">
        <v>5</v>
      </c>
      <c r="H1247" s="27" t="s">
        <v>43</v>
      </c>
    </row>
    <row r="1248" spans="1:38" x14ac:dyDescent="0.2">
      <c r="A1248" s="27" t="s">
        <v>247</v>
      </c>
      <c r="B1248" s="27" t="s">
        <v>40</v>
      </c>
      <c r="C1248" s="27">
        <v>3.4</v>
      </c>
      <c r="D1248" s="27" t="s">
        <v>4</v>
      </c>
      <c r="F1248" s="27" t="str">
        <f t="shared" si="561"/>
        <v>Yes</v>
      </c>
      <c r="G1248" s="27" t="s">
        <v>5</v>
      </c>
      <c r="H1248" s="27" t="s">
        <v>43</v>
      </c>
    </row>
    <row r="1249" spans="1:38" x14ac:dyDescent="0.2">
      <c r="A1249" s="27" t="s">
        <v>427</v>
      </c>
      <c r="B1249" s="27" t="s">
        <v>54</v>
      </c>
      <c r="C1249" s="27">
        <v>180</v>
      </c>
      <c r="D1249" s="27" t="s">
        <v>33</v>
      </c>
      <c r="F1249" s="27" t="str">
        <f t="shared" ref="F1249:F1250" si="562">IF(C1249&gt;$W$5,"Yes","No")</f>
        <v>Yes</v>
      </c>
      <c r="G1249" s="27" t="s">
        <v>5</v>
      </c>
    </row>
    <row r="1250" spans="1:38" x14ac:dyDescent="0.2">
      <c r="A1250" s="27" t="s">
        <v>109</v>
      </c>
      <c r="B1250" s="27" t="s">
        <v>54</v>
      </c>
      <c r="C1250" s="27">
        <v>280</v>
      </c>
      <c r="D1250" s="27" t="s">
        <v>33</v>
      </c>
      <c r="F1250" s="27" t="str">
        <f t="shared" si="562"/>
        <v>Yes</v>
      </c>
      <c r="G1250" s="27" t="s">
        <v>5</v>
      </c>
    </row>
    <row r="1251" spans="1:38" x14ac:dyDescent="0.2">
      <c r="A1251" s="27" t="s">
        <v>71</v>
      </c>
      <c r="B1251" s="27" t="s">
        <v>32</v>
      </c>
      <c r="C1251" s="27">
        <v>26</v>
      </c>
      <c r="D1251" s="27" t="s">
        <v>33</v>
      </c>
      <c r="F1251" s="27" t="str">
        <f t="shared" ref="F1251" si="563">IF(C1251&gt;$W$6,"Yes","No")</f>
        <v>Yes</v>
      </c>
      <c r="G1251" s="27" t="s">
        <v>5</v>
      </c>
    </row>
    <row r="1253" spans="1:38" x14ac:dyDescent="0.2">
      <c r="A1253" s="27">
        <v>1511</v>
      </c>
      <c r="B1253" s="27" t="s">
        <v>111</v>
      </c>
      <c r="C1253" s="27">
        <v>83</v>
      </c>
    </row>
    <row r="1254" spans="1:38" x14ac:dyDescent="0.2">
      <c r="A1254" s="59" t="s">
        <v>0</v>
      </c>
      <c r="E1254" s="27" t="s">
        <v>274</v>
      </c>
      <c r="F1254" s="27" t="s">
        <v>275</v>
      </c>
      <c r="G1254" s="27" t="s">
        <v>119</v>
      </c>
      <c r="J1254" s="59" t="s">
        <v>1</v>
      </c>
      <c r="N1254" s="27" t="s">
        <v>277</v>
      </c>
      <c r="O1254" s="27" t="s">
        <v>278</v>
      </c>
      <c r="Q1254" s="59" t="s">
        <v>115</v>
      </c>
      <c r="R1254" s="59" t="s">
        <v>0</v>
      </c>
      <c r="S1254" s="59" t="s">
        <v>1</v>
      </c>
      <c r="U1254" s="59" t="s">
        <v>115</v>
      </c>
      <c r="V1254" s="59" t="s">
        <v>0</v>
      </c>
      <c r="W1254" s="59" t="s">
        <v>1</v>
      </c>
      <c r="X1254" s="59" t="s">
        <v>122</v>
      </c>
      <c r="AA1254" s="27" t="str">
        <f>IF(R1255="Yes","LRA-Soil","")</f>
        <v/>
      </c>
      <c r="AB1254" s="27" t="str">
        <f>IF(R1256="Yes","LRA-Paint","")</f>
        <v/>
      </c>
      <c r="AC1254" s="27" t="str">
        <f>IF(R1257="Yes","LRA-Dust","")</f>
        <v>LRA-Dust</v>
      </c>
      <c r="AD1254" s="27" t="str">
        <f>IF(S1255="Yes","LSK-Soil","")</f>
        <v/>
      </c>
      <c r="AE1254" s="27" t="str">
        <f>IF(S1256="Yes","LSK-Paint","")</f>
        <v/>
      </c>
      <c r="AF1254" s="27" t="str">
        <f>IF(S1257="Yes","LSK-Dust","")</f>
        <v>LSK-Dust</v>
      </c>
      <c r="AI1254" s="27" t="s">
        <v>46</v>
      </c>
      <c r="AJ1254" s="27" t="s">
        <v>43</v>
      </c>
      <c r="AK1254" s="27" t="s">
        <v>116</v>
      </c>
      <c r="AL1254" s="27" t="s">
        <v>117</v>
      </c>
    </row>
    <row r="1255" spans="1:38" x14ac:dyDescent="0.2">
      <c r="A1255" s="27" t="s">
        <v>63</v>
      </c>
      <c r="B1255" s="27" t="s">
        <v>18</v>
      </c>
      <c r="C1255" s="27">
        <v>0.05</v>
      </c>
      <c r="D1255" s="27" t="s">
        <v>4</v>
      </c>
      <c r="F1255" s="27" t="str">
        <f t="shared" ref="F1255:F1259" si="564">IF(C1255&gt;=$W$2,"Yes","No")</f>
        <v>No</v>
      </c>
      <c r="G1255" s="27" t="s">
        <v>9</v>
      </c>
      <c r="H1255" s="27" t="s">
        <v>46</v>
      </c>
      <c r="J1255" s="27" t="s">
        <v>6</v>
      </c>
      <c r="K1255" s="27">
        <v>38.799999999999997</v>
      </c>
      <c r="L1255" s="27" t="s">
        <v>12</v>
      </c>
      <c r="M1255" s="27" t="s">
        <v>114</v>
      </c>
      <c r="N1255" s="27" t="str">
        <f>IF(K1255="N/A","No", IF(K1255&gt;1200,"Yes","No"))</f>
        <v>No</v>
      </c>
      <c r="O1255" s="27" t="str">
        <f>IF(K1255="Not","No",IF(K1255="n/a","N/A",IF(K1255&gt;=$Y$3,"Yes","No")))</f>
        <v>No</v>
      </c>
      <c r="Q1255" s="27" t="s">
        <v>116</v>
      </c>
      <c r="R1255" s="27" t="str">
        <f>_xlfn.XLOOKUP("ppm",D1255:D1263,G1255:G1263,"N/A")</f>
        <v>No</v>
      </c>
      <c r="S1255" s="27" t="str">
        <f>IF(COUNTIF(O1255:O1257,"Yes"),"Yes","No")</f>
        <v>No</v>
      </c>
      <c r="U1255" s="27" t="s">
        <v>92</v>
      </c>
      <c r="V1255" s="27" t="s">
        <v>120</v>
      </c>
      <c r="W1255" s="27" t="s">
        <v>120</v>
      </c>
      <c r="X1255" s="27" t="str">
        <f>IF(V1255="N/A","N/A",IF(W1255="N/A", "N/A", IF(V1255=W1255, "Yes","No")))</f>
        <v>N/A</v>
      </c>
      <c r="AI1255" s="27">
        <f>COUNTIF(H1255:H1263,"Exterior")</f>
        <v>2</v>
      </c>
      <c r="AJ1255" s="27">
        <f>COUNTIF(H1255:H1263, "Interior")</f>
        <v>2</v>
      </c>
      <c r="AK1255" s="27">
        <f>COUNTIFS(D1255:D1263,"ppm")+COUNTIFS(D1255:D1263,"mg/Kg")</f>
        <v>1</v>
      </c>
      <c r="AL1255" s="27">
        <f>COUNTIF(D1255:D1263,"ug/ft2")</f>
        <v>4</v>
      </c>
    </row>
    <row r="1256" spans="1:38" x14ac:dyDescent="0.2">
      <c r="A1256" s="27" t="s">
        <v>63</v>
      </c>
      <c r="B1256" s="27" t="s">
        <v>24</v>
      </c>
      <c r="C1256" s="27">
        <v>0</v>
      </c>
      <c r="D1256" s="27" t="s">
        <v>4</v>
      </c>
      <c r="F1256" s="27" t="str">
        <f t="shared" si="564"/>
        <v>No</v>
      </c>
      <c r="G1256" s="27" t="s">
        <v>9</v>
      </c>
      <c r="H1256" s="27" t="s">
        <v>46</v>
      </c>
      <c r="J1256" s="27" t="s">
        <v>11</v>
      </c>
      <c r="K1256" s="27">
        <v>24.9</v>
      </c>
      <c r="L1256" s="27" t="s">
        <v>12</v>
      </c>
      <c r="M1256" s="27" t="s">
        <v>67</v>
      </c>
      <c r="N1256" s="27" t="str">
        <f t="shared" ref="N1256:N1257" si="565">IF(K1256="N/A","No", IF(K1256&gt;1200,"Yes","No"))</f>
        <v>No</v>
      </c>
      <c r="O1256" s="27" t="str">
        <f t="shared" ref="O1256:O1257" si="566">IF(K1256="Not","No",IF(K1256="n/a","N/A",IF(K1256&gt;$Y$3,"Yes","No")))</f>
        <v>No</v>
      </c>
      <c r="Q1256" s="27" t="s">
        <v>98</v>
      </c>
      <c r="R1256" s="27" t="str">
        <f>_xlfn.XLOOKUP("mg/cm2",D1255:D1263,G1255:G1263,"N/A",1,-1)</f>
        <v>No</v>
      </c>
      <c r="S1256" s="27" t="str">
        <f>IF(COUNTIF(O1258:O1259,"Yes"),"Yes","No")</f>
        <v>No</v>
      </c>
      <c r="U1256" s="27" t="s">
        <v>95</v>
      </c>
      <c r="V1256" s="27" t="str">
        <f>R1255</f>
        <v>No</v>
      </c>
      <c r="W1256" s="27" t="str">
        <f>S1255</f>
        <v>No</v>
      </c>
      <c r="X1256" s="27" t="str">
        <f t="shared" ref="X1256:X1259" si="567">IF(V1256="N/A","N/A",IF(W1256="N/A", "N/A", IF(V1256=W1256, "Yes","No")))</f>
        <v>Yes</v>
      </c>
    </row>
    <row r="1257" spans="1:38" x14ac:dyDescent="0.2">
      <c r="A1257" s="27" t="s">
        <v>68</v>
      </c>
      <c r="B1257" s="27" t="s">
        <v>28</v>
      </c>
      <c r="C1257" s="27">
        <v>39</v>
      </c>
      <c r="D1257" s="27" t="s">
        <v>12</v>
      </c>
      <c r="F1257" s="27" t="str">
        <f t="shared" ref="F1257" si="568">IF(C1257&gt;$W$3,"Yes","No")</f>
        <v>No</v>
      </c>
      <c r="G1257" s="27" t="s">
        <v>9</v>
      </c>
      <c r="J1257" s="27" t="s">
        <v>15</v>
      </c>
      <c r="K1257" s="27">
        <v>157</v>
      </c>
      <c r="L1257" s="27" t="s">
        <v>12</v>
      </c>
      <c r="M1257" s="27" t="s">
        <v>112</v>
      </c>
      <c r="N1257" s="27" t="str">
        <f t="shared" si="565"/>
        <v>No</v>
      </c>
      <c r="O1257" s="27" t="str">
        <f t="shared" si="566"/>
        <v>No</v>
      </c>
      <c r="Q1257" s="27" t="s">
        <v>117</v>
      </c>
      <c r="R1257" s="27" t="str">
        <f>_xlfn.XLOOKUP("ug/ft2",D1255:D1263,G1255:G1263,"N/A")</f>
        <v>Yes</v>
      </c>
      <c r="S1257" s="27" t="str">
        <f>IF(COUNTIF(O1260:O1263,"Yes"),"Yes","No")</f>
        <v>Yes</v>
      </c>
      <c r="U1257" s="27" t="s">
        <v>163</v>
      </c>
      <c r="V1257" s="27" t="s">
        <v>9</v>
      </c>
      <c r="W1257" s="27" t="str">
        <f>O1259</f>
        <v>No</v>
      </c>
      <c r="X1257" s="27" t="str">
        <f t="shared" si="567"/>
        <v>Yes</v>
      </c>
    </row>
    <row r="1258" spans="1:38" x14ac:dyDescent="0.2">
      <c r="A1258" s="27" t="s">
        <v>109</v>
      </c>
      <c r="B1258" s="27" t="s">
        <v>40</v>
      </c>
      <c r="C1258" s="27">
        <v>0.06</v>
      </c>
      <c r="D1258" s="27" t="s">
        <v>4</v>
      </c>
      <c r="F1258" s="27" t="str">
        <f t="shared" si="564"/>
        <v>No</v>
      </c>
      <c r="G1258" s="27" t="s">
        <v>9</v>
      </c>
      <c r="H1258" s="27" t="s">
        <v>43</v>
      </c>
      <c r="J1258" s="27" t="s">
        <v>19</v>
      </c>
      <c r="K1258" s="27">
        <v>2.5</v>
      </c>
      <c r="L1258" s="27" t="s">
        <v>12</v>
      </c>
      <c r="M1258" s="27" t="s">
        <v>46</v>
      </c>
      <c r="N1258" s="27" t="str">
        <f>IF(K1258="N/A","No", IF(K1258&gt;5000,"Yes","No"))</f>
        <v>No</v>
      </c>
      <c r="O1258" s="27" t="str">
        <f>IF(K1258="Not","No",IF(K1258="n/a","N/A",IF(K1258&gt;$Y$2,"Yes","No")))</f>
        <v>No</v>
      </c>
      <c r="Q1258" s="27" t="s">
        <v>118</v>
      </c>
      <c r="R1258" s="27" t="str">
        <f>IF(COUNTIF(R1255:R1257,"Yes"),"Yes","No")</f>
        <v>Yes</v>
      </c>
      <c r="S1258" s="27" t="str">
        <f>IF(COUNTIF(S1255:S1257,"Yes"),"Yes","No")</f>
        <v>Yes</v>
      </c>
      <c r="U1258" s="27" t="s">
        <v>164</v>
      </c>
      <c r="V1258" s="27" t="s">
        <v>9</v>
      </c>
      <c r="W1258" s="27" t="str">
        <f>O1258</f>
        <v>No</v>
      </c>
      <c r="X1258" s="27" t="str">
        <f t="shared" si="567"/>
        <v>Yes</v>
      </c>
    </row>
    <row r="1259" spans="1:38" x14ac:dyDescent="0.2">
      <c r="A1259" s="27" t="s">
        <v>109</v>
      </c>
      <c r="B1259" s="27" t="s">
        <v>24</v>
      </c>
      <c r="C1259" s="27">
        <v>0.8</v>
      </c>
      <c r="D1259" s="27" t="s">
        <v>4</v>
      </c>
      <c r="F1259" s="27" t="str">
        <f t="shared" si="564"/>
        <v>No</v>
      </c>
      <c r="G1259" s="27" t="s">
        <v>9</v>
      </c>
      <c r="H1259" s="27" t="s">
        <v>43</v>
      </c>
      <c r="J1259" s="27" t="s">
        <v>22</v>
      </c>
      <c r="K1259" s="27">
        <v>2.5</v>
      </c>
      <c r="L1259" s="27" t="s">
        <v>12</v>
      </c>
      <c r="M1259" s="27" t="s">
        <v>43</v>
      </c>
      <c r="N1259" s="27" t="str">
        <f>IF(K1259="N/A","No", IF(K1259&gt;5000,"Yes","No"))</f>
        <v>No</v>
      </c>
      <c r="O1259" s="27" t="str">
        <f>IF(K1259="Not","No",IF(K1259="n/a","N/A",IF(K1259&gt;$Y$2,"Yes","No")))</f>
        <v>No</v>
      </c>
      <c r="U1259" s="27" t="s">
        <v>162</v>
      </c>
      <c r="V1259" s="27" t="str">
        <f>R1256</f>
        <v>No</v>
      </c>
      <c r="W1259" s="27" t="str">
        <f>S1256</f>
        <v>No</v>
      </c>
      <c r="X1259" s="27" t="str">
        <f t="shared" si="567"/>
        <v>Yes</v>
      </c>
    </row>
    <row r="1260" spans="1:38" x14ac:dyDescent="0.2">
      <c r="A1260" s="27" t="s">
        <v>109</v>
      </c>
      <c r="B1260" s="27" t="s">
        <v>32</v>
      </c>
      <c r="C1260" s="27">
        <v>14.9</v>
      </c>
      <c r="D1260" s="27" t="s">
        <v>33</v>
      </c>
      <c r="F1260" s="27" t="str">
        <f t="shared" ref="F1260:F1262" si="569">IF(C1260&gt;$W$6,"Yes","No")</f>
        <v>Yes</v>
      </c>
      <c r="G1260" s="27" t="s">
        <v>5</v>
      </c>
      <c r="J1260" s="27" t="s">
        <v>25</v>
      </c>
      <c r="K1260" s="27">
        <v>2.5</v>
      </c>
      <c r="L1260" s="27" t="s">
        <v>12</v>
      </c>
      <c r="M1260" s="27" t="s">
        <v>126</v>
      </c>
      <c r="N1260" s="27" t="str">
        <f>IF(K1260="N/A","No", IF(K1260&gt;=20,"Yes","No"))</f>
        <v>No</v>
      </c>
      <c r="O1260" s="27" t="str">
        <f>IF(K1260="Not","No",IF(K1260="n/a","N/A",IF(K1260&gt;=$Y$6,"Yes","No")))</f>
        <v>No</v>
      </c>
      <c r="U1260" s="27" t="s">
        <v>101</v>
      </c>
      <c r="V1260" s="27" t="s">
        <v>5</v>
      </c>
      <c r="W1260" s="27" t="s">
        <v>5</v>
      </c>
      <c r="X1260" s="27" t="str">
        <f>IF(V1260="N/A","N/A",IF(W1260="N/A", "N/A", IF(V1260=W1260, "Yes","No")))</f>
        <v>Yes</v>
      </c>
    </row>
    <row r="1261" spans="1:38" x14ac:dyDescent="0.2">
      <c r="A1261" s="27" t="s">
        <v>293</v>
      </c>
      <c r="B1261" s="27" t="s">
        <v>32</v>
      </c>
      <c r="C1261" s="27">
        <v>9.5</v>
      </c>
      <c r="D1261" s="27" t="s">
        <v>33</v>
      </c>
      <c r="F1261" s="27" t="str">
        <f t="shared" si="569"/>
        <v>No</v>
      </c>
      <c r="G1261" s="27" t="s">
        <v>9</v>
      </c>
      <c r="J1261" s="27" t="s">
        <v>29</v>
      </c>
      <c r="K1261" s="27">
        <v>54</v>
      </c>
      <c r="L1261" s="27" t="s">
        <v>12</v>
      </c>
      <c r="M1261" s="27" t="s">
        <v>222</v>
      </c>
      <c r="N1261" s="27" t="str">
        <f>IF(K1261="N/A","No", IF(K1261&gt;20,"Yes","No"))</f>
        <v>Yes</v>
      </c>
      <c r="O1261" s="27" t="str">
        <f t="shared" ref="O1261" si="570">IF(K1261="Not","No",IF(K1261="n/a","N/A",IF(K1261&gt;$Y$6,"Yes","No")))</f>
        <v>Yes</v>
      </c>
      <c r="U1261" s="27" t="s">
        <v>104</v>
      </c>
      <c r="V1261" s="27" t="s">
        <v>9</v>
      </c>
      <c r="W1261" s="27" t="str">
        <f>O1262</f>
        <v>No</v>
      </c>
      <c r="X1261" s="27" t="str">
        <f>IF(V1261="N/A","N/A",IF(W1261="N/A", "N/A", IF(V1261=W1261, "Yes","No")))</f>
        <v>Yes</v>
      </c>
    </row>
    <row r="1262" spans="1:38" x14ac:dyDescent="0.2">
      <c r="A1262" s="27" t="s">
        <v>71</v>
      </c>
      <c r="B1262" s="27" t="s">
        <v>32</v>
      </c>
      <c r="C1262" s="27">
        <v>7.1</v>
      </c>
      <c r="D1262" s="27" t="s">
        <v>33</v>
      </c>
      <c r="F1262" s="27" t="str">
        <f t="shared" si="569"/>
        <v>No</v>
      </c>
      <c r="G1262" s="27" t="s">
        <v>9</v>
      </c>
      <c r="J1262" s="27" t="s">
        <v>34</v>
      </c>
      <c r="K1262" s="27">
        <v>20</v>
      </c>
      <c r="L1262" s="27" t="s">
        <v>12</v>
      </c>
      <c r="M1262" s="27" t="s">
        <v>210</v>
      </c>
      <c r="N1262" s="27" t="str">
        <f>IF(K1262="N/A","No", IF(K1262&gt;230,"Yes","No"))</f>
        <v>No</v>
      </c>
      <c r="O1262" s="27" t="str">
        <f>IF(K1262="Not","No",IF(K1262="n/a","N/A",IF(K1262&gt;$Y$5,"Yes","No")))</f>
        <v>No</v>
      </c>
      <c r="U1262" s="27" t="s">
        <v>106</v>
      </c>
      <c r="V1262" s="27" t="str">
        <f>R1257</f>
        <v>Yes</v>
      </c>
      <c r="W1262" s="27" t="str">
        <f>S1257</f>
        <v>Yes</v>
      </c>
      <c r="X1262" s="27" t="str">
        <f>IF(V1262="N/A","N/A",IF(W1262="N/A", "N/A", IF(V1262=W1262, "Yes","No")))</f>
        <v>Yes</v>
      </c>
    </row>
    <row r="1263" spans="1:38" x14ac:dyDescent="0.2">
      <c r="A1263" s="27" t="s">
        <v>158</v>
      </c>
      <c r="B1263" s="27" t="s">
        <v>54</v>
      </c>
      <c r="C1263" s="27">
        <v>53.4</v>
      </c>
      <c r="D1263" s="27" t="s">
        <v>33</v>
      </c>
      <c r="F1263" s="27" t="str">
        <f t="shared" ref="F1263" si="571">IF(C1263&gt;$W$5,"Yes","No")</f>
        <v>No</v>
      </c>
      <c r="G1263" s="27" t="s">
        <v>9</v>
      </c>
      <c r="J1263" s="27" t="s">
        <v>208</v>
      </c>
      <c r="K1263" s="27">
        <v>7.7</v>
      </c>
      <c r="L1263" s="27" t="s">
        <v>12</v>
      </c>
      <c r="M1263" s="27" t="s">
        <v>223</v>
      </c>
      <c r="N1263" s="27" t="str">
        <f>IF(K1263="N/A","No", IF(K1263&gt;20,"Yes","No"))</f>
        <v>No</v>
      </c>
      <c r="O1263" s="27" t="str">
        <f>IF(K1263="Not","No",IF(K1263="n/a","N/A",IF(K1263&gt;$Y$7,"Yes","No")))</f>
        <v>No</v>
      </c>
      <c r="U1263" s="27" t="s">
        <v>121</v>
      </c>
      <c r="V1263" s="27" t="str">
        <f>R1258</f>
        <v>Yes</v>
      </c>
      <c r="W1263" s="27" t="str">
        <f>S1258</f>
        <v>Yes</v>
      </c>
      <c r="X1263" s="27" t="str">
        <f>IF(V1263="N/A","N/A",IF(W1263="N/A", "N/A", IF(V1263=W1263, "Yes","No")))</f>
        <v>Yes</v>
      </c>
    </row>
    <row r="1265" spans="1:38" x14ac:dyDescent="0.2">
      <c r="A1265" s="27">
        <v>1512</v>
      </c>
      <c r="B1265" s="27" t="s">
        <v>111</v>
      </c>
      <c r="C1265" s="27">
        <v>84</v>
      </c>
    </row>
    <row r="1266" spans="1:38" x14ac:dyDescent="0.2">
      <c r="A1266" s="59" t="s">
        <v>0</v>
      </c>
      <c r="E1266" s="27" t="s">
        <v>274</v>
      </c>
      <c r="F1266" s="27" t="s">
        <v>275</v>
      </c>
      <c r="G1266" s="27" t="s">
        <v>119</v>
      </c>
      <c r="J1266" s="59" t="s">
        <v>1</v>
      </c>
      <c r="N1266" s="27" t="s">
        <v>277</v>
      </c>
      <c r="O1266" s="27" t="s">
        <v>278</v>
      </c>
      <c r="Q1266" s="59" t="s">
        <v>115</v>
      </c>
      <c r="R1266" s="59" t="s">
        <v>0</v>
      </c>
      <c r="S1266" s="59" t="s">
        <v>1</v>
      </c>
      <c r="U1266" s="59" t="s">
        <v>115</v>
      </c>
      <c r="V1266" s="59" t="s">
        <v>0</v>
      </c>
      <c r="W1266" s="59" t="s">
        <v>1</v>
      </c>
      <c r="X1266" s="59" t="s">
        <v>122</v>
      </c>
      <c r="AA1266" s="27" t="str">
        <f>IF(R1267="Yes","LRA-Soil","")</f>
        <v/>
      </c>
      <c r="AB1266" s="27" t="str">
        <f>IF(R1268="Yes","LRA-Paint","")</f>
        <v/>
      </c>
      <c r="AC1266" s="27" t="str">
        <f>IF(R1269="Yes","LRA-Dust","")</f>
        <v/>
      </c>
      <c r="AD1266" s="27" t="str">
        <f>IF(S1267="Yes","LSK-Soil","")</f>
        <v/>
      </c>
      <c r="AE1266" s="27" t="str">
        <f>IF(S1268="Yes","LSK-Paint","")</f>
        <v/>
      </c>
      <c r="AF1266" s="27" t="str">
        <f>IF(S1269="Yes","LSK-Dust","")</f>
        <v/>
      </c>
    </row>
    <row r="1267" spans="1:38" x14ac:dyDescent="0.2">
      <c r="A1267" s="27" t="s">
        <v>63</v>
      </c>
      <c r="B1267" s="27" t="s">
        <v>3</v>
      </c>
      <c r="C1267" s="27">
        <v>0</v>
      </c>
      <c r="D1267" s="27" t="s">
        <v>4</v>
      </c>
      <c r="F1267" s="27" t="str">
        <f t="shared" ref="F1267" si="572">IF(C1267&gt;=$W$2,"Yes","No")</f>
        <v>No</v>
      </c>
      <c r="G1267" s="27" t="s">
        <v>9</v>
      </c>
      <c r="H1267" s="27" t="s">
        <v>46</v>
      </c>
      <c r="J1267" s="27" t="s">
        <v>6</v>
      </c>
      <c r="K1267" s="27">
        <v>48.3</v>
      </c>
      <c r="L1267" s="27" t="s">
        <v>12</v>
      </c>
      <c r="M1267" s="27" t="s">
        <v>114</v>
      </c>
      <c r="N1267" s="27" t="str">
        <f>IF(K1267="N/A","No", IF(K1267&gt;1200,"Yes","No"))</f>
        <v>No</v>
      </c>
      <c r="O1267" s="27" t="str">
        <f>IF(K1267="Not","No",IF(K1267="n/a","N/A",IF(K1267&gt;=$Y$3,"Yes","No")))</f>
        <v>No</v>
      </c>
      <c r="Q1267" s="27" t="s">
        <v>116</v>
      </c>
      <c r="R1267" s="27" t="str">
        <f>_xlfn.XLOOKUP("ppm",D1267:D1279,F1267:F1279,"N/A")</f>
        <v>No</v>
      </c>
      <c r="S1267" s="27" t="str">
        <f>IF(COUNTIF(O1267:O1269,"Yes"),"Yes","No")</f>
        <v>No</v>
      </c>
      <c r="U1267" s="27" t="s">
        <v>92</v>
      </c>
      <c r="V1267" s="27" t="s">
        <v>120</v>
      </c>
      <c r="W1267" s="27" t="s">
        <v>120</v>
      </c>
      <c r="X1267" s="27" t="str">
        <f>IF(V1267="N/A","N/A",IF(W1267="N/A", "N/A", IF(V1267=W1267, "Yes","No")))</f>
        <v>N/A</v>
      </c>
      <c r="AF1267" s="27" t="str">
        <f>IF(S1257="Yes","LSK-Dust","")</f>
        <v>LSK-Dust</v>
      </c>
      <c r="AI1267" s="27" t="s">
        <v>46</v>
      </c>
      <c r="AJ1267" s="27" t="s">
        <v>43</v>
      </c>
      <c r="AK1267" s="27" t="s">
        <v>116</v>
      </c>
      <c r="AL1267" s="27" t="s">
        <v>117</v>
      </c>
    </row>
    <row r="1268" spans="1:38" x14ac:dyDescent="0.2">
      <c r="A1268" s="27" t="s">
        <v>63</v>
      </c>
      <c r="B1268" s="27" t="s">
        <v>77</v>
      </c>
      <c r="C1268" s="27">
        <v>0</v>
      </c>
      <c r="D1268" s="27" t="s">
        <v>4</v>
      </c>
      <c r="F1268" s="27" t="str">
        <f t="shared" ref="F1268:F1269" si="573">IF(C1268&gt;$W$3,"Yes","No")</f>
        <v>No</v>
      </c>
      <c r="G1268" s="27" t="s">
        <v>9</v>
      </c>
      <c r="H1268" s="27" t="s">
        <v>46</v>
      </c>
      <c r="J1268" s="27" t="s">
        <v>11</v>
      </c>
      <c r="K1268" s="27">
        <v>43.9</v>
      </c>
      <c r="L1268" s="27" t="s">
        <v>12</v>
      </c>
      <c r="M1268" s="27" t="s">
        <v>67</v>
      </c>
      <c r="N1268" s="27" t="str">
        <f t="shared" ref="N1268:N1269" si="574">IF(K1268="N/A","No", IF(K1268&gt;1200,"Yes","No"))</f>
        <v>No</v>
      </c>
      <c r="O1268" s="27" t="str">
        <f t="shared" ref="O1268:O1269" si="575">IF(K1268="Not","No",IF(K1268="n/a","N/A",IF(K1268&gt;$Y$3,"Yes","No")))</f>
        <v>No</v>
      </c>
      <c r="Q1268" s="27" t="s">
        <v>98</v>
      </c>
      <c r="R1268" s="27" t="str">
        <f>_xlfn.XLOOKUP("mg/cm2",D1267:D1279,G1267:G1279,"N/A",1,-1)</f>
        <v>No</v>
      </c>
      <c r="S1268" s="27" t="str">
        <f>IF(COUNTIF(O1270:O1271,"Yes"),"Yes","No")</f>
        <v>No</v>
      </c>
      <c r="U1268" s="27" t="s">
        <v>95</v>
      </c>
      <c r="V1268" s="27" t="str">
        <f>R1267</f>
        <v>No</v>
      </c>
      <c r="W1268" s="27" t="str">
        <f>S1267</f>
        <v>No</v>
      </c>
      <c r="X1268" s="27" t="str">
        <f t="shared" ref="X1268:X1271" si="576">IF(V1268="N/A","N/A",IF(W1268="N/A", "N/A", IF(V1268=W1268, "Yes","No")))</f>
        <v>Yes</v>
      </c>
      <c r="AI1268" s="27">
        <f>COUNTIF(H1268:H1279,"Exterior")</f>
        <v>1</v>
      </c>
      <c r="AJ1268" s="27">
        <f>COUNTIF(H1268:H1279, "Interior")</f>
        <v>2</v>
      </c>
      <c r="AK1268" s="27">
        <f>COUNTIFS(D1268:D1279,"ppm")+COUNTIFS(D1268:D1279,"mg/Kg")</f>
        <v>1</v>
      </c>
      <c r="AL1268" s="27">
        <f>COUNTIF(D1268:D1279,"ug/ft2")</f>
        <v>8</v>
      </c>
    </row>
    <row r="1269" spans="1:38" x14ac:dyDescent="0.2">
      <c r="A1269" s="27" t="s">
        <v>83</v>
      </c>
      <c r="B1269" s="27" t="s">
        <v>28</v>
      </c>
      <c r="C1269" s="27">
        <v>37.700000000000003</v>
      </c>
      <c r="D1269" s="27" t="s">
        <v>12</v>
      </c>
      <c r="E1269" s="27" t="s">
        <v>9</v>
      </c>
      <c r="F1269" s="27" t="str">
        <f t="shared" si="573"/>
        <v>No</v>
      </c>
      <c r="G1269" s="27" t="s">
        <v>9</v>
      </c>
      <c r="J1269" s="27" t="s">
        <v>15</v>
      </c>
      <c r="K1269" s="27">
        <v>40.4</v>
      </c>
      <c r="L1269" s="27" t="s">
        <v>12</v>
      </c>
      <c r="M1269" s="27" t="s">
        <v>112</v>
      </c>
      <c r="N1269" s="27" t="str">
        <f t="shared" si="574"/>
        <v>No</v>
      </c>
      <c r="O1269" s="27" t="str">
        <f t="shared" si="575"/>
        <v>No</v>
      </c>
      <c r="Q1269" s="27" t="s">
        <v>117</v>
      </c>
      <c r="R1269" s="63" t="s">
        <v>9</v>
      </c>
      <c r="S1269" s="27" t="str">
        <f>IF(COUNTIF(O1272:O1275,"Yes"),"Yes","No")</f>
        <v>No</v>
      </c>
      <c r="U1269" s="27" t="s">
        <v>163</v>
      </c>
      <c r="V1269" s="27" t="s">
        <v>9</v>
      </c>
      <c r="W1269" s="27" t="str">
        <f>O1271</f>
        <v>No</v>
      </c>
      <c r="X1269" s="27" t="str">
        <f t="shared" si="576"/>
        <v>Yes</v>
      </c>
    </row>
    <row r="1270" spans="1:38" x14ac:dyDescent="0.2">
      <c r="A1270" s="27" t="s">
        <v>293</v>
      </c>
      <c r="B1270" s="27" t="s">
        <v>40</v>
      </c>
      <c r="C1270" s="27">
        <v>0.01</v>
      </c>
      <c r="D1270" s="27" t="s">
        <v>4</v>
      </c>
      <c r="F1270" s="27" t="str">
        <f t="shared" ref="F1270" si="577">IF(C1270&gt;$W$6,"Yes","No")</f>
        <v>No</v>
      </c>
      <c r="G1270" s="27" t="s">
        <v>9</v>
      </c>
      <c r="H1270" s="27" t="s">
        <v>43</v>
      </c>
      <c r="J1270" s="27" t="s">
        <v>19</v>
      </c>
      <c r="K1270" s="27">
        <v>2.5</v>
      </c>
      <c r="L1270" s="27" t="s">
        <v>12</v>
      </c>
      <c r="M1270" s="27" t="s">
        <v>46</v>
      </c>
      <c r="N1270" s="27" t="str">
        <f>IF(K1270="N/A","No", IF(K1270&gt;5000,"Yes","No"))</f>
        <v>No</v>
      </c>
      <c r="O1270" s="27" t="str">
        <f>IF(K1270="Not","No",IF(K1270="n/a","N/A",IF(K1270&gt;$Y$2,"Yes","No")))</f>
        <v>No</v>
      </c>
      <c r="Q1270" s="27" t="s">
        <v>118</v>
      </c>
      <c r="R1270" s="27" t="str">
        <f>IF(COUNTIF(R1267:R1269,"Yes"),"Yes","No")</f>
        <v>No</v>
      </c>
      <c r="S1270" s="27" t="str">
        <f>IF(COUNTIF(S1267:S1269,"Yes"),"Yes","No")</f>
        <v>No</v>
      </c>
      <c r="U1270" s="27" t="s">
        <v>164</v>
      </c>
      <c r="V1270" s="27" t="s">
        <v>9</v>
      </c>
      <c r="W1270" s="27" t="str">
        <f>O1270</f>
        <v>No</v>
      </c>
      <c r="X1270" s="27" t="str">
        <f t="shared" si="576"/>
        <v>Yes</v>
      </c>
    </row>
    <row r="1271" spans="1:38" x14ac:dyDescent="0.2">
      <c r="A1271" s="27" t="s">
        <v>71</v>
      </c>
      <c r="B1271" s="27" t="s">
        <v>77</v>
      </c>
      <c r="C1271" s="27">
        <v>0</v>
      </c>
      <c r="D1271" s="27" t="s">
        <v>4</v>
      </c>
      <c r="G1271" s="27" t="s">
        <v>9</v>
      </c>
      <c r="H1271" s="27" t="s">
        <v>43</v>
      </c>
      <c r="J1271" s="27" t="s">
        <v>22</v>
      </c>
      <c r="K1271" s="27">
        <v>2.5</v>
      </c>
      <c r="L1271" s="27" t="s">
        <v>12</v>
      </c>
      <c r="M1271" s="27" t="s">
        <v>43</v>
      </c>
      <c r="N1271" s="27" t="str">
        <f>IF(K1271="N/A","No", IF(K1271&gt;5000,"Yes","No"))</f>
        <v>No</v>
      </c>
      <c r="O1271" s="27" t="str">
        <f>IF(K1271="Not","No",IF(K1271="n/a","N/A",IF(K1271&gt;$Y$2,"Yes","No")))</f>
        <v>No</v>
      </c>
      <c r="U1271" s="27" t="s">
        <v>162</v>
      </c>
      <c r="V1271" s="27" t="str">
        <f>R1268</f>
        <v>No</v>
      </c>
      <c r="W1271" s="27" t="str">
        <f>S1268</f>
        <v>No</v>
      </c>
      <c r="X1271" s="27" t="str">
        <f t="shared" si="576"/>
        <v>Yes</v>
      </c>
    </row>
    <row r="1272" spans="1:38" x14ac:dyDescent="0.2">
      <c r="A1272" s="27" t="s">
        <v>113</v>
      </c>
      <c r="B1272" s="27" t="s">
        <v>32</v>
      </c>
      <c r="D1272" s="27" t="s">
        <v>33</v>
      </c>
      <c r="G1272" s="27" t="s">
        <v>9</v>
      </c>
      <c r="J1272" s="27" t="s">
        <v>25</v>
      </c>
      <c r="K1272" s="27">
        <v>2.5</v>
      </c>
      <c r="L1272" s="27" t="s">
        <v>12</v>
      </c>
      <c r="M1272" s="27" t="s">
        <v>126</v>
      </c>
      <c r="N1272" s="27" t="str">
        <f>IF(K1272="N/A","No", IF(K1272&gt;=20,"Yes","No"))</f>
        <v>No</v>
      </c>
      <c r="O1272" s="27" t="str">
        <f>IF(K1272="Not","No",IF(K1272="n/a","N/A",IF(K1272&gt;=$Y$6,"Yes","No")))</f>
        <v>No</v>
      </c>
      <c r="U1272" s="27" t="s">
        <v>101</v>
      </c>
      <c r="V1272" s="27" t="s">
        <v>9</v>
      </c>
      <c r="W1272" s="27" t="s">
        <v>9</v>
      </c>
      <c r="X1272" s="27" t="str">
        <f>IF(V1272="N/A","N/A",IF(W1272="N/A", "N/A", IF(V1272=W1272, "Yes","No")))</f>
        <v>Yes</v>
      </c>
    </row>
    <row r="1273" spans="1:38" x14ac:dyDescent="0.2">
      <c r="A1273" s="27" t="s">
        <v>109</v>
      </c>
      <c r="B1273" s="27" t="s">
        <v>32</v>
      </c>
      <c r="D1273" s="27" t="s">
        <v>33</v>
      </c>
      <c r="G1273" s="27" t="s">
        <v>9</v>
      </c>
      <c r="J1273" s="27" t="s">
        <v>29</v>
      </c>
      <c r="K1273" s="27">
        <v>4</v>
      </c>
      <c r="L1273" s="27" t="s">
        <v>12</v>
      </c>
      <c r="M1273" s="27" t="s">
        <v>222</v>
      </c>
      <c r="N1273" s="27" t="str">
        <f>IF(K1273="N/A","No", IF(K1273&gt;20,"Yes","No"))</f>
        <v>No</v>
      </c>
      <c r="O1273" s="27" t="str">
        <f t="shared" ref="O1273" si="578">IF(K1273="Not","No",IF(K1273="n/a","N/A",IF(K1273&gt;$Y$6,"Yes","No")))</f>
        <v>No</v>
      </c>
      <c r="U1273" s="27" t="s">
        <v>104</v>
      </c>
      <c r="V1273" s="27" t="s">
        <v>9</v>
      </c>
      <c r="W1273" s="27" t="str">
        <f>O1274</f>
        <v>No</v>
      </c>
      <c r="X1273" s="27" t="str">
        <f>IF(V1273="N/A","N/A",IF(W1273="N/A", "N/A", IF(V1273=W1273, "Yes","No")))</f>
        <v>Yes</v>
      </c>
    </row>
    <row r="1274" spans="1:38" x14ac:dyDescent="0.2">
      <c r="A1274" s="27" t="s">
        <v>109</v>
      </c>
      <c r="B1274" s="27" t="s">
        <v>54</v>
      </c>
      <c r="D1274" s="27" t="s">
        <v>33</v>
      </c>
      <c r="G1274" s="27" t="s">
        <v>9</v>
      </c>
      <c r="J1274" s="27" t="s">
        <v>34</v>
      </c>
      <c r="K1274" s="27">
        <v>2.5</v>
      </c>
      <c r="L1274" s="27" t="s">
        <v>12</v>
      </c>
      <c r="M1274" s="27" t="s">
        <v>210</v>
      </c>
      <c r="N1274" s="27" t="str">
        <f>IF(K1274="N/A","No", IF(K1274&gt;230,"Yes","No"))</f>
        <v>No</v>
      </c>
      <c r="O1274" s="27" t="str">
        <f>IF(K1274="Not","No",IF(K1274="n/a","N/A",IF(K1274&gt;$Y$5,"Yes","No")))</f>
        <v>No</v>
      </c>
      <c r="U1274" s="27" t="s">
        <v>106</v>
      </c>
      <c r="V1274" s="27" t="str">
        <f>R1269</f>
        <v>No</v>
      </c>
      <c r="W1274" s="27" t="str">
        <f>S1269</f>
        <v>No</v>
      </c>
      <c r="X1274" s="27" t="str">
        <f>IF(V1274="N/A","N/A",IF(W1274="N/A", "N/A", IF(V1274=W1274, "Yes","No")))</f>
        <v>Yes</v>
      </c>
    </row>
    <row r="1275" spans="1:38" x14ac:dyDescent="0.2">
      <c r="A1275" s="27" t="s">
        <v>293</v>
      </c>
      <c r="B1275" s="27" t="s">
        <v>32</v>
      </c>
      <c r="D1275" s="27" t="s">
        <v>33</v>
      </c>
      <c r="G1275" s="27" t="s">
        <v>9</v>
      </c>
      <c r="J1275" s="27" t="s">
        <v>208</v>
      </c>
      <c r="K1275" s="27">
        <v>4.5999999999999996</v>
      </c>
      <c r="L1275" s="27" t="s">
        <v>12</v>
      </c>
      <c r="M1275" s="27" t="s">
        <v>223</v>
      </c>
      <c r="N1275" s="27" t="str">
        <f>IF(K1275="N/A","No", IF(K1275&gt;20,"Yes","No"))</f>
        <v>No</v>
      </c>
      <c r="O1275" s="27" t="str">
        <f>IF(K1275="Not","No",IF(K1275="n/a","N/A",IF(K1275&gt;$Y$7,"Yes","No")))</f>
        <v>No</v>
      </c>
      <c r="U1275" s="27" t="s">
        <v>121</v>
      </c>
      <c r="V1275" s="27" t="str">
        <f>R1270</f>
        <v>No</v>
      </c>
      <c r="W1275" s="27" t="str">
        <f>S1270</f>
        <v>No</v>
      </c>
      <c r="X1275" s="27" t="str">
        <f>IF(V1275="N/A","N/A",IF(W1275="N/A", "N/A", IF(V1275=W1275, "Yes","No")))</f>
        <v>Yes</v>
      </c>
    </row>
    <row r="1276" spans="1:38" x14ac:dyDescent="0.2">
      <c r="A1276" s="27" t="s">
        <v>293</v>
      </c>
      <c r="B1276" s="27" t="s">
        <v>54</v>
      </c>
      <c r="D1276" s="27" t="s">
        <v>33</v>
      </c>
      <c r="G1276" s="27" t="s">
        <v>9</v>
      </c>
    </row>
    <row r="1277" spans="1:38" x14ac:dyDescent="0.2">
      <c r="A1277" s="27" t="s">
        <v>71</v>
      </c>
      <c r="B1277" s="27" t="s">
        <v>32</v>
      </c>
      <c r="D1277" s="27" t="s">
        <v>33</v>
      </c>
      <c r="G1277" s="27" t="s">
        <v>9</v>
      </c>
    </row>
    <row r="1278" spans="1:38" x14ac:dyDescent="0.2">
      <c r="A1278" s="27" t="s">
        <v>71</v>
      </c>
      <c r="B1278" s="27" t="s">
        <v>32</v>
      </c>
      <c r="D1278" s="27" t="s">
        <v>33</v>
      </c>
      <c r="G1278" s="27" t="s">
        <v>9</v>
      </c>
    </row>
    <row r="1279" spans="1:38" x14ac:dyDescent="0.2">
      <c r="A1279" s="27" t="s">
        <v>70</v>
      </c>
      <c r="B1279" s="27" t="s">
        <v>32</v>
      </c>
      <c r="D1279" s="27" t="s">
        <v>33</v>
      </c>
      <c r="G1279" s="27" t="s">
        <v>9</v>
      </c>
      <c r="AF1279" s="27" t="str">
        <f>IF(S1269="Yes","LSK-Dust","")</f>
        <v/>
      </c>
    </row>
    <row r="1281" spans="1:38" x14ac:dyDescent="0.2">
      <c r="A1281" s="27">
        <v>1513</v>
      </c>
      <c r="B1281" s="27" t="s">
        <v>428</v>
      </c>
      <c r="C1281" s="27">
        <v>85</v>
      </c>
    </row>
    <row r="1282" spans="1:38" x14ac:dyDescent="0.2">
      <c r="A1282" s="59" t="s">
        <v>0</v>
      </c>
      <c r="E1282" s="27" t="s">
        <v>274</v>
      </c>
      <c r="F1282" s="27" t="s">
        <v>275</v>
      </c>
      <c r="G1282" s="27" t="s">
        <v>119</v>
      </c>
      <c r="J1282" s="59" t="s">
        <v>1</v>
      </c>
      <c r="N1282" s="27" t="s">
        <v>277</v>
      </c>
      <c r="O1282" s="27" t="s">
        <v>278</v>
      </c>
      <c r="Q1282" s="59" t="s">
        <v>115</v>
      </c>
      <c r="R1282" s="59" t="s">
        <v>0</v>
      </c>
      <c r="S1282" s="59" t="s">
        <v>1</v>
      </c>
      <c r="U1282" s="59" t="s">
        <v>115</v>
      </c>
      <c r="V1282" s="59" t="s">
        <v>0</v>
      </c>
      <c r="W1282" s="59" t="s">
        <v>1</v>
      </c>
      <c r="X1282" s="59" t="s">
        <v>122</v>
      </c>
      <c r="AA1282" s="27" t="str">
        <f>IF(R1283="Yes","LRA-Soil","")</f>
        <v/>
      </c>
      <c r="AB1282" s="27" t="str">
        <f>IF(R1284="Yes","LRA-Paint","")</f>
        <v/>
      </c>
      <c r="AC1282" s="27" t="str">
        <f>IF(R1285="Yes","LRA-Dust","")</f>
        <v>LRA-Dust</v>
      </c>
      <c r="AD1282" s="27" t="str">
        <f>IF(S1283="Yes","LSK-Soil","")</f>
        <v/>
      </c>
      <c r="AE1282" s="27" t="str">
        <f>IF(S1284="Yes","LSK-Paint","")</f>
        <v/>
      </c>
      <c r="AF1282" s="27" t="str">
        <f>IF(S1285="Yes","LSK-Dust","")</f>
        <v>LSK-Dust</v>
      </c>
      <c r="AI1282" s="27" t="s">
        <v>46</v>
      </c>
      <c r="AJ1282" s="27" t="s">
        <v>43</v>
      </c>
      <c r="AK1282" s="27" t="s">
        <v>116</v>
      </c>
      <c r="AL1282" s="27" t="s">
        <v>117</v>
      </c>
    </row>
    <row r="1283" spans="1:38" x14ac:dyDescent="0.2">
      <c r="A1283" s="27" t="s">
        <v>63</v>
      </c>
      <c r="B1283" s="27" t="s">
        <v>217</v>
      </c>
      <c r="C1283" s="27">
        <v>0</v>
      </c>
      <c r="D1283" s="27" t="s">
        <v>4</v>
      </c>
      <c r="F1283" s="27" t="str">
        <f t="shared" ref="F1283:F1289" si="579">IF(C1283&gt;=$W$2,"Yes","No")</f>
        <v>No</v>
      </c>
      <c r="G1283" s="27" t="s">
        <v>9</v>
      </c>
      <c r="H1283" s="27" t="s">
        <v>46</v>
      </c>
      <c r="J1283" s="27" t="s">
        <v>6</v>
      </c>
      <c r="K1283" s="27">
        <v>53.9</v>
      </c>
      <c r="L1283" s="27" t="s">
        <v>12</v>
      </c>
      <c r="M1283" s="27" t="s">
        <v>114</v>
      </c>
      <c r="N1283" s="27" t="str">
        <f>IF(K1283="N/A","No", IF(K1283&gt;1200,"Yes","No"))</f>
        <v>No</v>
      </c>
      <c r="O1283" s="27" t="str">
        <f>IF(K1283="Not","No",IF(K1283="n/a","N/A",IF(K1283&gt;=$Y$3,"Yes","No")))</f>
        <v>No</v>
      </c>
      <c r="Q1283" s="27" t="s">
        <v>116</v>
      </c>
      <c r="R1283" s="27" t="str">
        <f>_xlfn.XLOOKUP("ppm",D1283:D1290,F1283:F1290,"N/A")</f>
        <v>No</v>
      </c>
      <c r="S1283" s="27" t="str">
        <f>IF(COUNTIF(O1283:O1285,"Yes"),"Yes","No")</f>
        <v>No</v>
      </c>
      <c r="U1283" s="27" t="s">
        <v>92</v>
      </c>
      <c r="V1283" s="27" t="s">
        <v>120</v>
      </c>
      <c r="W1283" s="27" t="s">
        <v>120</v>
      </c>
      <c r="X1283" s="27" t="str">
        <f>IF(V1283="N/A","N/A",IF(W1283="N/A", "N/A", IF(V1283=W1283, "Yes","No")))</f>
        <v>N/A</v>
      </c>
      <c r="AI1283" s="27">
        <f>COUNTIF(H1283:H1290,"Exterior")</f>
        <v>1</v>
      </c>
      <c r="AJ1283" s="27">
        <f>COUNTIF(H1283:H1290, "Interior")</f>
        <v>3</v>
      </c>
      <c r="AK1283" s="27">
        <f>COUNTIFS(D1283:D1290,"ppm")+COUNTIFS(D1283:D1290,"mg/Kg")</f>
        <v>3</v>
      </c>
      <c r="AL1283" s="27">
        <f>COUNTIF(D1283:D1290,"ug/ft2")</f>
        <v>1</v>
      </c>
    </row>
    <row r="1284" spans="1:38" x14ac:dyDescent="0.2">
      <c r="A1284" s="27" t="s">
        <v>288</v>
      </c>
      <c r="B1284" s="27" t="s">
        <v>294</v>
      </c>
      <c r="C1284" s="27">
        <v>120</v>
      </c>
      <c r="D1284" s="27" t="s">
        <v>12</v>
      </c>
      <c r="E1284" s="27" t="s">
        <v>9</v>
      </c>
      <c r="F1284" s="27" t="str">
        <f t="shared" ref="F1284:F1286" si="580">IF(C1284&gt;$W$3,"Yes","No")</f>
        <v>No</v>
      </c>
      <c r="G1284" s="27" t="s">
        <v>9</v>
      </c>
      <c r="J1284" s="27" t="s">
        <v>11</v>
      </c>
      <c r="K1284" s="27">
        <v>108</v>
      </c>
      <c r="L1284" s="27" t="s">
        <v>12</v>
      </c>
      <c r="M1284" s="27" t="s">
        <v>67</v>
      </c>
      <c r="N1284" s="27" t="str">
        <f t="shared" ref="N1284:N1285" si="581">IF(K1284="N/A","No", IF(K1284&gt;1200,"Yes","No"))</f>
        <v>No</v>
      </c>
      <c r="O1284" s="27" t="str">
        <f t="shared" ref="O1284:O1285" si="582">IF(K1284="Not","No",IF(K1284="n/a","N/A",IF(K1284&gt;$Y$3,"Yes","No")))</f>
        <v>No</v>
      </c>
      <c r="Q1284" s="27" t="s">
        <v>98</v>
      </c>
      <c r="R1284" s="27" t="str">
        <f>_xlfn.XLOOKUP("mg/cm2",D1283:D1290,G1283:G1290,"N/A",1,-1)</f>
        <v>No</v>
      </c>
      <c r="S1284" s="27" t="str">
        <f>IF(COUNTIF(O1286:O1287,"Yes"),"Yes","No")</f>
        <v>No</v>
      </c>
      <c r="U1284" s="27" t="s">
        <v>95</v>
      </c>
      <c r="V1284" s="27" t="str">
        <f>R1283</f>
        <v>No</v>
      </c>
      <c r="W1284" s="27" t="str">
        <f>S1283</f>
        <v>No</v>
      </c>
      <c r="X1284" s="27" t="str">
        <f t="shared" ref="X1284:X1287" si="583">IF(V1284="N/A","N/A",IF(W1284="N/A", "N/A", IF(V1284=W1284, "Yes","No")))</f>
        <v>Yes</v>
      </c>
    </row>
    <row r="1285" spans="1:38" x14ac:dyDescent="0.2">
      <c r="A1285" s="27" t="s">
        <v>288</v>
      </c>
      <c r="B1285" s="27" t="s">
        <v>294</v>
      </c>
      <c r="C1285" s="27">
        <v>45</v>
      </c>
      <c r="D1285" s="27" t="s">
        <v>12</v>
      </c>
      <c r="E1285" s="27" t="s">
        <v>9</v>
      </c>
      <c r="F1285" s="27" t="str">
        <f t="shared" si="580"/>
        <v>No</v>
      </c>
      <c r="G1285" s="27" t="s">
        <v>9</v>
      </c>
      <c r="J1285" s="27" t="s">
        <v>15</v>
      </c>
      <c r="K1285" s="27">
        <v>137</v>
      </c>
      <c r="L1285" s="27" t="s">
        <v>12</v>
      </c>
      <c r="M1285" s="27" t="s">
        <v>112</v>
      </c>
      <c r="N1285" s="27" t="str">
        <f t="shared" si="581"/>
        <v>No</v>
      </c>
      <c r="O1285" s="27" t="str">
        <f t="shared" si="582"/>
        <v>No</v>
      </c>
      <c r="Q1285" s="27" t="s">
        <v>117</v>
      </c>
      <c r="R1285" s="27" t="str">
        <f>_xlfn.XLOOKUP("ug/ft2",D1283:D1290,F1283:F1290,"N/A")</f>
        <v>Yes</v>
      </c>
      <c r="S1285" s="27" t="str">
        <f>IF(COUNTIF(O1288:O1291,"Yes"),"Yes","No")</f>
        <v>Yes</v>
      </c>
      <c r="U1285" s="27" t="s">
        <v>163</v>
      </c>
      <c r="V1285" s="27" t="s">
        <v>5</v>
      </c>
      <c r="W1285" s="27" t="str">
        <f>O1287</f>
        <v>No</v>
      </c>
      <c r="X1285" s="27" t="str">
        <f t="shared" si="583"/>
        <v>No</v>
      </c>
    </row>
    <row r="1286" spans="1:38" x14ac:dyDescent="0.2">
      <c r="A1286" s="27" t="s">
        <v>288</v>
      </c>
      <c r="B1286" s="27" t="s">
        <v>286</v>
      </c>
      <c r="C1286" s="27">
        <v>190</v>
      </c>
      <c r="D1286" s="27" t="s">
        <v>12</v>
      </c>
      <c r="E1286" s="27" t="s">
        <v>9</v>
      </c>
      <c r="F1286" s="27" t="str">
        <f t="shared" si="580"/>
        <v>No</v>
      </c>
      <c r="G1286" s="27" t="s">
        <v>9</v>
      </c>
      <c r="J1286" s="27" t="s">
        <v>19</v>
      </c>
      <c r="K1286" s="27">
        <v>12</v>
      </c>
      <c r="L1286" s="27" t="s">
        <v>12</v>
      </c>
      <c r="M1286" s="27" t="s">
        <v>46</v>
      </c>
      <c r="N1286" s="27" t="str">
        <f>IF(K1286="N/A","No", IF(K1286&gt;5000,"Yes","No"))</f>
        <v>No</v>
      </c>
      <c r="O1286" s="27" t="str">
        <f>IF(K1286="Not","No",IF(K1286="n/a","N/A",IF(K1286&gt;$Y$2,"Yes","No")))</f>
        <v>No</v>
      </c>
      <c r="Q1286" s="27" t="s">
        <v>118</v>
      </c>
      <c r="R1286" s="27" t="str">
        <f>IF(COUNTIF(R1283:R1285,"Yes"),"Yes","No")</f>
        <v>Yes</v>
      </c>
      <c r="S1286" s="27" t="str">
        <f>IF(COUNTIF(S1283:S1285,"Yes"),"Yes","No")</f>
        <v>Yes</v>
      </c>
      <c r="U1286" s="27" t="s">
        <v>164</v>
      </c>
      <c r="V1286" s="27" t="s">
        <v>9</v>
      </c>
      <c r="W1286" s="27" t="str">
        <f>O1286</f>
        <v>No</v>
      </c>
      <c r="X1286" s="27" t="str">
        <f t="shared" si="583"/>
        <v>Yes</v>
      </c>
    </row>
    <row r="1287" spans="1:38" x14ac:dyDescent="0.2">
      <c r="A1287" s="27" t="s">
        <v>287</v>
      </c>
      <c r="B1287" s="27" t="s">
        <v>221</v>
      </c>
      <c r="C1287" s="27">
        <v>14.2</v>
      </c>
      <c r="D1287" s="27" t="s">
        <v>4</v>
      </c>
      <c r="E1287" s="27" t="s">
        <v>5</v>
      </c>
      <c r="F1287" s="27" t="str">
        <f t="shared" si="579"/>
        <v>Yes</v>
      </c>
      <c r="G1287" s="27" t="s">
        <v>9</v>
      </c>
      <c r="H1287" s="27" t="s">
        <v>43</v>
      </c>
      <c r="J1287" s="27" t="s">
        <v>22</v>
      </c>
      <c r="K1287" s="27">
        <v>291</v>
      </c>
      <c r="L1287" s="27" t="s">
        <v>12</v>
      </c>
      <c r="M1287" s="27" t="s">
        <v>43</v>
      </c>
      <c r="N1287" s="27" t="str">
        <f>IF(K1287="N/A","No", IF(K1287&gt;5000,"Yes","No"))</f>
        <v>No</v>
      </c>
      <c r="O1287" s="27" t="str">
        <f>IF(K1287="Not","No",IF(K1287="n/a","N/A",IF(K1287&gt;$Y$2,"Yes","No")))</f>
        <v>No</v>
      </c>
      <c r="U1287" s="27" t="s">
        <v>162</v>
      </c>
      <c r="V1287" s="27" t="str">
        <f>R1284</f>
        <v>No</v>
      </c>
      <c r="W1287" s="27" t="str">
        <f>S1284</f>
        <v>No</v>
      </c>
      <c r="X1287" s="27" t="str">
        <f t="shared" si="583"/>
        <v>Yes</v>
      </c>
    </row>
    <row r="1288" spans="1:38" x14ac:dyDescent="0.2">
      <c r="A1288" s="27" t="s">
        <v>201</v>
      </c>
      <c r="B1288" s="27" t="s">
        <v>221</v>
      </c>
      <c r="C1288" s="27">
        <v>2.5</v>
      </c>
      <c r="D1288" s="27" t="s">
        <v>4</v>
      </c>
      <c r="E1288" s="27" t="s">
        <v>5</v>
      </c>
      <c r="F1288" s="27" t="str">
        <f t="shared" si="579"/>
        <v>Yes</v>
      </c>
      <c r="G1288" s="27" t="s">
        <v>5</v>
      </c>
      <c r="H1288" s="27" t="s">
        <v>43</v>
      </c>
      <c r="J1288" s="27" t="s">
        <v>25</v>
      </c>
      <c r="K1288" s="27">
        <v>10</v>
      </c>
      <c r="L1288" s="27" t="s">
        <v>12</v>
      </c>
      <c r="M1288" s="27" t="s">
        <v>126</v>
      </c>
      <c r="N1288" s="27" t="str">
        <f>IF(K1288="N/A","No", IF(K1288&gt;=20,"Yes","No"))</f>
        <v>No</v>
      </c>
      <c r="O1288" s="27" t="str">
        <f>IF(K1288="Not","No",IF(K1288="n/a","N/A",IF(K1288&gt;=$Y$6,"Yes","No")))</f>
        <v>No</v>
      </c>
      <c r="U1288" s="27" t="s">
        <v>101</v>
      </c>
      <c r="V1288" s="27" t="s">
        <v>5</v>
      </c>
      <c r="W1288" s="27" t="s">
        <v>9</v>
      </c>
      <c r="X1288" s="27" t="str">
        <f>IF(V1288="N/A","N/A",IF(W1288="N/A", "N/A", IF(V1288=W1288, "Yes","No")))</f>
        <v>No</v>
      </c>
    </row>
    <row r="1289" spans="1:38" x14ac:dyDescent="0.2">
      <c r="A1289" s="27" t="s">
        <v>237</v>
      </c>
      <c r="B1289" s="27" t="s">
        <v>211</v>
      </c>
      <c r="C1289" s="27">
        <v>5</v>
      </c>
      <c r="D1289" s="27" t="s">
        <v>4</v>
      </c>
      <c r="E1289" s="27" t="s">
        <v>5</v>
      </c>
      <c r="F1289" s="27" t="str">
        <f t="shared" si="579"/>
        <v>Yes</v>
      </c>
      <c r="G1289" s="27" t="s">
        <v>9</v>
      </c>
      <c r="H1289" s="27" t="s">
        <v>43</v>
      </c>
      <c r="J1289" s="27" t="s">
        <v>29</v>
      </c>
      <c r="K1289" s="27">
        <v>29</v>
      </c>
      <c r="L1289" s="27" t="s">
        <v>12</v>
      </c>
      <c r="M1289" s="27" t="s">
        <v>222</v>
      </c>
      <c r="N1289" s="27" t="str">
        <f>IF(K1289="N/A","No", IF(K1289&gt;20,"Yes","No"))</f>
        <v>Yes</v>
      </c>
      <c r="O1289" s="27" t="str">
        <f t="shared" ref="O1289" si="584">IF(K1289="Not","No",IF(K1289="n/a","N/A",IF(K1289&gt;$Y$6,"Yes","No")))</f>
        <v>Yes</v>
      </c>
      <c r="U1289" s="27" t="s">
        <v>104</v>
      </c>
      <c r="V1289" s="27" t="s">
        <v>120</v>
      </c>
      <c r="W1289" s="27" t="str">
        <f>O1290</f>
        <v>No</v>
      </c>
      <c r="X1289" s="27" t="str">
        <f>IF(V1289="N/A","N/A",IF(W1289="N/A", "N/A", IF(V1289=W1289, "Yes","No")))</f>
        <v>N/A</v>
      </c>
    </row>
    <row r="1290" spans="1:38" x14ac:dyDescent="0.2">
      <c r="A1290" s="27" t="s">
        <v>201</v>
      </c>
      <c r="B1290" s="27" t="s">
        <v>214</v>
      </c>
      <c r="C1290" s="27">
        <v>12</v>
      </c>
      <c r="D1290" s="27" t="s">
        <v>33</v>
      </c>
      <c r="E1290" s="27" t="s">
        <v>5</v>
      </c>
      <c r="F1290" s="27" t="str">
        <f t="shared" ref="F1290" si="585">IF(C1290&gt;$W$6,"Yes","No")</f>
        <v>Yes</v>
      </c>
      <c r="G1290" s="27" t="s">
        <v>5</v>
      </c>
      <c r="J1290" s="27" t="s">
        <v>34</v>
      </c>
      <c r="K1290" s="27">
        <v>2.5</v>
      </c>
      <c r="L1290" s="27" t="s">
        <v>12</v>
      </c>
      <c r="M1290" s="27" t="s">
        <v>210</v>
      </c>
      <c r="N1290" s="27" t="str">
        <f>IF(K1290="N/A","No", IF(K1290&gt;230,"Yes","No"))</f>
        <v>No</v>
      </c>
      <c r="O1290" s="27" t="str">
        <f>IF(K1290="Not","No",IF(K1290="n/a","N/A",IF(K1290&gt;$Y$5,"Yes","No")))</f>
        <v>No</v>
      </c>
      <c r="U1290" s="27" t="s">
        <v>106</v>
      </c>
      <c r="V1290" s="27" t="str">
        <f>R1285</f>
        <v>Yes</v>
      </c>
      <c r="W1290" s="27" t="str">
        <f>S1285</f>
        <v>Yes</v>
      </c>
      <c r="X1290" s="27" t="str">
        <f>IF(V1290="N/A","N/A",IF(W1290="N/A", "N/A", IF(V1290=W1290, "Yes","No")))</f>
        <v>Yes</v>
      </c>
    </row>
    <row r="1291" spans="1:38" x14ac:dyDescent="0.2">
      <c r="J1291" s="27" t="s">
        <v>208</v>
      </c>
      <c r="K1291" s="27">
        <v>152</v>
      </c>
      <c r="L1291" s="27" t="s">
        <v>12</v>
      </c>
      <c r="M1291" s="27" t="s">
        <v>223</v>
      </c>
      <c r="N1291" s="27" t="str">
        <f>IF(K1291="N/A","No", IF(K1291&gt;20,"Yes","No"))</f>
        <v>Yes</v>
      </c>
      <c r="O1291" s="27" t="str">
        <f>IF(K1291="Not","No",IF(K1291="n/a","N/A",IF(K1291&gt;$Y$7,"Yes","No")))</f>
        <v>No</v>
      </c>
      <c r="U1291" s="27" t="s">
        <v>121</v>
      </c>
      <c r="V1291" s="27" t="str">
        <f>R1286</f>
        <v>Yes</v>
      </c>
      <c r="W1291" s="27" t="str">
        <f>S1286</f>
        <v>Yes</v>
      </c>
      <c r="X1291" s="27" t="str">
        <f>IF(V1291="N/A","N/A",IF(W1291="N/A", "N/A", IF(V1291=W1291, "Yes","No")))</f>
        <v>Yes</v>
      </c>
    </row>
    <row r="1293" spans="1:38" x14ac:dyDescent="0.2">
      <c r="A1293" s="27">
        <v>1515</v>
      </c>
      <c r="B1293" s="27" t="s">
        <v>111</v>
      </c>
      <c r="C1293" s="27">
        <v>86</v>
      </c>
    </row>
    <row r="1294" spans="1:38" x14ac:dyDescent="0.2">
      <c r="A1294" s="59" t="s">
        <v>0</v>
      </c>
      <c r="E1294" s="27" t="s">
        <v>274</v>
      </c>
      <c r="F1294" s="27" t="s">
        <v>275</v>
      </c>
      <c r="G1294" s="27" t="s">
        <v>119</v>
      </c>
      <c r="J1294" s="59" t="s">
        <v>1</v>
      </c>
      <c r="N1294" s="27" t="s">
        <v>277</v>
      </c>
      <c r="O1294" s="27" t="s">
        <v>278</v>
      </c>
      <c r="Q1294" s="59" t="s">
        <v>115</v>
      </c>
      <c r="R1294" s="59" t="s">
        <v>0</v>
      </c>
      <c r="S1294" s="59" t="s">
        <v>1</v>
      </c>
      <c r="U1294" s="59" t="s">
        <v>115</v>
      </c>
      <c r="V1294" s="59" t="s">
        <v>0</v>
      </c>
      <c r="W1294" s="59" t="s">
        <v>1</v>
      </c>
      <c r="X1294" s="59" t="s">
        <v>122</v>
      </c>
      <c r="AA1294" s="27" t="str">
        <f>IF(R1295="Yes","LRA-Soil","")</f>
        <v/>
      </c>
      <c r="AB1294" s="27" t="str">
        <f>IF(R1296="Yes","LRA-Paint","")</f>
        <v/>
      </c>
      <c r="AC1294" s="27" t="str">
        <f>IF(R1297="Yes","LRA-Dust","")</f>
        <v/>
      </c>
      <c r="AD1294" s="27" t="str">
        <f>IF(S1295="Yes","LSK-Soil","")</f>
        <v/>
      </c>
      <c r="AE1294" s="27" t="str">
        <f>IF(S1296="Yes","LSK-Paint","")</f>
        <v/>
      </c>
      <c r="AF1294" s="27" t="str">
        <f>IF(S1297="Yes","LSK-Dust","")</f>
        <v/>
      </c>
      <c r="AI1294" s="27" t="s">
        <v>46</v>
      </c>
      <c r="AJ1294" s="27" t="s">
        <v>43</v>
      </c>
      <c r="AK1294" s="27" t="s">
        <v>116</v>
      </c>
      <c r="AL1294" s="27" t="s">
        <v>117</v>
      </c>
    </row>
    <row r="1295" spans="1:38" x14ac:dyDescent="0.2">
      <c r="A1295" s="27" t="s">
        <v>63</v>
      </c>
      <c r="B1295" s="27" t="s">
        <v>18</v>
      </c>
      <c r="C1295" s="27">
        <v>0</v>
      </c>
      <c r="D1295" s="27" t="s">
        <v>4</v>
      </c>
      <c r="F1295" s="27" t="str">
        <f t="shared" ref="F1295:F1297" si="586">IF(C1295&gt;=$W$2,"Yes","No")</f>
        <v>No</v>
      </c>
      <c r="G1295" s="27" t="s">
        <v>9</v>
      </c>
      <c r="H1295" s="27" t="s">
        <v>46</v>
      </c>
      <c r="J1295" s="27" t="s">
        <v>6</v>
      </c>
      <c r="K1295" s="27">
        <v>10.199999999999999</v>
      </c>
      <c r="L1295" s="27" t="s">
        <v>12</v>
      </c>
      <c r="M1295" s="27" t="s">
        <v>114</v>
      </c>
      <c r="N1295" s="27" t="str">
        <f>IF(K1295="N/A","No", IF(K1295&gt;1200,"Yes","No"))</f>
        <v>No</v>
      </c>
      <c r="O1295" s="27" t="str">
        <f>IF(K1295="Not","No",IF(K1295="n/a","N/A",IF(K1295&gt;=$Y$3,"Yes","No")))</f>
        <v>No</v>
      </c>
      <c r="Q1295" s="27" t="s">
        <v>116</v>
      </c>
      <c r="R1295" s="27" t="str">
        <f>_xlfn.XLOOKUP("ppm",D1295:D1298,F1295:F1298,"N/A")</f>
        <v>No</v>
      </c>
      <c r="S1295" s="27" t="str">
        <f>IF(COUNTIF(O1295:O1297,"Yes"),"Yes","No")</f>
        <v>No</v>
      </c>
      <c r="U1295" s="27" t="s">
        <v>92</v>
      </c>
      <c r="V1295" s="27" t="s">
        <v>120</v>
      </c>
      <c r="W1295" s="27" t="s">
        <v>120</v>
      </c>
      <c r="X1295" s="27" t="str">
        <f>IF(V1295="N/A","N/A",IF(W1295="N/A", "N/A", IF(V1295=W1295, "Yes","No")))</f>
        <v>N/A</v>
      </c>
      <c r="AI1295" s="27">
        <f>COUNTIF(H1295:H1298,"Exterior")</f>
        <v>1</v>
      </c>
      <c r="AJ1295" s="27">
        <f>COUNTIF(H1295:H1298, "Interior")</f>
        <v>1</v>
      </c>
      <c r="AK1295" s="27">
        <f>COUNTIFS(D1295:D1298,"ppm")+COUNTIFS(D1295:D1298,"mg/Kg")</f>
        <v>1</v>
      </c>
      <c r="AL1295" s="27">
        <f>COUNTIF(D1295:D1298,"ug/ft2")</f>
        <v>1</v>
      </c>
    </row>
    <row r="1296" spans="1:38" x14ac:dyDescent="0.2">
      <c r="A1296" s="27" t="s">
        <v>83</v>
      </c>
      <c r="B1296" s="27" t="s">
        <v>69</v>
      </c>
      <c r="C1296" s="27" t="s">
        <v>397</v>
      </c>
      <c r="D1296" s="27" t="s">
        <v>12</v>
      </c>
      <c r="F1296" s="27" t="s">
        <v>9</v>
      </c>
      <c r="G1296" s="27" t="s">
        <v>9</v>
      </c>
      <c r="J1296" s="27" t="s">
        <v>11</v>
      </c>
      <c r="K1296" s="27">
        <v>10</v>
      </c>
      <c r="L1296" s="27" t="s">
        <v>12</v>
      </c>
      <c r="M1296" s="27" t="s">
        <v>67</v>
      </c>
      <c r="N1296" s="27" t="str">
        <f t="shared" ref="N1296:N1297" si="587">IF(K1296="N/A","No", IF(K1296&gt;1200,"Yes","No"))</f>
        <v>No</v>
      </c>
      <c r="O1296" s="27" t="str">
        <f t="shared" ref="O1296:O1297" si="588">IF(K1296="Not","No",IF(K1296="n/a","N/A",IF(K1296&gt;$Y$3,"Yes","No")))</f>
        <v>No</v>
      </c>
      <c r="Q1296" s="27" t="s">
        <v>98</v>
      </c>
      <c r="R1296" s="27" t="str">
        <f>_xlfn.XLOOKUP("mg/cm2",D1295:D1298,G1295:G1298,"N/A",1,-1)</f>
        <v>No</v>
      </c>
      <c r="S1296" s="27" t="str">
        <f>IF(COUNTIF(O1298:O1299,"Yes"),"Yes","No")</f>
        <v>No</v>
      </c>
      <c r="U1296" s="27" t="s">
        <v>95</v>
      </c>
      <c r="V1296" s="27" t="str">
        <f>R1295</f>
        <v>No</v>
      </c>
      <c r="W1296" s="27" t="str">
        <f>S1295</f>
        <v>No</v>
      </c>
      <c r="X1296" s="27" t="str">
        <f t="shared" ref="X1296:X1299" si="589">IF(V1296="N/A","N/A",IF(W1296="N/A", "N/A", IF(V1296=W1296, "Yes","No")))</f>
        <v>Yes</v>
      </c>
    </row>
    <row r="1297" spans="1:38" x14ac:dyDescent="0.2">
      <c r="A1297" s="27" t="s">
        <v>71</v>
      </c>
      <c r="B1297" s="27" t="s">
        <v>40</v>
      </c>
      <c r="C1297" s="27">
        <v>0</v>
      </c>
      <c r="D1297" s="27" t="s">
        <v>4</v>
      </c>
      <c r="F1297" s="27" t="str">
        <f t="shared" si="586"/>
        <v>No</v>
      </c>
      <c r="G1297" s="27" t="s">
        <v>9</v>
      </c>
      <c r="H1297" s="27" t="s">
        <v>43</v>
      </c>
      <c r="J1297" s="27" t="s">
        <v>15</v>
      </c>
      <c r="K1297" s="27">
        <v>16.600000000000001</v>
      </c>
      <c r="L1297" s="27" t="s">
        <v>12</v>
      </c>
      <c r="M1297" s="27" t="s">
        <v>112</v>
      </c>
      <c r="N1297" s="27" t="str">
        <f t="shared" si="587"/>
        <v>No</v>
      </c>
      <c r="O1297" s="27" t="str">
        <f t="shared" si="588"/>
        <v>No</v>
      </c>
      <c r="Q1297" s="27" t="s">
        <v>117</v>
      </c>
      <c r="R1297" s="27" t="str">
        <f>_xlfn.XLOOKUP("ug/ft2",D1295:D1298,F1295:F1298,"N/A")</f>
        <v>No</v>
      </c>
      <c r="S1297" s="27" t="str">
        <f>IF(COUNTIF(O1300:O1303,"Yes"),"Yes","No")</f>
        <v>No</v>
      </c>
      <c r="U1297" s="27" t="s">
        <v>163</v>
      </c>
      <c r="V1297" s="27" t="s">
        <v>9</v>
      </c>
      <c r="W1297" s="27" t="str">
        <f>O1299</f>
        <v>No</v>
      </c>
      <c r="X1297" s="27" t="str">
        <f t="shared" si="589"/>
        <v>Yes</v>
      </c>
    </row>
    <row r="1298" spans="1:38" x14ac:dyDescent="0.2">
      <c r="A1298" s="27" t="s">
        <v>71</v>
      </c>
      <c r="B1298" s="27" t="s">
        <v>32</v>
      </c>
      <c r="C1298" s="27">
        <v>3</v>
      </c>
      <c r="D1298" s="27" t="s">
        <v>33</v>
      </c>
      <c r="F1298" s="27" t="str">
        <f t="shared" ref="F1298" si="590">IF(C1298&gt;$W$6,"Yes","No")</f>
        <v>No</v>
      </c>
      <c r="G1298" s="27" t="s">
        <v>9</v>
      </c>
      <c r="J1298" s="27" t="s">
        <v>19</v>
      </c>
      <c r="K1298" s="27">
        <v>2.5</v>
      </c>
      <c r="L1298" s="27" t="s">
        <v>12</v>
      </c>
      <c r="M1298" s="27" t="s">
        <v>46</v>
      </c>
      <c r="N1298" s="27" t="str">
        <f>IF(K1298="N/A","No", IF(K1298&gt;5000,"Yes","No"))</f>
        <v>No</v>
      </c>
      <c r="O1298" s="27" t="str">
        <f>IF(K1298="Not","No",IF(K1298="n/a","N/A",IF(K1298&gt;$Y$2,"Yes","No")))</f>
        <v>No</v>
      </c>
      <c r="Q1298" s="27" t="s">
        <v>118</v>
      </c>
      <c r="R1298" s="27" t="str">
        <f>IF(COUNTIF(R1295:R1297,"Yes"),"Yes","No")</f>
        <v>No</v>
      </c>
      <c r="S1298" s="27" t="str">
        <f>IF(COUNTIF(S1295:S1297,"Yes"),"Yes","No")</f>
        <v>No</v>
      </c>
      <c r="U1298" s="27" t="s">
        <v>164</v>
      </c>
      <c r="V1298" s="27" t="s">
        <v>9</v>
      </c>
      <c r="W1298" s="27" t="str">
        <f>O1298</f>
        <v>No</v>
      </c>
      <c r="X1298" s="27" t="str">
        <f t="shared" si="589"/>
        <v>Yes</v>
      </c>
    </row>
    <row r="1299" spans="1:38" x14ac:dyDescent="0.2">
      <c r="J1299" s="27" t="s">
        <v>22</v>
      </c>
      <c r="K1299" s="27">
        <v>2.5</v>
      </c>
      <c r="L1299" s="27" t="s">
        <v>12</v>
      </c>
      <c r="M1299" s="27" t="s">
        <v>43</v>
      </c>
      <c r="N1299" s="27" t="str">
        <f>IF(K1299="N/A","No", IF(K1299&gt;5000,"Yes","No"))</f>
        <v>No</v>
      </c>
      <c r="O1299" s="27" t="str">
        <f>IF(K1299="Not","No",IF(K1299="n/a","N/A",IF(K1299&gt;$Y$2,"Yes","No")))</f>
        <v>No</v>
      </c>
      <c r="U1299" s="27" t="s">
        <v>162</v>
      </c>
      <c r="V1299" s="27" t="str">
        <f>R1296</f>
        <v>No</v>
      </c>
      <c r="W1299" s="27" t="str">
        <f>S1296</f>
        <v>No</v>
      </c>
      <c r="X1299" s="27" t="str">
        <f t="shared" si="589"/>
        <v>Yes</v>
      </c>
    </row>
    <row r="1300" spans="1:38" x14ac:dyDescent="0.2">
      <c r="J1300" s="27" t="s">
        <v>25</v>
      </c>
      <c r="K1300" s="27">
        <v>2.5</v>
      </c>
      <c r="L1300" s="27" t="s">
        <v>12</v>
      </c>
      <c r="M1300" s="27" t="s">
        <v>126</v>
      </c>
      <c r="N1300" s="27" t="str">
        <f>IF(K1300="N/A","No", IF(K1300&gt;=20,"Yes","No"))</f>
        <v>No</v>
      </c>
      <c r="O1300" s="27" t="str">
        <f>IF(K1300="Not","No",IF(K1300="n/a","N/A",IF(K1300&gt;=$Y$6,"Yes","No")))</f>
        <v>No</v>
      </c>
      <c r="U1300" s="27" t="s">
        <v>101</v>
      </c>
      <c r="V1300" s="27" t="s">
        <v>9</v>
      </c>
      <c r="W1300" s="27" t="s">
        <v>9</v>
      </c>
      <c r="X1300" s="27" t="str">
        <f>IF(V1300="N/A","N/A",IF(W1300="N/A", "N/A", IF(V1300=W1300, "Yes","No")))</f>
        <v>Yes</v>
      </c>
    </row>
    <row r="1301" spans="1:38" x14ac:dyDescent="0.2">
      <c r="J1301" s="27" t="s">
        <v>29</v>
      </c>
      <c r="K1301" s="27">
        <v>2.5</v>
      </c>
      <c r="L1301" s="27" t="s">
        <v>12</v>
      </c>
      <c r="M1301" s="27" t="s">
        <v>222</v>
      </c>
      <c r="N1301" s="27" t="str">
        <f>IF(K1301="N/A","No", IF(K1301&gt;20,"Yes","No"))</f>
        <v>No</v>
      </c>
      <c r="O1301" s="27" t="str">
        <f t="shared" ref="O1301" si="591">IF(K1301="Not","No",IF(K1301="n/a","N/A",IF(K1301&gt;$Y$6,"Yes","No")))</f>
        <v>No</v>
      </c>
      <c r="U1301" s="27" t="s">
        <v>104</v>
      </c>
      <c r="V1301" s="27" t="s">
        <v>120</v>
      </c>
      <c r="W1301" s="27" t="str">
        <f>O1302</f>
        <v>No</v>
      </c>
      <c r="X1301" s="27" t="str">
        <f>IF(V1301="N/A","N/A",IF(W1301="N/A", "N/A", IF(V1301=W1301, "Yes","No")))</f>
        <v>N/A</v>
      </c>
    </row>
    <row r="1302" spans="1:38" x14ac:dyDescent="0.2">
      <c r="J1302" s="27" t="s">
        <v>34</v>
      </c>
      <c r="K1302" s="27">
        <v>2.5</v>
      </c>
      <c r="L1302" s="27" t="s">
        <v>12</v>
      </c>
      <c r="M1302" s="27" t="s">
        <v>210</v>
      </c>
      <c r="N1302" s="27" t="str">
        <f>IF(K1302="N/A","No", IF(K1302&gt;230,"Yes","No"))</f>
        <v>No</v>
      </c>
      <c r="O1302" s="27" t="str">
        <f>IF(K1302="Not","No",IF(K1302="n/a","N/A",IF(K1302&gt;$Y$5,"Yes","No")))</f>
        <v>No</v>
      </c>
      <c r="U1302" s="27" t="s">
        <v>106</v>
      </c>
      <c r="V1302" s="27" t="str">
        <f>R1297</f>
        <v>No</v>
      </c>
      <c r="W1302" s="27" t="str">
        <f>S1297</f>
        <v>No</v>
      </c>
      <c r="X1302" s="27" t="str">
        <f>IF(V1302="N/A","N/A",IF(W1302="N/A", "N/A", IF(V1302=W1302, "Yes","No")))</f>
        <v>Yes</v>
      </c>
    </row>
    <row r="1303" spans="1:38" x14ac:dyDescent="0.2">
      <c r="J1303" s="27" t="s">
        <v>208</v>
      </c>
      <c r="K1303" s="27">
        <v>2.5</v>
      </c>
      <c r="L1303" s="27" t="s">
        <v>12</v>
      </c>
      <c r="M1303" s="27" t="s">
        <v>223</v>
      </c>
      <c r="N1303" s="27" t="str">
        <f>IF(K1303="N/A","No", IF(K1303&gt;20,"Yes","No"))</f>
        <v>No</v>
      </c>
      <c r="O1303" s="27" t="str">
        <f>IF(K1303="Not","No",IF(K1303="n/a","N/A",IF(K1303&gt;$Y$7,"Yes","No")))</f>
        <v>No</v>
      </c>
      <c r="U1303" s="27" t="s">
        <v>121</v>
      </c>
      <c r="V1303" s="27" t="str">
        <f>R1298</f>
        <v>No</v>
      </c>
      <c r="W1303" s="27" t="str">
        <f>S1298</f>
        <v>No</v>
      </c>
      <c r="X1303" s="27" t="str">
        <f>IF(V1303="N/A","N/A",IF(W1303="N/A", "N/A", IF(V1303=W1303, "Yes","No")))</f>
        <v>Yes</v>
      </c>
    </row>
    <row r="1305" spans="1:38" x14ac:dyDescent="0.2">
      <c r="A1305" s="27">
        <v>1516</v>
      </c>
      <c r="B1305" s="27" t="s">
        <v>111</v>
      </c>
      <c r="C1305" s="27">
        <v>87</v>
      </c>
    </row>
    <row r="1306" spans="1:38" x14ac:dyDescent="0.2">
      <c r="A1306" s="59" t="s">
        <v>0</v>
      </c>
      <c r="E1306" s="27" t="s">
        <v>274</v>
      </c>
      <c r="F1306" s="27" t="s">
        <v>275</v>
      </c>
      <c r="G1306" s="27" t="s">
        <v>119</v>
      </c>
      <c r="J1306" s="59" t="s">
        <v>1</v>
      </c>
      <c r="N1306" s="27" t="s">
        <v>277</v>
      </c>
      <c r="O1306" s="27" t="s">
        <v>278</v>
      </c>
      <c r="Q1306" s="59" t="s">
        <v>115</v>
      </c>
      <c r="R1306" s="59" t="s">
        <v>0</v>
      </c>
      <c r="S1306" s="59" t="s">
        <v>1</v>
      </c>
      <c r="U1306" s="59" t="s">
        <v>115</v>
      </c>
      <c r="V1306" s="59" t="s">
        <v>0</v>
      </c>
      <c r="W1306" s="59" t="s">
        <v>1</v>
      </c>
      <c r="X1306" s="59" t="s">
        <v>122</v>
      </c>
      <c r="AA1306" s="27" t="str">
        <f>IF(R1307="Yes","LRA-Soil","")</f>
        <v/>
      </c>
      <c r="AB1306" s="27" t="str">
        <f>IF(R1308="Yes","LRA-Paint","")</f>
        <v/>
      </c>
      <c r="AC1306" s="27" t="str">
        <f>IF(R1309="Yes","LRA-Dust","")</f>
        <v/>
      </c>
      <c r="AD1306" s="27" t="str">
        <f>IF(S1307="Yes","LSK-Soil","")</f>
        <v/>
      </c>
      <c r="AE1306" s="27" t="str">
        <f>IF(S1308="Yes","LSK-Paint","")</f>
        <v/>
      </c>
      <c r="AF1306" s="27" t="str">
        <f>IF(S1309="Yes","LSK-Dust","")</f>
        <v/>
      </c>
      <c r="AI1306" s="27" t="s">
        <v>46</v>
      </c>
      <c r="AJ1306" s="27" t="s">
        <v>43</v>
      </c>
      <c r="AK1306" s="27" t="s">
        <v>116</v>
      </c>
      <c r="AL1306" s="27" t="s">
        <v>117</v>
      </c>
    </row>
    <row r="1307" spans="1:38" x14ac:dyDescent="0.2">
      <c r="A1307" s="27" t="s">
        <v>153</v>
      </c>
      <c r="B1307" s="27" t="s">
        <v>18</v>
      </c>
      <c r="C1307" s="27">
        <v>0</v>
      </c>
      <c r="D1307" s="27" t="s">
        <v>4</v>
      </c>
      <c r="F1307" s="27" t="str">
        <f t="shared" ref="F1307:F1311" si="592">IF(C1307&gt;=$W$2,"Yes","No")</f>
        <v>No</v>
      </c>
      <c r="G1307" s="27" t="s">
        <v>9</v>
      </c>
      <c r="H1307" s="27" t="s">
        <v>46</v>
      </c>
      <c r="J1307" s="27" t="s">
        <v>6</v>
      </c>
      <c r="K1307" s="27">
        <v>13.1</v>
      </c>
      <c r="L1307" s="27" t="s">
        <v>12</v>
      </c>
      <c r="M1307" s="27" t="s">
        <v>114</v>
      </c>
      <c r="N1307" s="27" t="str">
        <f>IF(K1307="N/A","No", IF(K1307&gt;1200,"Yes","No"))</f>
        <v>No</v>
      </c>
      <c r="O1307" s="27" t="str">
        <f>IF(K1307="Not","No",IF(K1307="n/a","N/A",IF(K1307&gt;=$Y$3,"Yes","No")))</f>
        <v>No</v>
      </c>
      <c r="Q1307" s="27" t="s">
        <v>116</v>
      </c>
      <c r="R1307" s="27" t="str">
        <f>_xlfn.XLOOKUP("ppm",D1307:D1311,F1307:F1311,"N/A")</f>
        <v>No</v>
      </c>
      <c r="S1307" s="27" t="str">
        <f>IF(COUNTIF(O1307:O1309,"Yes"),"Yes","No")</f>
        <v>No</v>
      </c>
      <c r="U1307" s="27" t="s">
        <v>92</v>
      </c>
      <c r="V1307" s="27" t="s">
        <v>120</v>
      </c>
      <c r="W1307" s="27" t="s">
        <v>120</v>
      </c>
      <c r="X1307" s="27" t="str">
        <f>IF(V1307="N/A","N/A",IF(W1307="N/A", "N/A", IF(V1307=W1307, "Yes","No")))</f>
        <v>N/A</v>
      </c>
      <c r="AF1307" s="27" t="str">
        <f>IF(S1297="Yes","LSK-Dust","")</f>
        <v/>
      </c>
      <c r="AI1307" s="27">
        <f>COUNTIF(H1307:H1311,"Exterior")</f>
        <v>1</v>
      </c>
      <c r="AJ1307" s="27">
        <f>COUNTIF(H1307:H1311, "Interior")</f>
        <v>1</v>
      </c>
      <c r="AK1307" s="27">
        <f>COUNTIFS(D1307:D1311,"ppm")+COUNTIFS(D1307:D1311,"mg/Kg")</f>
        <v>1</v>
      </c>
      <c r="AL1307" s="27">
        <f>COUNTIF(D1307:D1311,"ug/ft2")</f>
        <v>1</v>
      </c>
    </row>
    <row r="1308" spans="1:38" x14ac:dyDescent="0.2">
      <c r="A1308" s="27" t="s">
        <v>317</v>
      </c>
      <c r="B1308" s="27" t="s">
        <v>69</v>
      </c>
      <c r="C1308" s="27" t="s">
        <v>397</v>
      </c>
      <c r="D1308" s="27" t="s">
        <v>12</v>
      </c>
      <c r="F1308" s="63" t="s">
        <v>9</v>
      </c>
      <c r="G1308" s="27" t="s">
        <v>9</v>
      </c>
      <c r="J1308" s="27" t="s">
        <v>11</v>
      </c>
      <c r="K1308" s="27">
        <v>12.3</v>
      </c>
      <c r="L1308" s="27" t="s">
        <v>12</v>
      </c>
      <c r="M1308" s="27" t="s">
        <v>67</v>
      </c>
      <c r="N1308" s="27" t="str">
        <f t="shared" ref="N1308:N1309" si="593">IF(K1308="N/A","No", IF(K1308&gt;1200,"Yes","No"))</f>
        <v>No</v>
      </c>
      <c r="O1308" s="27" t="str">
        <f t="shared" ref="O1308:O1309" si="594">IF(K1308="Not","No",IF(K1308="n/a","N/A",IF(K1308&gt;$Y$3,"Yes","No")))</f>
        <v>No</v>
      </c>
      <c r="Q1308" s="27" t="s">
        <v>98</v>
      </c>
      <c r="R1308" s="27" t="str">
        <f>_xlfn.XLOOKUP("mg/cm2",D1307:D1311,G1307:G1311,"N/A",1,-1)</f>
        <v>No</v>
      </c>
      <c r="S1308" s="27" t="str">
        <f>IF(COUNTIF(O1310:O1311,"Yes"),"Yes","No")</f>
        <v>No</v>
      </c>
      <c r="U1308" s="27" t="s">
        <v>95</v>
      </c>
      <c r="V1308" s="27" t="str">
        <f>R1307</f>
        <v>No</v>
      </c>
      <c r="W1308" s="27" t="str">
        <f>S1307</f>
        <v>No</v>
      </c>
      <c r="X1308" s="27" t="str">
        <f t="shared" ref="X1308:X1311" si="595">IF(V1308="N/A","N/A",IF(W1308="N/A", "N/A", IF(V1308=W1308, "Yes","No")))</f>
        <v>Yes</v>
      </c>
    </row>
    <row r="1309" spans="1:38" x14ac:dyDescent="0.2">
      <c r="A1309" s="27" t="s">
        <v>71</v>
      </c>
      <c r="B1309" s="27" t="s">
        <v>40</v>
      </c>
      <c r="C1309" s="27">
        <v>0</v>
      </c>
      <c r="D1309" s="27" t="s">
        <v>4</v>
      </c>
      <c r="F1309" s="27" t="str">
        <f t="shared" ref="F1309" si="596">IF(C1309&gt;=$W$2,"Yes","No")</f>
        <v>No</v>
      </c>
      <c r="G1309" s="27" t="s">
        <v>9</v>
      </c>
      <c r="H1309" s="27" t="s">
        <v>43</v>
      </c>
      <c r="J1309" s="27" t="s">
        <v>15</v>
      </c>
      <c r="K1309" s="27">
        <v>12.1</v>
      </c>
      <c r="L1309" s="27" t="s">
        <v>12</v>
      </c>
      <c r="M1309" s="27" t="s">
        <v>112</v>
      </c>
      <c r="N1309" s="27" t="str">
        <f t="shared" si="593"/>
        <v>No</v>
      </c>
      <c r="O1309" s="27" t="str">
        <f t="shared" si="594"/>
        <v>No</v>
      </c>
      <c r="Q1309" s="27" t="s">
        <v>117</v>
      </c>
      <c r="R1309" s="27" t="str">
        <f>_xlfn.XLOOKUP("ug/ft2",D1307:D1311,F1307:F1311,"N/A")</f>
        <v>No</v>
      </c>
      <c r="S1309" s="27" t="str">
        <f>IF(COUNTIF(O1312:O1315,"Yes"),"Yes","No")</f>
        <v>No</v>
      </c>
      <c r="U1309" s="27" t="s">
        <v>163</v>
      </c>
      <c r="V1309" s="27" t="s">
        <v>9</v>
      </c>
      <c r="W1309" s="27" t="str">
        <f>O1311</f>
        <v>No</v>
      </c>
      <c r="X1309" s="27" t="str">
        <f t="shared" si="595"/>
        <v>Yes</v>
      </c>
    </row>
    <row r="1310" spans="1:38" x14ac:dyDescent="0.2">
      <c r="A1310" s="27" t="s">
        <v>71</v>
      </c>
      <c r="B1310" s="27" t="s">
        <v>32</v>
      </c>
      <c r="C1310" s="27">
        <v>3</v>
      </c>
      <c r="D1310" s="27" t="s">
        <v>33</v>
      </c>
      <c r="F1310" s="27" t="str">
        <f t="shared" ref="F1310" si="597">IF(C1310&gt;$W$6,"Yes","No")</f>
        <v>No</v>
      </c>
      <c r="G1310" s="27" t="s">
        <v>9</v>
      </c>
      <c r="J1310" s="27" t="s">
        <v>19</v>
      </c>
      <c r="K1310" s="27">
        <v>186</v>
      </c>
      <c r="L1310" s="27" t="s">
        <v>12</v>
      </c>
      <c r="M1310" s="27" t="s">
        <v>46</v>
      </c>
      <c r="N1310" s="27" t="str">
        <f>IF(K1310="N/A","No", IF(K1310&gt;5000,"Yes","No"))</f>
        <v>No</v>
      </c>
      <c r="O1310" s="27" t="str">
        <f>IF(K1310="Not","No",IF(K1310="n/a","N/A",IF(K1310&gt;$Y$2,"Yes","No")))</f>
        <v>No</v>
      </c>
      <c r="Q1310" s="27" t="s">
        <v>118</v>
      </c>
      <c r="R1310" s="27" t="str">
        <f>IF(COUNTIF(R1307:R1309,"Yes"),"Yes","No")</f>
        <v>No</v>
      </c>
      <c r="S1310" s="27" t="str">
        <f>IF(COUNTIF(S1307:S1309,"Yes"),"Yes","No")</f>
        <v>No</v>
      </c>
      <c r="U1310" s="27" t="s">
        <v>164</v>
      </c>
      <c r="V1310" s="27" t="s">
        <v>9</v>
      </c>
      <c r="W1310" s="27" t="str">
        <f>O1310</f>
        <v>No</v>
      </c>
      <c r="X1310" s="27" t="str">
        <f t="shared" si="595"/>
        <v>Yes</v>
      </c>
    </row>
    <row r="1311" spans="1:38" x14ac:dyDescent="0.2">
      <c r="A1311" s="27" t="s">
        <v>73</v>
      </c>
      <c r="B1311" s="27" t="s">
        <v>56</v>
      </c>
      <c r="C1311" s="27">
        <v>0.02</v>
      </c>
      <c r="D1311" s="27" t="s">
        <v>4</v>
      </c>
      <c r="F1311" s="27" t="str">
        <f t="shared" si="592"/>
        <v>No</v>
      </c>
      <c r="G1311" s="27" t="s">
        <v>9</v>
      </c>
      <c r="J1311" s="27" t="s">
        <v>22</v>
      </c>
      <c r="K1311" s="27">
        <v>2.5</v>
      </c>
      <c r="L1311" s="27" t="s">
        <v>12</v>
      </c>
      <c r="M1311" s="27" t="s">
        <v>43</v>
      </c>
      <c r="N1311" s="27" t="str">
        <f>IF(K1311="N/A","No", IF(K1311&gt;5000,"Yes","No"))</f>
        <v>No</v>
      </c>
      <c r="O1311" s="27" t="str">
        <f>IF(K1311="Not","No",IF(K1311="n/a","N/A",IF(K1311&gt;$Y$2,"Yes","No")))</f>
        <v>No</v>
      </c>
      <c r="U1311" s="27" t="s">
        <v>162</v>
      </c>
      <c r="V1311" s="27" t="str">
        <f>R1308</f>
        <v>No</v>
      </c>
      <c r="W1311" s="27" t="str">
        <f>S1308</f>
        <v>No</v>
      </c>
      <c r="X1311" s="27" t="str">
        <f t="shared" si="595"/>
        <v>Yes</v>
      </c>
    </row>
    <row r="1312" spans="1:38" x14ac:dyDescent="0.2">
      <c r="J1312" s="27" t="s">
        <v>25</v>
      </c>
      <c r="K1312" s="27">
        <v>6</v>
      </c>
      <c r="L1312" s="27" t="s">
        <v>12</v>
      </c>
      <c r="M1312" s="27" t="s">
        <v>126</v>
      </c>
      <c r="N1312" s="27" t="str">
        <f>IF(K1312="N/A","No", IF(K1312&gt;=20,"Yes","No"))</f>
        <v>No</v>
      </c>
      <c r="O1312" s="27" t="str">
        <f>IF(K1312="Not","No",IF(K1312="n/a","N/A",IF(K1312&gt;=$Y$6,"Yes","No")))</f>
        <v>No</v>
      </c>
      <c r="U1312" s="27" t="s">
        <v>101</v>
      </c>
      <c r="V1312" s="27" t="s">
        <v>9</v>
      </c>
      <c r="W1312" s="27" t="s">
        <v>9</v>
      </c>
      <c r="X1312" s="27" t="str">
        <f>IF(V1312="N/A","N/A",IF(W1312="N/A", "N/A", IF(V1312=W1312, "Yes","No")))</f>
        <v>Yes</v>
      </c>
    </row>
    <row r="1313" spans="1:38" x14ac:dyDescent="0.2">
      <c r="J1313" s="27" t="s">
        <v>29</v>
      </c>
      <c r="K1313" s="27">
        <v>2.5</v>
      </c>
      <c r="L1313" s="27" t="s">
        <v>12</v>
      </c>
      <c r="M1313" s="27" t="s">
        <v>222</v>
      </c>
      <c r="N1313" s="27" t="str">
        <f>IF(K1313="N/A","No", IF(K1313&gt;20,"Yes","No"))</f>
        <v>No</v>
      </c>
      <c r="O1313" s="27" t="str">
        <f t="shared" ref="O1313" si="598">IF(K1313="Not","No",IF(K1313="n/a","N/A",IF(K1313&gt;$Y$6,"Yes","No")))</f>
        <v>No</v>
      </c>
      <c r="U1313" s="27" t="s">
        <v>104</v>
      </c>
      <c r="V1313" s="27" t="s">
        <v>120</v>
      </c>
      <c r="W1313" s="27" t="str">
        <f>O1314</f>
        <v>No</v>
      </c>
      <c r="X1313" s="27" t="str">
        <f>IF(V1313="N/A","N/A",IF(W1313="N/A", "N/A", IF(V1313=W1313, "Yes","No")))</f>
        <v>N/A</v>
      </c>
    </row>
    <row r="1314" spans="1:38" x14ac:dyDescent="0.2">
      <c r="J1314" s="27" t="s">
        <v>34</v>
      </c>
      <c r="K1314" s="27">
        <v>2.5</v>
      </c>
      <c r="L1314" s="27" t="s">
        <v>12</v>
      </c>
      <c r="M1314" s="27" t="s">
        <v>210</v>
      </c>
      <c r="N1314" s="27" t="str">
        <f>IF(K1314="N/A","No", IF(K1314&gt;230,"Yes","No"))</f>
        <v>No</v>
      </c>
      <c r="O1314" s="27" t="str">
        <f>IF(K1314="Not","No",IF(K1314="n/a","N/A",IF(K1314&gt;$Y$5,"Yes","No")))</f>
        <v>No</v>
      </c>
      <c r="U1314" s="27" t="s">
        <v>106</v>
      </c>
      <c r="V1314" s="27" t="str">
        <f>R1309</f>
        <v>No</v>
      </c>
      <c r="W1314" s="27" t="str">
        <f>S1309</f>
        <v>No</v>
      </c>
      <c r="X1314" s="27" t="str">
        <f>IF(V1314="N/A","N/A",IF(W1314="N/A", "N/A", IF(V1314=W1314, "Yes","No")))</f>
        <v>Yes</v>
      </c>
    </row>
    <row r="1315" spans="1:38" x14ac:dyDescent="0.2">
      <c r="J1315" s="27" t="s">
        <v>208</v>
      </c>
      <c r="K1315" s="27">
        <v>20.6</v>
      </c>
      <c r="L1315" s="27" t="s">
        <v>12</v>
      </c>
      <c r="M1315" s="27" t="s">
        <v>223</v>
      </c>
      <c r="N1315" s="27" t="str">
        <f>IF(K1315="N/A","No", IF(K1315&gt;20,"Yes","No"))</f>
        <v>Yes</v>
      </c>
      <c r="O1315" s="27" t="str">
        <f>IF(K1315="Not","No",IF(K1315="n/a","N/A",IF(K1315&gt;$Y$7,"Yes","No")))</f>
        <v>No</v>
      </c>
      <c r="U1315" s="27" t="s">
        <v>121</v>
      </c>
      <c r="V1315" s="27" t="str">
        <f>R1310</f>
        <v>No</v>
      </c>
      <c r="W1315" s="27" t="str">
        <f>S1310</f>
        <v>No</v>
      </c>
      <c r="X1315" s="27" t="str">
        <f>IF(V1315="N/A","N/A",IF(W1315="N/A", "N/A", IF(V1315=W1315, "Yes","No")))</f>
        <v>Yes</v>
      </c>
    </row>
    <row r="1317" spans="1:38" x14ac:dyDescent="0.2">
      <c r="A1317" s="27">
        <v>1517</v>
      </c>
      <c r="B1317" s="27" t="s">
        <v>111</v>
      </c>
      <c r="C1317" s="27">
        <v>88</v>
      </c>
    </row>
    <row r="1318" spans="1:38" x14ac:dyDescent="0.2">
      <c r="A1318" s="59" t="s">
        <v>0</v>
      </c>
      <c r="E1318" s="27" t="s">
        <v>274</v>
      </c>
      <c r="F1318" s="27" t="s">
        <v>275</v>
      </c>
      <c r="G1318" s="27" t="s">
        <v>119</v>
      </c>
      <c r="J1318" s="59" t="s">
        <v>1</v>
      </c>
      <c r="N1318" s="27" t="s">
        <v>277</v>
      </c>
      <c r="O1318" s="27" t="s">
        <v>278</v>
      </c>
      <c r="Q1318" s="59" t="s">
        <v>115</v>
      </c>
      <c r="R1318" s="59" t="s">
        <v>0</v>
      </c>
      <c r="S1318" s="59" t="s">
        <v>1</v>
      </c>
      <c r="U1318" s="59" t="s">
        <v>115</v>
      </c>
      <c r="V1318" s="59" t="s">
        <v>0</v>
      </c>
      <c r="W1318" s="59" t="s">
        <v>1</v>
      </c>
      <c r="X1318" s="59" t="s">
        <v>122</v>
      </c>
      <c r="AA1318" s="27" t="str">
        <f>IF(R1319="Yes","LRA-Soil","")</f>
        <v/>
      </c>
      <c r="AB1318" s="27" t="str">
        <f>IF(R1320="Yes","LRA-Paint","")</f>
        <v/>
      </c>
      <c r="AC1318" s="27" t="str">
        <f>IF(R1321="Yes","LRA-Dust","")</f>
        <v/>
      </c>
      <c r="AD1318" s="27" t="str">
        <f>IF(S1319="Yes","LSK-Soil","")</f>
        <v/>
      </c>
      <c r="AE1318" s="27" t="str">
        <f>IF(S1320="Yes","LSK-Paint","")</f>
        <v/>
      </c>
      <c r="AF1318" s="27" t="str">
        <f>IF(S1321="Yes","LSK-Dust","")</f>
        <v/>
      </c>
      <c r="AI1318" s="27" t="s">
        <v>46</v>
      </c>
      <c r="AJ1318" s="27" t="s">
        <v>43</v>
      </c>
      <c r="AK1318" s="27" t="s">
        <v>116</v>
      </c>
      <c r="AL1318" s="27" t="s">
        <v>117</v>
      </c>
    </row>
    <row r="1319" spans="1:38" x14ac:dyDescent="0.2">
      <c r="A1319" s="27" t="s">
        <v>235</v>
      </c>
      <c r="B1319" s="27" t="s">
        <v>221</v>
      </c>
      <c r="C1319" s="27">
        <v>1.5</v>
      </c>
      <c r="D1319" s="27" t="s">
        <v>4</v>
      </c>
      <c r="E1319" s="27" t="s">
        <v>5</v>
      </c>
      <c r="F1319" s="27" t="str">
        <f t="shared" ref="F1319" si="599">IF(C1319&gt;=$W$2,"Yes","No")</f>
        <v>Yes</v>
      </c>
      <c r="G1319" s="27" t="s">
        <v>9</v>
      </c>
      <c r="H1319" s="27" t="s">
        <v>46</v>
      </c>
      <c r="J1319" s="27" t="s">
        <v>6</v>
      </c>
      <c r="K1319" s="27">
        <v>36.700000000000003</v>
      </c>
      <c r="L1319" s="27" t="s">
        <v>12</v>
      </c>
      <c r="M1319" s="27" t="s">
        <v>114</v>
      </c>
      <c r="N1319" s="27" t="str">
        <f>IF(K1319="N/A","No", IF(K1319&gt;1200,"Yes","No"))</f>
        <v>No</v>
      </c>
      <c r="O1319" s="27" t="str">
        <f>IF(K1319="Not","No",IF(K1319="n/a","N/A",IF(K1319&gt;=$Y$3,"Yes","No")))</f>
        <v>No</v>
      </c>
      <c r="Q1319" s="27" t="s">
        <v>116</v>
      </c>
      <c r="R1319" s="27" t="str">
        <f>_xlfn.XLOOKUP("ppm",D1319:D1323,F1319:F1323,"N/A")</f>
        <v>No</v>
      </c>
      <c r="S1319" s="27" t="str">
        <f>IF(COUNTIF(O1319:O1321,"Yes"),"Yes","No")</f>
        <v>No</v>
      </c>
      <c r="U1319" s="27" t="s">
        <v>92</v>
      </c>
      <c r="V1319" s="27" t="s">
        <v>120</v>
      </c>
      <c r="W1319" s="27" t="s">
        <v>120</v>
      </c>
      <c r="X1319" s="27" t="str">
        <f>IF(V1319="N/A","N/A",IF(W1319="N/A", "N/A", IF(V1319=W1319, "Yes","No")))</f>
        <v>N/A</v>
      </c>
      <c r="AF1319" s="27" t="str">
        <f>IF(S1309="Yes","LSK-Dust","")</f>
        <v/>
      </c>
      <c r="AI1319" s="27">
        <f>COUNTIF(H1319:H1323,"Exterior")</f>
        <v>1</v>
      </c>
      <c r="AJ1319" s="27">
        <f>COUNTIF(H1319:H1323, "Interior")</f>
        <v>2</v>
      </c>
      <c r="AK1319" s="27">
        <f>COUNTIFS(D1319:D1323,"ppm")+COUNTIFS(D1319:D1323,"mg/Kg")</f>
        <v>1</v>
      </c>
      <c r="AL1319" s="27">
        <f>COUNTIF(D1319:D1323,"ug/ft2")</f>
        <v>1</v>
      </c>
    </row>
    <row r="1320" spans="1:38" x14ac:dyDescent="0.2">
      <c r="A1320" s="27" t="s">
        <v>187</v>
      </c>
      <c r="B1320" s="27" t="s">
        <v>294</v>
      </c>
      <c r="C1320" s="27">
        <v>93</v>
      </c>
      <c r="D1320" s="27" t="s">
        <v>12</v>
      </c>
      <c r="E1320" s="27" t="s">
        <v>9</v>
      </c>
      <c r="F1320" s="27" t="str">
        <f t="shared" ref="F1320" si="600">IF(C1320&gt;$W$3,"Yes","No")</f>
        <v>No</v>
      </c>
      <c r="G1320" s="27" t="s">
        <v>9</v>
      </c>
      <c r="J1320" s="27" t="s">
        <v>11</v>
      </c>
      <c r="K1320" s="27">
        <v>21.2</v>
      </c>
      <c r="L1320" s="27" t="s">
        <v>12</v>
      </c>
      <c r="M1320" s="27" t="s">
        <v>67</v>
      </c>
      <c r="N1320" s="27" t="str">
        <f t="shared" ref="N1320:N1321" si="601">IF(K1320="N/A","No", IF(K1320&gt;1200,"Yes","No"))</f>
        <v>No</v>
      </c>
      <c r="O1320" s="27" t="str">
        <f t="shared" ref="O1320:O1321" si="602">IF(K1320="Not","No",IF(K1320="n/a","N/A",IF(K1320&gt;$Y$3,"Yes","No")))</f>
        <v>No</v>
      </c>
      <c r="Q1320" s="27" t="s">
        <v>98</v>
      </c>
      <c r="R1320" s="27" t="str">
        <f>_xlfn.XLOOKUP("mg/cm2",D1319:D1323,G1319:G1323,"N/A",1,-1)</f>
        <v>No</v>
      </c>
      <c r="S1320" s="27" t="str">
        <f>IF(COUNTIF(O1322:O1323,"Yes"),"Yes","No")</f>
        <v>No</v>
      </c>
      <c r="U1320" s="27" t="s">
        <v>95</v>
      </c>
      <c r="V1320" s="27" t="str">
        <f>R1319</f>
        <v>No</v>
      </c>
      <c r="W1320" s="27" t="str">
        <f>S1319</f>
        <v>No</v>
      </c>
      <c r="X1320" s="27" t="str">
        <f t="shared" ref="X1320:X1323" si="603">IF(V1320="N/A","N/A",IF(W1320="N/A", "N/A", IF(V1320=W1320, "Yes","No")))</f>
        <v>Yes</v>
      </c>
    </row>
    <row r="1321" spans="1:38" x14ac:dyDescent="0.2">
      <c r="A1321" s="27" t="s">
        <v>287</v>
      </c>
      <c r="B1321" s="27" t="s">
        <v>236</v>
      </c>
      <c r="C1321" s="27">
        <v>1.2</v>
      </c>
      <c r="D1321" s="27" t="s">
        <v>4</v>
      </c>
      <c r="E1321" s="27" t="s">
        <v>5</v>
      </c>
      <c r="F1321" s="27" t="str">
        <f t="shared" ref="F1321:F1322" si="604">IF(C1321&gt;=$W$2,"Yes","No")</f>
        <v>Yes</v>
      </c>
      <c r="G1321" s="27" t="s">
        <v>5</v>
      </c>
      <c r="H1321" s="27" t="s">
        <v>43</v>
      </c>
      <c r="J1321" s="27" t="s">
        <v>15</v>
      </c>
      <c r="K1321" s="27">
        <v>85</v>
      </c>
      <c r="L1321" s="27" t="s">
        <v>12</v>
      </c>
      <c r="M1321" s="27" t="s">
        <v>112</v>
      </c>
      <c r="N1321" s="27" t="str">
        <f t="shared" si="601"/>
        <v>No</v>
      </c>
      <c r="O1321" s="27" t="str">
        <f t="shared" si="602"/>
        <v>No</v>
      </c>
      <c r="Q1321" s="27" t="s">
        <v>117</v>
      </c>
      <c r="R1321" s="27" t="str">
        <f>_xlfn.XLOOKUP("ug/ft2",D1319:D1323,F1319:F1323,"N/A")</f>
        <v>No</v>
      </c>
      <c r="S1321" s="27" t="str">
        <f>IF(COUNTIF(O1324:O1327,"Yes"),"Yes","No")</f>
        <v>No</v>
      </c>
      <c r="U1321" s="27" t="s">
        <v>163</v>
      </c>
      <c r="V1321" s="27" t="s">
        <v>5</v>
      </c>
      <c r="W1321" s="27" t="str">
        <f>O1323</f>
        <v>No</v>
      </c>
      <c r="X1321" s="27" t="str">
        <f t="shared" si="603"/>
        <v>No</v>
      </c>
    </row>
    <row r="1322" spans="1:38" x14ac:dyDescent="0.2">
      <c r="A1322" s="27" t="s">
        <v>201</v>
      </c>
      <c r="B1322" s="27" t="s">
        <v>189</v>
      </c>
      <c r="C1322" s="27">
        <v>0.02</v>
      </c>
      <c r="D1322" s="27" t="s">
        <v>4</v>
      </c>
      <c r="E1322" s="27" t="s">
        <v>9</v>
      </c>
      <c r="F1322" s="27" t="str">
        <f t="shared" si="604"/>
        <v>No</v>
      </c>
      <c r="G1322" s="27" t="s">
        <v>9</v>
      </c>
      <c r="H1322" s="27" t="s">
        <v>43</v>
      </c>
      <c r="J1322" s="27" t="s">
        <v>19</v>
      </c>
      <c r="K1322" s="27">
        <v>2.5</v>
      </c>
      <c r="L1322" s="27" t="s">
        <v>12</v>
      </c>
      <c r="M1322" s="27" t="s">
        <v>46</v>
      </c>
      <c r="N1322" s="27" t="str">
        <f>IF(K1322="N/A","No", IF(K1322&gt;5000,"Yes","No"))</f>
        <v>No</v>
      </c>
      <c r="O1322" s="27" t="str">
        <f>IF(K1322="Not","No",IF(K1322="n/a","N/A",IF(K1322&gt;$Y$2,"Yes","No")))</f>
        <v>No</v>
      </c>
      <c r="Q1322" s="27" t="s">
        <v>118</v>
      </c>
      <c r="R1322" s="27" t="str">
        <f>IF(COUNTIF(R1319:R1321,"Yes"),"Yes","No")</f>
        <v>No</v>
      </c>
      <c r="S1322" s="27" t="str">
        <f>IF(COUNTIF(S1319:S1321,"Yes"),"Yes","No")</f>
        <v>No</v>
      </c>
      <c r="U1322" s="27" t="s">
        <v>164</v>
      </c>
      <c r="V1322" s="27" t="s">
        <v>9</v>
      </c>
      <c r="W1322" s="27" t="str">
        <f>O1322</f>
        <v>No</v>
      </c>
      <c r="X1322" s="27" t="str">
        <f t="shared" si="603"/>
        <v>Yes</v>
      </c>
    </row>
    <row r="1323" spans="1:38" x14ac:dyDescent="0.2">
      <c r="A1323" s="27" t="s">
        <v>293</v>
      </c>
      <c r="B1323" s="27" t="s">
        <v>214</v>
      </c>
      <c r="C1323" s="27">
        <v>9.5</v>
      </c>
      <c r="D1323" s="27" t="s">
        <v>33</v>
      </c>
      <c r="E1323" s="27" t="s">
        <v>310</v>
      </c>
      <c r="F1323" s="27" t="str">
        <f t="shared" ref="F1323" si="605">IF(C1323&gt;$W$6,"Yes","No")</f>
        <v>No</v>
      </c>
      <c r="G1323" s="57" t="s">
        <v>5</v>
      </c>
      <c r="J1323" s="27" t="s">
        <v>22</v>
      </c>
      <c r="K1323" s="27">
        <v>139</v>
      </c>
      <c r="L1323" s="27" t="s">
        <v>12</v>
      </c>
      <c r="M1323" s="27" t="s">
        <v>43</v>
      </c>
      <c r="N1323" s="27" t="str">
        <f>IF(K1323="N/A","No", IF(K1323&gt;5000,"Yes","No"))</f>
        <v>No</v>
      </c>
      <c r="O1323" s="27" t="str">
        <f>IF(K1323="Not","No",IF(K1323="n/a","N/A",IF(K1323&gt;$Y$2,"Yes","No")))</f>
        <v>No</v>
      </c>
      <c r="U1323" s="27" t="s">
        <v>162</v>
      </c>
      <c r="V1323" s="27" t="str">
        <f>R1320</f>
        <v>No</v>
      </c>
      <c r="W1323" s="27" t="str">
        <f>S1320</f>
        <v>No</v>
      </c>
      <c r="X1323" s="27" t="str">
        <f t="shared" si="603"/>
        <v>Yes</v>
      </c>
    </row>
    <row r="1324" spans="1:38" x14ac:dyDescent="0.2">
      <c r="J1324" s="27" t="s">
        <v>25</v>
      </c>
      <c r="K1324" s="27">
        <v>2.5</v>
      </c>
      <c r="L1324" s="27" t="s">
        <v>12</v>
      </c>
      <c r="M1324" s="27" t="s">
        <v>126</v>
      </c>
      <c r="N1324" s="27" t="str">
        <f>IF(K1324="N/A","No", IF(K1324&gt;=20,"Yes","No"))</f>
        <v>No</v>
      </c>
      <c r="O1324" s="27" t="str">
        <f>IF(K1324="Not","No",IF(K1324="n/a","N/A",IF(K1324&gt;=$Y$6,"Yes","No")))</f>
        <v>No</v>
      </c>
      <c r="U1324" s="27" t="s">
        <v>101</v>
      </c>
      <c r="V1324" s="27" t="s">
        <v>9</v>
      </c>
      <c r="W1324" s="27" t="s">
        <v>9</v>
      </c>
      <c r="X1324" s="27" t="str">
        <f>IF(V1324="N/A","N/A",IF(W1324="N/A", "N/A", IF(V1324=W1324, "Yes","No")))</f>
        <v>Yes</v>
      </c>
    </row>
    <row r="1325" spans="1:38" x14ac:dyDescent="0.2">
      <c r="J1325" s="27" t="s">
        <v>29</v>
      </c>
      <c r="K1325" s="27">
        <v>2.5</v>
      </c>
      <c r="L1325" s="27" t="s">
        <v>12</v>
      </c>
      <c r="M1325" s="27" t="s">
        <v>222</v>
      </c>
      <c r="N1325" s="27" t="str">
        <f>IF(K1325="N/A","No", IF(K1325&gt;20,"Yes","No"))</f>
        <v>No</v>
      </c>
      <c r="O1325" s="27" t="str">
        <f t="shared" ref="O1325" si="606">IF(K1325="Not","No",IF(K1325="n/a","N/A",IF(K1325&gt;$Y$6,"Yes","No")))</f>
        <v>No</v>
      </c>
      <c r="U1325" s="27" t="s">
        <v>104</v>
      </c>
      <c r="V1325" s="27" t="s">
        <v>120</v>
      </c>
      <c r="W1325" s="27" t="str">
        <f>O1326</f>
        <v>No</v>
      </c>
      <c r="X1325" s="27" t="str">
        <f>IF(V1325="N/A","N/A",IF(W1325="N/A", "N/A", IF(V1325=W1325, "Yes","No")))</f>
        <v>N/A</v>
      </c>
    </row>
    <row r="1326" spans="1:38" x14ac:dyDescent="0.2">
      <c r="J1326" s="27" t="s">
        <v>34</v>
      </c>
      <c r="K1326" s="27">
        <v>2.5</v>
      </c>
      <c r="L1326" s="27" t="s">
        <v>12</v>
      </c>
      <c r="M1326" s="27" t="s">
        <v>210</v>
      </c>
      <c r="N1326" s="27" t="str">
        <f>IF(K1326="N/A","No", IF(K1326&gt;230,"Yes","No"))</f>
        <v>No</v>
      </c>
      <c r="O1326" s="27" t="str">
        <f>IF(K1326="Not","No",IF(K1326="n/a","N/A",IF(K1326&gt;$Y$5,"Yes","No")))</f>
        <v>No</v>
      </c>
      <c r="U1326" s="27" t="s">
        <v>106</v>
      </c>
      <c r="V1326" s="27" t="str">
        <f>R1321</f>
        <v>No</v>
      </c>
      <c r="W1326" s="27" t="str">
        <f>S1321</f>
        <v>No</v>
      </c>
      <c r="X1326" s="27" t="str">
        <f>IF(V1326="N/A","N/A",IF(W1326="N/A", "N/A", IF(V1326=W1326, "Yes","No")))</f>
        <v>Yes</v>
      </c>
    </row>
    <row r="1327" spans="1:38" x14ac:dyDescent="0.2">
      <c r="J1327" s="27" t="s">
        <v>208</v>
      </c>
      <c r="K1327" s="27">
        <v>34</v>
      </c>
      <c r="L1327" s="27" t="s">
        <v>12</v>
      </c>
      <c r="M1327" s="27" t="s">
        <v>223</v>
      </c>
      <c r="N1327" s="27" t="str">
        <f>IF(K1327="N/A","No", IF(K1327&gt;20,"Yes","No"))</f>
        <v>Yes</v>
      </c>
      <c r="O1327" s="27" t="str">
        <f>IF(K1327="Not","No",IF(K1327="n/a","N/A",IF(K1327&gt;$Y$7,"Yes","No")))</f>
        <v>No</v>
      </c>
      <c r="U1327" s="27" t="s">
        <v>121</v>
      </c>
      <c r="V1327" s="27" t="str">
        <f>R1322</f>
        <v>No</v>
      </c>
      <c r="W1327" s="27" t="str">
        <f>S1322</f>
        <v>No</v>
      </c>
      <c r="X1327" s="27" t="str">
        <f>IF(V1327="N/A","N/A",IF(W1327="N/A", "N/A", IF(V1327=W1327, "Yes","No")))</f>
        <v>Yes</v>
      </c>
    </row>
    <row r="1329" spans="1:38" x14ac:dyDescent="0.2">
      <c r="A1329" s="27">
        <v>1519</v>
      </c>
      <c r="B1329" s="27" t="s">
        <v>111</v>
      </c>
      <c r="C1329" s="27">
        <v>89</v>
      </c>
    </row>
    <row r="1330" spans="1:38" x14ac:dyDescent="0.2">
      <c r="A1330" s="59" t="s">
        <v>0</v>
      </c>
      <c r="E1330" s="27" t="s">
        <v>274</v>
      </c>
      <c r="F1330" s="27" t="s">
        <v>275</v>
      </c>
      <c r="G1330" s="27" t="s">
        <v>119</v>
      </c>
      <c r="J1330" s="59" t="s">
        <v>1</v>
      </c>
      <c r="N1330" s="27" t="s">
        <v>277</v>
      </c>
      <c r="O1330" s="27" t="s">
        <v>278</v>
      </c>
      <c r="Q1330" s="59" t="s">
        <v>115</v>
      </c>
      <c r="R1330" s="59" t="s">
        <v>0</v>
      </c>
      <c r="S1330" s="59" t="s">
        <v>1</v>
      </c>
      <c r="U1330" s="59" t="s">
        <v>115</v>
      </c>
      <c r="V1330" s="59" t="s">
        <v>0</v>
      </c>
      <c r="W1330" s="59" t="s">
        <v>1</v>
      </c>
      <c r="X1330" s="59" t="s">
        <v>122</v>
      </c>
      <c r="AA1330" s="27" t="str">
        <f>IF(R1331="Yes","LRA-Soil","")</f>
        <v/>
      </c>
      <c r="AB1330" s="27" t="str">
        <f>IF(R1332="Yes","LRA-Paint","")</f>
        <v/>
      </c>
      <c r="AC1330" s="27" t="str">
        <f>IF(R1333="Yes","LRA-Dust","")</f>
        <v/>
      </c>
      <c r="AD1330" s="27" t="str">
        <f>IF(S1331="Yes","LSK-Soil","")</f>
        <v/>
      </c>
      <c r="AE1330" s="27" t="str">
        <f>IF(S1332="Yes","LSK-Paint","")</f>
        <v/>
      </c>
      <c r="AF1330" s="27" t="str">
        <f>IF(S1333="Yes","LSK-Dust","")</f>
        <v/>
      </c>
      <c r="AI1330" s="27" t="s">
        <v>46</v>
      </c>
      <c r="AJ1330" s="27" t="s">
        <v>43</v>
      </c>
      <c r="AK1330" s="27" t="s">
        <v>116</v>
      </c>
      <c r="AL1330" s="27" t="s">
        <v>117</v>
      </c>
    </row>
    <row r="1331" spans="1:38" x14ac:dyDescent="0.2">
      <c r="A1331" s="27" t="s">
        <v>63</v>
      </c>
      <c r="B1331" s="27" t="s">
        <v>3</v>
      </c>
      <c r="C1331" s="27">
        <v>0</v>
      </c>
      <c r="D1331" s="27" t="s">
        <v>4</v>
      </c>
      <c r="F1331" s="27" t="str">
        <f t="shared" ref="F1331" si="607">IF(C1331&gt;=$W$2,"Yes","No")</f>
        <v>No</v>
      </c>
      <c r="G1331" s="27" t="s">
        <v>9</v>
      </c>
      <c r="H1331" s="27" t="s">
        <v>46</v>
      </c>
      <c r="J1331" s="27" t="s">
        <v>6</v>
      </c>
      <c r="K1331" s="27">
        <v>24.9</v>
      </c>
      <c r="L1331" s="27" t="s">
        <v>12</v>
      </c>
      <c r="M1331" s="27" t="s">
        <v>114</v>
      </c>
      <c r="N1331" s="27" t="str">
        <f>IF(K1331="N/A","No", IF(K1331&gt;1200,"Yes","No"))</f>
        <v>No</v>
      </c>
      <c r="O1331" s="27" t="str">
        <f>IF(K1331="Not","No",IF(K1331="n/a","N/A",IF(K1331&gt;=$Y$3,"Yes","No")))</f>
        <v>No</v>
      </c>
      <c r="Q1331" s="27" t="s">
        <v>116</v>
      </c>
      <c r="R1331" s="27" t="str">
        <f>_xlfn.XLOOKUP("ppm",D1331:D1335,F1331:F1335,"N/A")</f>
        <v>No</v>
      </c>
      <c r="S1331" s="27" t="str">
        <f>IF(COUNTIF(O1331:O1333,"Yes"),"Yes","No")</f>
        <v>No</v>
      </c>
      <c r="U1331" s="27" t="s">
        <v>92</v>
      </c>
      <c r="V1331" s="27" t="s">
        <v>120</v>
      </c>
      <c r="W1331" s="27" t="s">
        <v>120</v>
      </c>
      <c r="X1331" s="27" t="str">
        <f>IF(V1331="N/A","N/A",IF(W1331="N/A", "N/A", IF(V1331=W1331, "Yes","No")))</f>
        <v>N/A</v>
      </c>
      <c r="AF1331" s="27" t="str">
        <f>IF(S1321="Yes","LSK-Dust","")</f>
        <v/>
      </c>
      <c r="AI1331" s="27">
        <f>COUNTIF(H1331:H1335,"Exterior")</f>
        <v>1</v>
      </c>
      <c r="AJ1331" s="27">
        <f>COUNTIF(H1331:H1335, "Interior")</f>
        <v>1</v>
      </c>
      <c r="AK1331" s="27">
        <f>COUNTIFS(D1331:D1335,"ppm")+COUNTIFS(D1331:D1335,"mg/Kg")</f>
        <v>1</v>
      </c>
      <c r="AL1331" s="27">
        <f>COUNTIF(D1331:D1335,"ug/ft2")</f>
        <v>1</v>
      </c>
    </row>
    <row r="1332" spans="1:38" x14ac:dyDescent="0.2">
      <c r="A1332" s="27" t="s">
        <v>83</v>
      </c>
      <c r="B1332" s="27" t="s">
        <v>69</v>
      </c>
      <c r="C1332" s="27" t="s">
        <v>397</v>
      </c>
      <c r="D1332" s="27" t="s">
        <v>12</v>
      </c>
      <c r="F1332" s="63" t="s">
        <v>9</v>
      </c>
      <c r="G1332" s="27" t="s">
        <v>9</v>
      </c>
      <c r="J1332" s="27" t="s">
        <v>11</v>
      </c>
      <c r="K1332" s="27">
        <v>25.6</v>
      </c>
      <c r="L1332" s="27" t="s">
        <v>12</v>
      </c>
      <c r="M1332" s="27" t="s">
        <v>67</v>
      </c>
      <c r="N1332" s="27" t="str">
        <f t="shared" ref="N1332:N1333" si="608">IF(K1332="N/A","No", IF(K1332&gt;1200,"Yes","No"))</f>
        <v>No</v>
      </c>
      <c r="O1332" s="27" t="str">
        <f t="shared" ref="O1332:O1333" si="609">IF(K1332="Not","No",IF(K1332="n/a","N/A",IF(K1332&gt;$Y$3,"Yes","No")))</f>
        <v>No</v>
      </c>
      <c r="Q1332" s="27" t="s">
        <v>98</v>
      </c>
      <c r="R1332" s="27" t="str">
        <f>_xlfn.XLOOKUP("mg/cm2",D1331:D1335,G1331:G1335,"N/A",1,-1)</f>
        <v>No</v>
      </c>
      <c r="S1332" s="27" t="str">
        <f>IF(COUNTIF(O1334:O1335,"Yes"),"Yes","No")</f>
        <v>No</v>
      </c>
      <c r="U1332" s="27" t="s">
        <v>95</v>
      </c>
      <c r="V1332" s="27" t="str">
        <f>R1331</f>
        <v>No</v>
      </c>
      <c r="W1332" s="27" t="str">
        <f>S1331</f>
        <v>No</v>
      </c>
      <c r="X1332" s="27" t="str">
        <f t="shared" ref="X1332:X1335" si="610">IF(V1332="N/A","N/A",IF(W1332="N/A", "N/A", IF(V1332=W1332, "Yes","No")))</f>
        <v>Yes</v>
      </c>
    </row>
    <row r="1333" spans="1:38" x14ac:dyDescent="0.2">
      <c r="A1333" s="27" t="s">
        <v>71</v>
      </c>
      <c r="B1333" s="27" t="s">
        <v>40</v>
      </c>
      <c r="C1333" s="27">
        <v>0</v>
      </c>
      <c r="D1333" s="27" t="s">
        <v>4</v>
      </c>
      <c r="F1333" s="27" t="str">
        <f t="shared" ref="F1333" si="611">IF(C1333&gt;=$W$2,"Yes","No")</f>
        <v>No</v>
      </c>
      <c r="G1333" s="27" t="s">
        <v>9</v>
      </c>
      <c r="H1333" s="27" t="s">
        <v>43</v>
      </c>
      <c r="J1333" s="27" t="s">
        <v>15</v>
      </c>
      <c r="K1333" s="27">
        <v>17.7</v>
      </c>
      <c r="L1333" s="27" t="s">
        <v>12</v>
      </c>
      <c r="M1333" s="27" t="s">
        <v>112</v>
      </c>
      <c r="N1333" s="27" t="str">
        <f t="shared" si="608"/>
        <v>No</v>
      </c>
      <c r="O1333" s="27" t="str">
        <f t="shared" si="609"/>
        <v>No</v>
      </c>
      <c r="Q1333" s="27" t="s">
        <v>117</v>
      </c>
      <c r="R1333" s="27" t="str">
        <f>_xlfn.XLOOKUP("ug/ft2",D1331:D1335,F1331:F1335,"N/A")</f>
        <v>No</v>
      </c>
      <c r="S1333" s="27" t="str">
        <f>IF(COUNTIF(O1336:O1339,"Yes"),"Yes","No")</f>
        <v>No</v>
      </c>
      <c r="U1333" s="27" t="s">
        <v>163</v>
      </c>
      <c r="V1333" s="27" t="s">
        <v>9</v>
      </c>
      <c r="W1333" s="27" t="str">
        <f>O1335</f>
        <v>No</v>
      </c>
      <c r="X1333" s="27" t="str">
        <f t="shared" si="610"/>
        <v>Yes</v>
      </c>
    </row>
    <row r="1334" spans="1:38" x14ac:dyDescent="0.2">
      <c r="A1334" s="27" t="s">
        <v>71</v>
      </c>
      <c r="B1334" s="27" t="s">
        <v>32</v>
      </c>
      <c r="C1334" s="27">
        <v>3</v>
      </c>
      <c r="D1334" s="27" t="s">
        <v>33</v>
      </c>
      <c r="F1334" s="27" t="str">
        <f t="shared" ref="F1334" si="612">IF(C1334&gt;$W$6,"Yes","No")</f>
        <v>No</v>
      </c>
      <c r="G1334" s="27" t="s">
        <v>9</v>
      </c>
      <c r="J1334" s="27" t="s">
        <v>19</v>
      </c>
      <c r="K1334" s="27">
        <v>2.5</v>
      </c>
      <c r="L1334" s="27" t="s">
        <v>12</v>
      </c>
      <c r="M1334" s="27" t="s">
        <v>46</v>
      </c>
      <c r="N1334" s="27" t="str">
        <f>IF(K1334="N/A","No", IF(K1334&gt;5000,"Yes","No"))</f>
        <v>No</v>
      </c>
      <c r="O1334" s="27" t="str">
        <f>IF(K1334="Not","No",IF(K1334="n/a","N/A",IF(K1334&gt;$Y$2,"Yes","No")))</f>
        <v>No</v>
      </c>
      <c r="Q1334" s="27" t="s">
        <v>118</v>
      </c>
      <c r="R1334" s="27" t="str">
        <f>IF(COUNTIF(R1331:R1333,"Yes"),"Yes","No")</f>
        <v>No</v>
      </c>
      <c r="S1334" s="27" t="str">
        <f>IF(COUNTIF(S1331:S1333,"Yes"),"Yes","No")</f>
        <v>No</v>
      </c>
      <c r="U1334" s="27" t="s">
        <v>164</v>
      </c>
      <c r="V1334" s="27" t="s">
        <v>9</v>
      </c>
      <c r="W1334" s="27" t="str">
        <f>O1334</f>
        <v>No</v>
      </c>
      <c r="X1334" s="27" t="str">
        <f t="shared" si="610"/>
        <v>Yes</v>
      </c>
    </row>
    <row r="1335" spans="1:38" x14ac:dyDescent="0.2">
      <c r="A1335" s="27" t="s">
        <v>73</v>
      </c>
      <c r="B1335" s="27" t="s">
        <v>56</v>
      </c>
      <c r="C1335" s="27">
        <v>0.01</v>
      </c>
      <c r="D1335" s="27" t="s">
        <v>4</v>
      </c>
      <c r="F1335" s="27" t="str">
        <f t="shared" ref="F1335" si="613">IF(C1335&gt;=$W$2,"Yes","No")</f>
        <v>No</v>
      </c>
      <c r="G1335" s="27" t="s">
        <v>9</v>
      </c>
      <c r="J1335" s="27" t="s">
        <v>22</v>
      </c>
      <c r="K1335" s="27">
        <v>2.5</v>
      </c>
      <c r="L1335" s="27" t="s">
        <v>12</v>
      </c>
      <c r="M1335" s="27" t="s">
        <v>43</v>
      </c>
      <c r="N1335" s="27" t="str">
        <f>IF(K1335="N/A","No", IF(K1335&gt;5000,"Yes","No"))</f>
        <v>No</v>
      </c>
      <c r="O1335" s="27" t="str">
        <f>IF(K1335="Not","No",IF(K1335="n/a","N/A",IF(K1335&gt;$Y$2,"Yes","No")))</f>
        <v>No</v>
      </c>
      <c r="U1335" s="27" t="s">
        <v>162</v>
      </c>
      <c r="V1335" s="27" t="str">
        <f>R1332</f>
        <v>No</v>
      </c>
      <c r="W1335" s="27" t="str">
        <f>S1332</f>
        <v>No</v>
      </c>
      <c r="X1335" s="27" t="str">
        <f t="shared" si="610"/>
        <v>Yes</v>
      </c>
    </row>
    <row r="1336" spans="1:38" x14ac:dyDescent="0.2">
      <c r="J1336" s="27" t="s">
        <v>25</v>
      </c>
      <c r="K1336" s="27">
        <v>2.5</v>
      </c>
      <c r="L1336" s="27" t="s">
        <v>12</v>
      </c>
      <c r="M1336" s="27" t="s">
        <v>126</v>
      </c>
      <c r="N1336" s="27" t="str">
        <f>IF(K1336="N/A","No", IF(K1336&gt;=20,"Yes","No"))</f>
        <v>No</v>
      </c>
      <c r="O1336" s="27" t="str">
        <f>IF(K1336="Not","No",IF(K1336="n/a","N/A",IF(K1336&gt;=$Y$6,"Yes","No")))</f>
        <v>No</v>
      </c>
      <c r="U1336" s="27" t="s">
        <v>101</v>
      </c>
      <c r="V1336" s="27" t="s">
        <v>9</v>
      </c>
      <c r="W1336" s="27" t="s">
        <v>9</v>
      </c>
      <c r="X1336" s="27" t="str">
        <f>IF(V1336="N/A","N/A",IF(W1336="N/A", "N/A", IF(V1336=W1336, "Yes","No")))</f>
        <v>Yes</v>
      </c>
    </row>
    <row r="1337" spans="1:38" x14ac:dyDescent="0.2">
      <c r="J1337" s="27" t="s">
        <v>29</v>
      </c>
      <c r="K1337" s="27">
        <v>5</v>
      </c>
      <c r="L1337" s="27" t="s">
        <v>12</v>
      </c>
      <c r="M1337" s="27" t="s">
        <v>222</v>
      </c>
      <c r="N1337" s="27" t="str">
        <f>IF(K1337="N/A","No", IF(K1337&gt;20,"Yes","No"))</f>
        <v>No</v>
      </c>
      <c r="O1337" s="27" t="str">
        <f t="shared" ref="O1337" si="614">IF(K1337="Not","No",IF(K1337="n/a","N/A",IF(K1337&gt;$Y$6,"Yes","No")))</f>
        <v>No</v>
      </c>
      <c r="U1337" s="27" t="s">
        <v>104</v>
      </c>
      <c r="V1337" s="27" t="s">
        <v>120</v>
      </c>
      <c r="W1337" s="27" t="str">
        <f>O1338</f>
        <v>No</v>
      </c>
      <c r="X1337" s="27" t="str">
        <f>IF(V1337="N/A","N/A",IF(W1337="N/A", "N/A", IF(V1337=W1337, "Yes","No")))</f>
        <v>N/A</v>
      </c>
    </row>
    <row r="1338" spans="1:38" x14ac:dyDescent="0.2">
      <c r="J1338" s="27" t="s">
        <v>34</v>
      </c>
      <c r="K1338" s="27">
        <v>2.5</v>
      </c>
      <c r="L1338" s="27" t="s">
        <v>12</v>
      </c>
      <c r="M1338" s="27" t="s">
        <v>210</v>
      </c>
      <c r="N1338" s="27" t="str">
        <f>IF(K1338="N/A","No", IF(K1338&gt;230,"Yes","No"))</f>
        <v>No</v>
      </c>
      <c r="O1338" s="27" t="str">
        <f>IF(K1338="Not","No",IF(K1338="n/a","N/A",IF(K1338&gt;$Y$5,"Yes","No")))</f>
        <v>No</v>
      </c>
      <c r="U1338" s="27" t="s">
        <v>106</v>
      </c>
      <c r="V1338" s="27" t="str">
        <f>R1333</f>
        <v>No</v>
      </c>
      <c r="W1338" s="27" t="str">
        <f>S1333</f>
        <v>No</v>
      </c>
      <c r="X1338" s="27" t="str">
        <f>IF(V1338="N/A","N/A",IF(W1338="N/A", "N/A", IF(V1338=W1338, "Yes","No")))</f>
        <v>Yes</v>
      </c>
    </row>
    <row r="1339" spans="1:38" x14ac:dyDescent="0.2">
      <c r="J1339" s="27" t="s">
        <v>208</v>
      </c>
      <c r="K1339" s="27">
        <v>32</v>
      </c>
      <c r="L1339" s="27" t="s">
        <v>12</v>
      </c>
      <c r="M1339" s="27" t="s">
        <v>223</v>
      </c>
      <c r="N1339" s="27" t="str">
        <f>IF(K1339="N/A","No", IF(K1339&gt;20,"Yes","No"))</f>
        <v>Yes</v>
      </c>
      <c r="O1339" s="27" t="str">
        <f>IF(K1339="Not","No",IF(K1339="n/a","N/A",IF(K1339&gt;$Y$7,"Yes","No")))</f>
        <v>No</v>
      </c>
      <c r="U1339" s="27" t="s">
        <v>121</v>
      </c>
      <c r="V1339" s="27" t="str">
        <f>R1334</f>
        <v>No</v>
      </c>
      <c r="W1339" s="27" t="str">
        <f>S1334</f>
        <v>No</v>
      </c>
      <c r="X1339" s="27" t="str">
        <f>IF(V1339="N/A","N/A",IF(W1339="N/A", "N/A", IF(V1339=W1339, "Yes","No")))</f>
        <v>Yes</v>
      </c>
    </row>
    <row r="1341" spans="1:38" x14ac:dyDescent="0.2">
      <c r="A1341" s="27">
        <v>1520</v>
      </c>
      <c r="B1341" s="27" t="s">
        <v>111</v>
      </c>
      <c r="C1341" s="27">
        <v>90</v>
      </c>
    </row>
    <row r="1342" spans="1:38" x14ac:dyDescent="0.2">
      <c r="A1342" s="59" t="s">
        <v>0</v>
      </c>
      <c r="E1342" s="27" t="s">
        <v>274</v>
      </c>
      <c r="F1342" s="27" t="s">
        <v>275</v>
      </c>
      <c r="G1342" s="27" t="s">
        <v>119</v>
      </c>
      <c r="J1342" s="59" t="s">
        <v>1</v>
      </c>
      <c r="N1342" s="27" t="s">
        <v>277</v>
      </c>
      <c r="O1342" s="27" t="s">
        <v>278</v>
      </c>
      <c r="Q1342" s="59" t="s">
        <v>115</v>
      </c>
      <c r="R1342" s="59" t="s">
        <v>0</v>
      </c>
      <c r="S1342" s="59" t="s">
        <v>1</v>
      </c>
      <c r="U1342" s="59" t="s">
        <v>115</v>
      </c>
      <c r="V1342" s="59" t="s">
        <v>0</v>
      </c>
      <c r="W1342" s="59" t="s">
        <v>1</v>
      </c>
      <c r="X1342" s="59" t="s">
        <v>122</v>
      </c>
      <c r="AA1342" s="27" t="str">
        <f>IF(R1343="Yes","LRA-Soil","")</f>
        <v>LRA-Soil</v>
      </c>
      <c r="AB1342" s="27" t="str">
        <f>IF(R1344="Yes","LRA-Paint","")</f>
        <v>LRA-Paint</v>
      </c>
      <c r="AC1342" s="27" t="str">
        <f>IF(R1345="Yes","LRA-Dust","")</f>
        <v/>
      </c>
      <c r="AD1342" s="27" t="str">
        <f>IF(S1343="Yes","LSK-Soil","")</f>
        <v>LSK-Soil</v>
      </c>
      <c r="AE1342" s="27" t="str">
        <f>IF(S1344="Yes","LSK-Paint","")</f>
        <v>LSK-Paint</v>
      </c>
      <c r="AF1342" s="27" t="str">
        <f>IF(S1345="Yes","LSK-Dust","")</f>
        <v>LSK-Dust</v>
      </c>
      <c r="AI1342" s="27" t="s">
        <v>46</v>
      </c>
      <c r="AJ1342" s="27" t="s">
        <v>43</v>
      </c>
      <c r="AK1342" s="27" t="s">
        <v>116</v>
      </c>
      <c r="AL1342" s="27" t="s">
        <v>117</v>
      </c>
    </row>
    <row r="1343" spans="1:38" x14ac:dyDescent="0.2">
      <c r="A1343" s="27" t="s">
        <v>63</v>
      </c>
      <c r="B1343" s="27" t="s">
        <v>203</v>
      </c>
      <c r="C1343" s="27">
        <v>2.1</v>
      </c>
      <c r="D1343" s="27" t="s">
        <v>4</v>
      </c>
      <c r="F1343" s="27" t="str">
        <f t="shared" ref="F1343:F1360" si="615">IF(C1343&gt;=$W$2,"Yes","No")</f>
        <v>Yes</v>
      </c>
      <c r="G1343" s="27" t="s">
        <v>5</v>
      </c>
      <c r="H1343" s="27" t="s">
        <v>46</v>
      </c>
      <c r="J1343" s="27" t="s">
        <v>6</v>
      </c>
      <c r="K1343" s="27">
        <v>252</v>
      </c>
      <c r="L1343" s="27" t="s">
        <v>12</v>
      </c>
      <c r="M1343" s="27" t="s">
        <v>114</v>
      </c>
      <c r="N1343" s="27" t="str">
        <f>IF(K1343="N/A","No", IF(K1343&gt;1200,"Yes","No"))</f>
        <v>No</v>
      </c>
      <c r="O1343" s="27" t="str">
        <f>IF(K1343="Not","No",IF(K1343="n/a","N/A",IF(K1343&gt;=$Y$3,"Yes","No")))</f>
        <v>No</v>
      </c>
      <c r="Q1343" s="27" t="s">
        <v>116</v>
      </c>
      <c r="R1343" s="27" t="str">
        <f>_xlfn.XLOOKUP("ppm",D1343:D1362,F1343:F1362,"N/A")</f>
        <v>Yes</v>
      </c>
      <c r="S1343" s="27" t="str">
        <f>IF(COUNTIF(O1343:O1345,"Yes"),"Yes","No")</f>
        <v>Yes</v>
      </c>
      <c r="U1343" s="27" t="s">
        <v>92</v>
      </c>
      <c r="V1343" s="27" t="s">
        <v>120</v>
      </c>
      <c r="W1343" s="27" t="s">
        <v>120</v>
      </c>
      <c r="X1343" s="27" t="str">
        <f>IF(V1343="N/A","N/A",IF(W1343="N/A", "N/A", IF(V1343=W1343, "Yes","No")))</f>
        <v>N/A</v>
      </c>
      <c r="AI1343" s="27">
        <f>COUNTIF(H1343:H1362,"Exterior")</f>
        <v>3</v>
      </c>
      <c r="AJ1343" s="27">
        <f>COUNTIF(H1343:H1362, "Interior")</f>
        <v>12</v>
      </c>
      <c r="AK1343" s="27">
        <f>COUNTIFS(D1343:D1362,"ppm")+COUNTIFS(D1343:D1362,"mg/Kg")</f>
        <v>3</v>
      </c>
      <c r="AL1343" s="27">
        <f>COUNTIF(D1343:D1362,"ug/ft2")</f>
        <v>2</v>
      </c>
    </row>
    <row r="1344" spans="1:38" x14ac:dyDescent="0.2">
      <c r="A1344" s="27" t="s">
        <v>63</v>
      </c>
      <c r="B1344" s="27" t="s">
        <v>24</v>
      </c>
      <c r="C1344" s="27">
        <v>1.1000000000000001</v>
      </c>
      <c r="D1344" s="27" t="s">
        <v>4</v>
      </c>
      <c r="F1344" s="27" t="str">
        <f t="shared" si="615"/>
        <v>Yes</v>
      </c>
      <c r="G1344" s="27" t="s">
        <v>5</v>
      </c>
      <c r="H1344" s="27" t="s">
        <v>46</v>
      </c>
      <c r="J1344" s="27" t="s">
        <v>11</v>
      </c>
      <c r="K1344" s="27">
        <v>238</v>
      </c>
      <c r="L1344" s="27" t="s">
        <v>12</v>
      </c>
      <c r="M1344" s="27" t="s">
        <v>67</v>
      </c>
      <c r="N1344" s="27" t="str">
        <f t="shared" ref="N1344:N1345" si="616">IF(K1344="N/A","No", IF(K1344&gt;1200,"Yes","No"))</f>
        <v>No</v>
      </c>
      <c r="O1344" s="27" t="str">
        <f t="shared" ref="O1344:O1345" si="617">IF(K1344="Not","No",IF(K1344="n/a","N/A",IF(K1344&gt;$Y$3,"Yes","No")))</f>
        <v>No</v>
      </c>
      <c r="Q1344" s="27" t="s">
        <v>98</v>
      </c>
      <c r="R1344" s="27" t="str">
        <f>_xlfn.XLOOKUP("mg/cm2",D1343:D1362,G1343:G1362,"N/A",1,-1)</f>
        <v>Yes</v>
      </c>
      <c r="S1344" s="27" t="str">
        <f>IF(COUNTIF(O1346:O1347,"Yes"),"Yes","No")</f>
        <v>Yes</v>
      </c>
      <c r="U1344" s="27" t="s">
        <v>95</v>
      </c>
      <c r="V1344" s="27" t="str">
        <f>R1343</f>
        <v>Yes</v>
      </c>
      <c r="W1344" s="27" t="str">
        <f>S1343</f>
        <v>Yes</v>
      </c>
      <c r="X1344" s="27" t="str">
        <f t="shared" ref="X1344:X1347" si="618">IF(V1344="N/A","N/A",IF(W1344="N/A", "N/A", IF(V1344=W1344, "Yes","No")))</f>
        <v>Yes</v>
      </c>
    </row>
    <row r="1345" spans="1:24" x14ac:dyDescent="0.2">
      <c r="A1345" s="27" t="s">
        <v>63</v>
      </c>
      <c r="B1345" s="27" t="s">
        <v>24</v>
      </c>
      <c r="C1345" s="27">
        <v>15.2</v>
      </c>
      <c r="D1345" s="27" t="s">
        <v>4</v>
      </c>
      <c r="F1345" s="27" t="str">
        <f t="shared" si="615"/>
        <v>Yes</v>
      </c>
      <c r="G1345" s="27" t="s">
        <v>5</v>
      </c>
      <c r="H1345" s="27" t="s">
        <v>46</v>
      </c>
      <c r="J1345" s="27" t="s">
        <v>15</v>
      </c>
      <c r="K1345" s="27">
        <v>10773</v>
      </c>
      <c r="L1345" s="27" t="s">
        <v>12</v>
      </c>
      <c r="M1345" s="27" t="s">
        <v>112</v>
      </c>
      <c r="N1345" s="27" t="str">
        <f t="shared" si="616"/>
        <v>Yes</v>
      </c>
      <c r="O1345" s="27" t="str">
        <f t="shared" si="617"/>
        <v>Yes</v>
      </c>
      <c r="Q1345" s="27" t="s">
        <v>117</v>
      </c>
      <c r="R1345" s="27" t="str">
        <f>_xlfn.XLOOKUP("ug/ft2",D1343:D1362,F1343:F1362,"N/A")</f>
        <v>No</v>
      </c>
      <c r="S1345" s="27" t="str">
        <f>IF(COUNTIF(O1348:O1351,"Yes"),"Yes","No")</f>
        <v>Yes</v>
      </c>
      <c r="U1345" s="27" t="s">
        <v>163</v>
      </c>
      <c r="V1345" s="27" t="s">
        <v>5</v>
      </c>
      <c r="W1345" s="27" t="str">
        <f>O1347</f>
        <v>No</v>
      </c>
      <c r="X1345" s="27" t="str">
        <f t="shared" si="618"/>
        <v>No</v>
      </c>
    </row>
    <row r="1346" spans="1:24" x14ac:dyDescent="0.2">
      <c r="A1346" s="27" t="s">
        <v>83</v>
      </c>
      <c r="B1346" s="27" t="s">
        <v>69</v>
      </c>
      <c r="C1346" s="27">
        <v>660</v>
      </c>
      <c r="D1346" s="27" t="s">
        <v>12</v>
      </c>
      <c r="F1346" s="27" t="str">
        <f t="shared" ref="F1346:F1348" si="619">IF(C1346&gt;$W$3,"Yes","No")</f>
        <v>Yes</v>
      </c>
      <c r="G1346" s="27" t="s">
        <v>9</v>
      </c>
      <c r="J1346" s="27" t="s">
        <v>19</v>
      </c>
      <c r="K1346" s="27">
        <v>17462</v>
      </c>
      <c r="L1346" s="27" t="s">
        <v>12</v>
      </c>
      <c r="M1346" s="27" t="s">
        <v>46</v>
      </c>
      <c r="N1346" s="27" t="str">
        <f>IF(K1346="N/A","No", IF(K1346&gt;5000,"Yes","No"))</f>
        <v>Yes</v>
      </c>
      <c r="O1346" s="27" t="str">
        <f>IF(K1346="Not","No",IF(K1346="n/a","N/A",IF(K1346&gt;$Y$2,"Yes","No")))</f>
        <v>Yes</v>
      </c>
      <c r="Q1346" s="27" t="s">
        <v>118</v>
      </c>
      <c r="R1346" s="27" t="str">
        <f>IF(COUNTIF(R1343:R1345,"Yes"),"Yes","No")</f>
        <v>Yes</v>
      </c>
      <c r="S1346" s="27" t="str">
        <f>IF(COUNTIF(S1343:S1345,"Yes"),"Yes","No")</f>
        <v>Yes</v>
      </c>
      <c r="U1346" s="27" t="s">
        <v>164</v>
      </c>
      <c r="V1346" s="27" t="s">
        <v>5</v>
      </c>
      <c r="W1346" s="27" t="str">
        <f>O1346</f>
        <v>Yes</v>
      </c>
      <c r="X1346" s="27" t="str">
        <f t="shared" si="618"/>
        <v>Yes</v>
      </c>
    </row>
    <row r="1347" spans="1:24" x14ac:dyDescent="0.2">
      <c r="A1347" s="27" t="s">
        <v>75</v>
      </c>
      <c r="B1347" s="27" t="s">
        <v>28</v>
      </c>
      <c r="C1347" s="27">
        <v>260</v>
      </c>
      <c r="D1347" s="27" t="s">
        <v>12</v>
      </c>
      <c r="F1347" s="27" t="str">
        <f t="shared" si="619"/>
        <v>No</v>
      </c>
      <c r="G1347" s="27" t="s">
        <v>9</v>
      </c>
      <c r="J1347" s="27" t="s">
        <v>22</v>
      </c>
      <c r="K1347" s="27">
        <v>99</v>
      </c>
      <c r="L1347" s="27" t="s">
        <v>12</v>
      </c>
      <c r="M1347" s="27" t="s">
        <v>43</v>
      </c>
      <c r="N1347" s="27" t="str">
        <f>IF(K1347="N/A","No", IF(K1347&gt;5000,"Yes","No"))</f>
        <v>No</v>
      </c>
      <c r="O1347" s="27" t="str">
        <f>IF(K1347="Not","No",IF(K1347="n/a","N/A",IF(K1347&gt;$Y$2,"Yes","No")))</f>
        <v>No</v>
      </c>
      <c r="U1347" s="27" t="s">
        <v>162</v>
      </c>
      <c r="V1347" s="27" t="str">
        <f>R1344</f>
        <v>Yes</v>
      </c>
      <c r="W1347" s="27" t="str">
        <f>S1344</f>
        <v>Yes</v>
      </c>
      <c r="X1347" s="27" t="str">
        <f t="shared" si="618"/>
        <v>Yes</v>
      </c>
    </row>
    <row r="1348" spans="1:24" x14ac:dyDescent="0.2">
      <c r="A1348" s="27" t="s">
        <v>75</v>
      </c>
      <c r="B1348" s="27" t="s">
        <v>301</v>
      </c>
      <c r="C1348" s="27">
        <v>4300</v>
      </c>
      <c r="D1348" s="27" t="s">
        <v>12</v>
      </c>
      <c r="F1348" s="27" t="str">
        <f t="shared" si="619"/>
        <v>Yes</v>
      </c>
      <c r="G1348" s="27" t="s">
        <v>5</v>
      </c>
      <c r="J1348" s="27" t="s">
        <v>25</v>
      </c>
      <c r="K1348" s="27">
        <v>813</v>
      </c>
      <c r="L1348" s="27" t="s">
        <v>12</v>
      </c>
      <c r="M1348" s="27" t="s">
        <v>126</v>
      </c>
      <c r="N1348" s="27" t="str">
        <f>IF(K1348="N/A","No", IF(K1348&gt;=20,"Yes","No"))</f>
        <v>Yes</v>
      </c>
      <c r="O1348" s="27" t="str">
        <f>IF(K1348="Not","No",IF(K1348="n/a","N/A",IF(K1348&gt;=$Y$6,"Yes","No")))</f>
        <v>Yes</v>
      </c>
      <c r="U1348" s="27" t="s">
        <v>101</v>
      </c>
      <c r="V1348" s="27" t="s">
        <v>9</v>
      </c>
      <c r="W1348" s="27" t="s">
        <v>5</v>
      </c>
      <c r="X1348" s="27" t="str">
        <f>IF(V1348="N/A","N/A",IF(W1348="N/A", "N/A", IF(V1348=W1348, "Yes","No")))</f>
        <v>No</v>
      </c>
    </row>
    <row r="1349" spans="1:24" x14ac:dyDescent="0.2">
      <c r="A1349" s="27" t="s">
        <v>113</v>
      </c>
      <c r="B1349" s="27" t="s">
        <v>10</v>
      </c>
      <c r="C1349" s="27">
        <v>7.6</v>
      </c>
      <c r="D1349" s="27" t="s">
        <v>4</v>
      </c>
      <c r="F1349" s="27" t="str">
        <f t="shared" si="615"/>
        <v>Yes</v>
      </c>
      <c r="G1349" s="27" t="s">
        <v>5</v>
      </c>
      <c r="H1349" s="27" t="s">
        <v>43</v>
      </c>
      <c r="J1349" s="27" t="s">
        <v>29</v>
      </c>
      <c r="K1349" s="27">
        <v>456</v>
      </c>
      <c r="L1349" s="27" t="s">
        <v>12</v>
      </c>
      <c r="M1349" s="27" t="s">
        <v>222</v>
      </c>
      <c r="N1349" s="27" t="str">
        <f>IF(K1349="N/A","No", IF(K1349&gt;20,"Yes","No"))</f>
        <v>Yes</v>
      </c>
      <c r="O1349" s="27" t="str">
        <f t="shared" ref="O1349" si="620">IF(K1349="Not","No",IF(K1349="n/a","N/A",IF(K1349&gt;$Y$6,"Yes","No")))</f>
        <v>Yes</v>
      </c>
      <c r="U1349" s="27" t="s">
        <v>104</v>
      </c>
      <c r="V1349" s="27" t="s">
        <v>9</v>
      </c>
      <c r="W1349" s="27" t="str">
        <f>O1350</f>
        <v>No</v>
      </c>
      <c r="X1349" s="27" t="str">
        <f>IF(V1349="N/A","N/A",IF(W1349="N/A", "N/A", IF(V1349=W1349, "Yes","No")))</f>
        <v>Yes</v>
      </c>
    </row>
    <row r="1350" spans="1:24" x14ac:dyDescent="0.2">
      <c r="A1350" s="27" t="s">
        <v>113</v>
      </c>
      <c r="B1350" s="27" t="s">
        <v>40</v>
      </c>
      <c r="C1350" s="27">
        <v>27.2</v>
      </c>
      <c r="D1350" s="27" t="s">
        <v>4</v>
      </c>
      <c r="F1350" s="27" t="str">
        <f t="shared" si="615"/>
        <v>Yes</v>
      </c>
      <c r="G1350" s="27" t="s">
        <v>5</v>
      </c>
      <c r="H1350" s="27" t="s">
        <v>43</v>
      </c>
      <c r="J1350" s="27" t="s">
        <v>34</v>
      </c>
      <c r="K1350" s="27">
        <v>21</v>
      </c>
      <c r="L1350" s="27" t="s">
        <v>12</v>
      </c>
      <c r="M1350" s="27" t="s">
        <v>210</v>
      </c>
      <c r="N1350" s="27" t="str">
        <f>IF(K1350="N/A","No", IF(K1350&gt;230,"Yes","No"))</f>
        <v>No</v>
      </c>
      <c r="O1350" s="27" t="str">
        <f>IF(K1350="Not","No",IF(K1350="n/a","N/A",IF(K1350&gt;$Y$5,"Yes","No")))</f>
        <v>No</v>
      </c>
      <c r="U1350" s="27" t="s">
        <v>106</v>
      </c>
      <c r="V1350" s="27" t="str">
        <f>R1345</f>
        <v>No</v>
      </c>
      <c r="W1350" s="27" t="str">
        <f>S1345</f>
        <v>Yes</v>
      </c>
      <c r="X1350" s="27" t="str">
        <f>IF(V1350="N/A","N/A",IF(W1350="N/A", "N/A", IF(V1350=W1350, "Yes","No")))</f>
        <v>No</v>
      </c>
    </row>
    <row r="1351" spans="1:24" x14ac:dyDescent="0.2">
      <c r="A1351" s="27" t="s">
        <v>113</v>
      </c>
      <c r="B1351" s="27" t="s">
        <v>40</v>
      </c>
      <c r="C1351" s="27">
        <v>30.1</v>
      </c>
      <c r="D1351" s="27" t="s">
        <v>4</v>
      </c>
      <c r="F1351" s="27" t="str">
        <f t="shared" si="615"/>
        <v>Yes</v>
      </c>
      <c r="G1351" s="27" t="s">
        <v>5</v>
      </c>
      <c r="H1351" s="27" t="s">
        <v>43</v>
      </c>
      <c r="J1351" s="27" t="s">
        <v>208</v>
      </c>
      <c r="K1351" s="27">
        <v>61</v>
      </c>
      <c r="L1351" s="27" t="s">
        <v>12</v>
      </c>
      <c r="M1351" s="27" t="s">
        <v>223</v>
      </c>
      <c r="N1351" s="27" t="str">
        <f>IF(K1351="N/A","No", IF(K1351&gt;20,"Yes","No"))</f>
        <v>Yes</v>
      </c>
      <c r="O1351" s="27" t="str">
        <f>IF(K1351="Not","No",IF(K1351="n/a","N/A",IF(K1351&gt;$Y$7,"Yes","No")))</f>
        <v>No</v>
      </c>
      <c r="U1351" s="27" t="s">
        <v>121</v>
      </c>
      <c r="V1351" s="27" t="str">
        <f>R1346</f>
        <v>Yes</v>
      </c>
      <c r="W1351" s="27" t="str">
        <f>S1346</f>
        <v>Yes</v>
      </c>
      <c r="X1351" s="27" t="str">
        <f>IF(V1351="N/A","N/A",IF(W1351="N/A", "N/A", IF(V1351=W1351, "Yes","No")))</f>
        <v>Yes</v>
      </c>
    </row>
    <row r="1352" spans="1:24" x14ac:dyDescent="0.2">
      <c r="A1352" s="27" t="s">
        <v>113</v>
      </c>
      <c r="B1352" s="27" t="s">
        <v>40</v>
      </c>
      <c r="C1352" s="27">
        <v>25.1</v>
      </c>
      <c r="D1352" s="27" t="s">
        <v>4</v>
      </c>
      <c r="F1352" s="27" t="str">
        <f t="shared" si="615"/>
        <v>Yes</v>
      </c>
      <c r="G1352" s="27" t="s">
        <v>5</v>
      </c>
      <c r="H1352" s="27" t="s">
        <v>43</v>
      </c>
    </row>
    <row r="1353" spans="1:24" x14ac:dyDescent="0.2">
      <c r="A1353" s="27" t="s">
        <v>113</v>
      </c>
      <c r="B1353" s="27" t="s">
        <v>24</v>
      </c>
      <c r="C1353" s="27">
        <v>8.4</v>
      </c>
      <c r="D1353" s="27" t="s">
        <v>4</v>
      </c>
      <c r="F1353" s="27" t="str">
        <f t="shared" si="615"/>
        <v>Yes</v>
      </c>
      <c r="G1353" s="27" t="s">
        <v>5</v>
      </c>
      <c r="H1353" s="27" t="s">
        <v>43</v>
      </c>
    </row>
    <row r="1354" spans="1:24" x14ac:dyDescent="0.2">
      <c r="A1354" s="27" t="s">
        <v>113</v>
      </c>
      <c r="B1354" s="27" t="s">
        <v>24</v>
      </c>
      <c r="C1354" s="27">
        <v>8.6999999999999993</v>
      </c>
      <c r="D1354" s="27" t="s">
        <v>4</v>
      </c>
      <c r="F1354" s="27" t="str">
        <f t="shared" si="615"/>
        <v>Yes</v>
      </c>
      <c r="G1354" s="27" t="s">
        <v>5</v>
      </c>
      <c r="H1354" s="27" t="s">
        <v>43</v>
      </c>
    </row>
    <row r="1355" spans="1:24" x14ac:dyDescent="0.2">
      <c r="A1355" s="27" t="s">
        <v>113</v>
      </c>
      <c r="B1355" s="27" t="s">
        <v>24</v>
      </c>
      <c r="C1355" s="27">
        <v>6.9</v>
      </c>
      <c r="D1355" s="27" t="s">
        <v>4</v>
      </c>
      <c r="F1355" s="27" t="str">
        <f t="shared" si="615"/>
        <v>Yes</v>
      </c>
      <c r="G1355" s="27" t="s">
        <v>5</v>
      </c>
      <c r="H1355" s="27" t="s">
        <v>43</v>
      </c>
    </row>
    <row r="1356" spans="1:24" x14ac:dyDescent="0.2">
      <c r="A1356" s="27" t="s">
        <v>70</v>
      </c>
      <c r="B1356" s="27" t="s">
        <v>40</v>
      </c>
      <c r="C1356" s="27">
        <v>4.3</v>
      </c>
      <c r="D1356" s="27" t="s">
        <v>4</v>
      </c>
      <c r="F1356" s="27" t="str">
        <f t="shared" si="615"/>
        <v>Yes</v>
      </c>
      <c r="G1356" s="27" t="s">
        <v>5</v>
      </c>
      <c r="H1356" s="27" t="s">
        <v>43</v>
      </c>
    </row>
    <row r="1357" spans="1:24" x14ac:dyDescent="0.2">
      <c r="A1357" s="27" t="s">
        <v>70</v>
      </c>
      <c r="B1357" s="27" t="s">
        <v>40</v>
      </c>
      <c r="C1357" s="27">
        <v>4.9000000000000004</v>
      </c>
      <c r="D1357" s="27" t="s">
        <v>4</v>
      </c>
      <c r="F1357" s="27" t="str">
        <f t="shared" si="615"/>
        <v>Yes</v>
      </c>
      <c r="G1357" s="27" t="s">
        <v>5</v>
      </c>
      <c r="H1357" s="27" t="s">
        <v>43</v>
      </c>
    </row>
    <row r="1358" spans="1:24" x14ac:dyDescent="0.2">
      <c r="A1358" s="27" t="s">
        <v>64</v>
      </c>
      <c r="B1358" s="27" t="s">
        <v>40</v>
      </c>
      <c r="C1358" s="27">
        <v>13.2</v>
      </c>
      <c r="D1358" s="27" t="s">
        <v>4</v>
      </c>
      <c r="F1358" s="27" t="str">
        <f t="shared" si="615"/>
        <v>Yes</v>
      </c>
      <c r="G1358" s="27" t="s">
        <v>5</v>
      </c>
      <c r="H1358" s="27" t="s">
        <v>43</v>
      </c>
    </row>
    <row r="1359" spans="1:24" x14ac:dyDescent="0.2">
      <c r="A1359" s="27" t="s">
        <v>64</v>
      </c>
      <c r="B1359" s="27" t="s">
        <v>40</v>
      </c>
      <c r="C1359" s="27">
        <v>16.2</v>
      </c>
      <c r="D1359" s="27" t="s">
        <v>4</v>
      </c>
      <c r="F1359" s="27" t="str">
        <f t="shared" si="615"/>
        <v>Yes</v>
      </c>
      <c r="G1359" s="27" t="s">
        <v>5</v>
      </c>
      <c r="H1359" s="27" t="s">
        <v>43</v>
      </c>
    </row>
    <row r="1360" spans="1:24" x14ac:dyDescent="0.2">
      <c r="A1360" s="27" t="s">
        <v>64</v>
      </c>
      <c r="B1360" s="27" t="s">
        <v>40</v>
      </c>
      <c r="C1360" s="27">
        <v>20.2</v>
      </c>
      <c r="D1360" s="27" t="s">
        <v>4</v>
      </c>
      <c r="F1360" s="27" t="str">
        <f t="shared" si="615"/>
        <v>Yes</v>
      </c>
      <c r="G1360" s="27" t="s">
        <v>5</v>
      </c>
      <c r="H1360" s="27" t="s">
        <v>43</v>
      </c>
    </row>
    <row r="1361" spans="1:38" x14ac:dyDescent="0.2">
      <c r="A1361" s="27" t="s">
        <v>307</v>
      </c>
      <c r="B1361" s="27" t="s">
        <v>54</v>
      </c>
      <c r="C1361" s="27">
        <v>48</v>
      </c>
      <c r="D1361" s="27" t="s">
        <v>33</v>
      </c>
      <c r="F1361" s="27" t="str">
        <f t="shared" ref="F1361" si="621">IF(C1361&gt;$W$5,"Yes","No")</f>
        <v>No</v>
      </c>
      <c r="G1361" s="27" t="s">
        <v>9</v>
      </c>
    </row>
    <row r="1362" spans="1:38" x14ac:dyDescent="0.2">
      <c r="A1362" s="27" t="s">
        <v>71</v>
      </c>
      <c r="B1362" s="27" t="s">
        <v>32</v>
      </c>
      <c r="C1362" s="27">
        <v>6.2</v>
      </c>
      <c r="D1362" s="27" t="s">
        <v>33</v>
      </c>
      <c r="F1362" s="27" t="str">
        <f t="shared" ref="F1362" si="622">IF(C1362&gt;$W$6,"Yes","No")</f>
        <v>No</v>
      </c>
      <c r="G1362" s="27" t="s">
        <v>9</v>
      </c>
    </row>
    <row r="1364" spans="1:38" x14ac:dyDescent="0.2">
      <c r="A1364" s="27">
        <v>1547</v>
      </c>
      <c r="B1364" s="27" t="s">
        <v>111</v>
      </c>
      <c r="C1364" s="27">
        <v>91</v>
      </c>
    </row>
    <row r="1365" spans="1:38" x14ac:dyDescent="0.2">
      <c r="A1365" s="59" t="s">
        <v>0</v>
      </c>
      <c r="E1365" s="27" t="s">
        <v>274</v>
      </c>
      <c r="F1365" s="27" t="s">
        <v>275</v>
      </c>
      <c r="G1365" s="27" t="s">
        <v>119</v>
      </c>
      <c r="J1365" s="59" t="s">
        <v>1</v>
      </c>
      <c r="N1365" s="27" t="s">
        <v>277</v>
      </c>
      <c r="O1365" s="27" t="s">
        <v>278</v>
      </c>
      <c r="Q1365" s="59" t="s">
        <v>115</v>
      </c>
      <c r="R1365" s="59" t="s">
        <v>0</v>
      </c>
      <c r="S1365" s="59" t="s">
        <v>1</v>
      </c>
      <c r="U1365" s="59" t="s">
        <v>115</v>
      </c>
      <c r="V1365" s="59" t="s">
        <v>0</v>
      </c>
      <c r="W1365" s="59" t="s">
        <v>1</v>
      </c>
      <c r="X1365" s="59" t="s">
        <v>122</v>
      </c>
      <c r="AA1365" s="27" t="str">
        <f>IF(R1366="Yes","LRA-Soil","")</f>
        <v/>
      </c>
      <c r="AB1365" s="27" t="str">
        <f>IF(R1367="Yes","LRA-Paint","")</f>
        <v/>
      </c>
      <c r="AC1365" s="27" t="str">
        <f>IF(R1368="Yes","LRA-Dust","")</f>
        <v/>
      </c>
      <c r="AD1365" s="27" t="str">
        <f>IF(S1366="Yes","LSK-Soil","")</f>
        <v/>
      </c>
      <c r="AE1365" s="27" t="str">
        <f>IF(S1367="Yes","LSK-Paint","")</f>
        <v/>
      </c>
      <c r="AF1365" s="27" t="str">
        <f>IF(S1368="Yes","LSK-Dust","")</f>
        <v/>
      </c>
      <c r="AI1365" s="27" t="s">
        <v>46</v>
      </c>
      <c r="AJ1365" s="27" t="s">
        <v>43</v>
      </c>
      <c r="AK1365" s="27" t="s">
        <v>116</v>
      </c>
      <c r="AL1365" s="27" t="s">
        <v>117</v>
      </c>
    </row>
    <row r="1366" spans="1:38" x14ac:dyDescent="0.2">
      <c r="A1366" s="27" t="s">
        <v>185</v>
      </c>
      <c r="B1366" s="27" t="s">
        <v>217</v>
      </c>
      <c r="C1366" s="27">
        <v>0</v>
      </c>
      <c r="D1366" s="27" t="s">
        <v>4</v>
      </c>
      <c r="E1366" s="27" t="s">
        <v>9</v>
      </c>
      <c r="F1366" s="27" t="str">
        <f t="shared" ref="F1366" si="623">IF(C1366&gt;=$W$2,"Yes","No")</f>
        <v>No</v>
      </c>
      <c r="G1366" s="27" t="s">
        <v>9</v>
      </c>
      <c r="H1366" s="27" t="s">
        <v>46</v>
      </c>
      <c r="J1366" s="27" t="s">
        <v>6</v>
      </c>
      <c r="K1366" s="27">
        <v>10.4</v>
      </c>
      <c r="L1366" s="27" t="s">
        <v>12</v>
      </c>
      <c r="M1366" s="27" t="s">
        <v>114</v>
      </c>
      <c r="N1366" s="27" t="str">
        <f>IF(K1366="N/A","No", IF(K1366&gt;1200,"Yes","No"))</f>
        <v>No</v>
      </c>
      <c r="O1366" s="27" t="str">
        <f>IF(K1366="Not","No",IF(K1366="n/a","N/A",IF(K1366&gt;=$Y$3,"Yes","No")))</f>
        <v>No</v>
      </c>
      <c r="Q1366" s="27" t="s">
        <v>116</v>
      </c>
      <c r="R1366" s="27" t="str">
        <f>_xlfn.XLOOKUP("ppm",D1366:D1369,F1366:F1369,"N/A")</f>
        <v>No</v>
      </c>
      <c r="S1366" s="27" t="str">
        <f>IF(COUNTIF(O1366:O1368,"Yes"),"Yes","No")</f>
        <v>No</v>
      </c>
      <c r="U1366" s="27" t="s">
        <v>92</v>
      </c>
      <c r="V1366" s="27" t="s">
        <v>120</v>
      </c>
      <c r="W1366" s="27" t="s">
        <v>120</v>
      </c>
      <c r="X1366" s="27" t="str">
        <f>IF(V1366="N/A","N/A",IF(W1366="N/A", "N/A", IF(V1366=W1366, "Yes","No")))</f>
        <v>N/A</v>
      </c>
      <c r="AI1366" s="27">
        <f>COUNTIF(H1366:H1369,"Exterior")</f>
        <v>1</v>
      </c>
      <c r="AJ1366" s="27">
        <f>COUNTIF(H1366:H1369, "Interior")</f>
        <v>1</v>
      </c>
      <c r="AK1366" s="27">
        <f>COUNTIFS(D1366:D1369,"ppm")+COUNTIFS(D1366:D1369,"mg/Kg")</f>
        <v>1</v>
      </c>
      <c r="AL1366" s="27">
        <f>COUNTIF(D1366:D1369,"ug/ft2")</f>
        <v>1</v>
      </c>
    </row>
    <row r="1367" spans="1:38" x14ac:dyDescent="0.2">
      <c r="A1367" s="27" t="s">
        <v>187</v>
      </c>
      <c r="B1367" s="27" t="s">
        <v>290</v>
      </c>
      <c r="C1367" s="27">
        <v>13</v>
      </c>
      <c r="D1367" s="27" t="s">
        <v>12</v>
      </c>
      <c r="E1367" s="27" t="s">
        <v>9</v>
      </c>
      <c r="F1367" s="27" t="str">
        <f t="shared" ref="F1367" si="624">IF(C1367&gt;$W$3,"Yes","No")</f>
        <v>No</v>
      </c>
      <c r="G1367" s="27" t="s">
        <v>9</v>
      </c>
      <c r="J1367" s="27" t="s">
        <v>11</v>
      </c>
      <c r="K1367" s="27">
        <v>12.5</v>
      </c>
      <c r="L1367" s="27" t="s">
        <v>12</v>
      </c>
      <c r="M1367" s="27" t="s">
        <v>67</v>
      </c>
      <c r="N1367" s="27" t="str">
        <f t="shared" ref="N1367:N1368" si="625">IF(K1367="N/A","No", IF(K1367&gt;1200,"Yes","No"))</f>
        <v>No</v>
      </c>
      <c r="O1367" s="27" t="str">
        <f t="shared" ref="O1367:O1368" si="626">IF(K1367="Not","No",IF(K1367="n/a","N/A",IF(K1367&gt;$Y$3,"Yes","No")))</f>
        <v>No</v>
      </c>
      <c r="Q1367" s="27" t="s">
        <v>98</v>
      </c>
      <c r="R1367" s="27" t="str">
        <f>_xlfn.XLOOKUP("mg/cm2",D1366:D1369,G1366:G1369,"N/A",1,-1)</f>
        <v>No</v>
      </c>
      <c r="S1367" s="27" t="str">
        <f>IF(COUNTIF(O1369:O1370,"Yes"),"Yes","No")</f>
        <v>No</v>
      </c>
      <c r="U1367" s="27" t="s">
        <v>95</v>
      </c>
      <c r="V1367" s="27" t="str">
        <f>R1366</f>
        <v>No</v>
      </c>
      <c r="W1367" s="27" t="str">
        <f>S1366</f>
        <v>No</v>
      </c>
      <c r="X1367" s="27" t="str">
        <f t="shared" ref="X1367:X1370" si="627">IF(V1367="N/A","N/A",IF(W1367="N/A", "N/A", IF(V1367=W1367, "Yes","No")))</f>
        <v>Yes</v>
      </c>
    </row>
    <row r="1368" spans="1:38" x14ac:dyDescent="0.2">
      <c r="A1368" s="27" t="s">
        <v>191</v>
      </c>
      <c r="B1368" s="27" t="s">
        <v>189</v>
      </c>
      <c r="C1368" s="27">
        <v>0</v>
      </c>
      <c r="D1368" s="27" t="s">
        <v>4</v>
      </c>
      <c r="E1368" s="27" t="s">
        <v>9</v>
      </c>
      <c r="F1368" s="27" t="str">
        <f t="shared" ref="F1368" si="628">IF(C1368&gt;=$W$2,"Yes","No")</f>
        <v>No</v>
      </c>
      <c r="G1368" s="27" t="s">
        <v>9</v>
      </c>
      <c r="H1368" s="27" t="s">
        <v>43</v>
      </c>
      <c r="J1368" s="27" t="s">
        <v>15</v>
      </c>
      <c r="K1368" s="27">
        <v>11.3</v>
      </c>
      <c r="L1368" s="27" t="s">
        <v>12</v>
      </c>
      <c r="M1368" s="27" t="s">
        <v>112</v>
      </c>
      <c r="N1368" s="27" t="str">
        <f t="shared" si="625"/>
        <v>No</v>
      </c>
      <c r="O1368" s="27" t="str">
        <f t="shared" si="626"/>
        <v>No</v>
      </c>
      <c r="Q1368" s="27" t="s">
        <v>117</v>
      </c>
      <c r="R1368" s="27" t="str">
        <f>_xlfn.XLOOKUP("ug/ft2",D1366:D1369,F1366:F1369,"N/A")</f>
        <v>No</v>
      </c>
      <c r="S1368" s="27" t="str">
        <f>IF(COUNTIF(O1371:O1374,"Yes"),"Yes","No")</f>
        <v>No</v>
      </c>
      <c r="U1368" s="27" t="s">
        <v>163</v>
      </c>
      <c r="V1368" s="27" t="s">
        <v>9</v>
      </c>
      <c r="W1368" s="27" t="str">
        <f>O1370</f>
        <v>No</v>
      </c>
      <c r="X1368" s="27" t="str">
        <f t="shared" si="627"/>
        <v>Yes</v>
      </c>
    </row>
    <row r="1369" spans="1:38" x14ac:dyDescent="0.2">
      <c r="A1369" s="27" t="s">
        <v>201</v>
      </c>
      <c r="B1369" s="27" t="s">
        <v>214</v>
      </c>
      <c r="C1369" s="27">
        <v>8.3000000000000007</v>
      </c>
      <c r="D1369" s="27" t="s">
        <v>33</v>
      </c>
      <c r="E1369" s="27" t="s">
        <v>9</v>
      </c>
      <c r="F1369" s="27" t="str">
        <f t="shared" ref="F1369" si="629">IF(C1369&gt;$W$6,"Yes","No")</f>
        <v>No</v>
      </c>
      <c r="G1369" s="27" t="s">
        <v>9</v>
      </c>
      <c r="J1369" s="27" t="s">
        <v>19</v>
      </c>
      <c r="K1369" s="27">
        <v>2.5</v>
      </c>
      <c r="L1369" s="27" t="s">
        <v>12</v>
      </c>
      <c r="M1369" s="27" t="s">
        <v>46</v>
      </c>
      <c r="N1369" s="27" t="str">
        <f>IF(K1369="N/A","No", IF(K1369&gt;5000,"Yes","No"))</f>
        <v>No</v>
      </c>
      <c r="O1369" s="27" t="str">
        <f>IF(K1369="Not","No",IF(K1369="n/a","N/A",IF(K1369&gt;$Y$2,"Yes","No")))</f>
        <v>No</v>
      </c>
      <c r="Q1369" s="27" t="s">
        <v>118</v>
      </c>
      <c r="R1369" s="27" t="str">
        <f>IF(COUNTIF(R1366:R1368,"Yes"),"Yes","No")</f>
        <v>No</v>
      </c>
      <c r="S1369" s="27" t="str">
        <f>IF(COUNTIF(S1366:S1368,"Yes"),"Yes","No")</f>
        <v>No</v>
      </c>
      <c r="U1369" s="27" t="s">
        <v>164</v>
      </c>
      <c r="V1369" s="27" t="s">
        <v>9</v>
      </c>
      <c r="W1369" s="27" t="str">
        <f>O1369</f>
        <v>No</v>
      </c>
      <c r="X1369" s="27" t="str">
        <f t="shared" si="627"/>
        <v>Yes</v>
      </c>
    </row>
    <row r="1370" spans="1:38" x14ac:dyDescent="0.2">
      <c r="J1370" s="27" t="s">
        <v>22</v>
      </c>
      <c r="K1370" s="27">
        <v>2.5</v>
      </c>
      <c r="L1370" s="27" t="s">
        <v>12</v>
      </c>
      <c r="M1370" s="27" t="s">
        <v>43</v>
      </c>
      <c r="N1370" s="27" t="str">
        <f>IF(K1370="N/A","No", IF(K1370&gt;5000,"Yes","No"))</f>
        <v>No</v>
      </c>
      <c r="O1370" s="27" t="str">
        <f>IF(K1370="Not","No",IF(K1370="n/a","N/A",IF(K1370&gt;$Y$2,"Yes","No")))</f>
        <v>No</v>
      </c>
      <c r="U1370" s="27" t="s">
        <v>162</v>
      </c>
      <c r="V1370" s="27" t="str">
        <f>R1367</f>
        <v>No</v>
      </c>
      <c r="W1370" s="27" t="str">
        <f>S1367</f>
        <v>No</v>
      </c>
      <c r="X1370" s="27" t="str">
        <f t="shared" si="627"/>
        <v>Yes</v>
      </c>
    </row>
    <row r="1371" spans="1:38" x14ac:dyDescent="0.2">
      <c r="J1371" s="27" t="s">
        <v>25</v>
      </c>
      <c r="K1371" s="27">
        <v>2.5</v>
      </c>
      <c r="L1371" s="27" t="s">
        <v>12</v>
      </c>
      <c r="M1371" s="27" t="s">
        <v>126</v>
      </c>
      <c r="N1371" s="27" t="str">
        <f>IF(K1371="N/A","No", IF(K1371&gt;=20,"Yes","No"))</f>
        <v>No</v>
      </c>
      <c r="O1371" s="27" t="str">
        <f>IF(K1371="Not","No",IF(K1371="n/a","N/A",IF(K1371&gt;=$Y$6,"Yes","No")))</f>
        <v>No</v>
      </c>
      <c r="U1371" s="27" t="s">
        <v>101</v>
      </c>
      <c r="V1371" s="27" t="s">
        <v>9</v>
      </c>
      <c r="W1371" s="27" t="s">
        <v>9</v>
      </c>
      <c r="X1371" s="27" t="str">
        <f>IF(V1371="N/A","N/A",IF(W1371="N/A", "N/A", IF(V1371=W1371, "Yes","No")))</f>
        <v>Yes</v>
      </c>
    </row>
    <row r="1372" spans="1:38" x14ac:dyDescent="0.2">
      <c r="J1372" s="27" t="s">
        <v>29</v>
      </c>
      <c r="K1372" s="27">
        <v>2.5</v>
      </c>
      <c r="L1372" s="27" t="s">
        <v>12</v>
      </c>
      <c r="M1372" s="27" t="s">
        <v>222</v>
      </c>
      <c r="N1372" s="27" t="str">
        <f>IF(K1372="N/A","No", IF(K1372&gt;20,"Yes","No"))</f>
        <v>No</v>
      </c>
      <c r="O1372" s="27" t="str">
        <f t="shared" ref="O1372" si="630">IF(K1372="Not","No",IF(K1372="n/a","N/A",IF(K1372&gt;$Y$6,"Yes","No")))</f>
        <v>No</v>
      </c>
      <c r="U1372" s="27" t="s">
        <v>104</v>
      </c>
      <c r="V1372" s="27" t="s">
        <v>120</v>
      </c>
      <c r="W1372" s="27" t="str">
        <f>O1373</f>
        <v>No</v>
      </c>
      <c r="X1372" s="27" t="str">
        <f>IF(V1372="N/A","N/A",IF(W1372="N/A", "N/A", IF(V1372=W1372, "Yes","No")))</f>
        <v>N/A</v>
      </c>
    </row>
    <row r="1373" spans="1:38" x14ac:dyDescent="0.2">
      <c r="J1373" s="27" t="s">
        <v>34</v>
      </c>
      <c r="K1373" s="27">
        <v>6</v>
      </c>
      <c r="L1373" s="27" t="s">
        <v>12</v>
      </c>
      <c r="M1373" s="27" t="s">
        <v>210</v>
      </c>
      <c r="N1373" s="27" t="str">
        <f>IF(K1373="N/A","No", IF(K1373&gt;230,"Yes","No"))</f>
        <v>No</v>
      </c>
      <c r="O1373" s="27" t="str">
        <f>IF(K1373="Not","No",IF(K1373="n/a","N/A",IF(K1373&gt;$Y$5,"Yes","No")))</f>
        <v>No</v>
      </c>
      <c r="U1373" s="27" t="s">
        <v>106</v>
      </c>
      <c r="V1373" s="27" t="str">
        <f>R1368</f>
        <v>No</v>
      </c>
      <c r="W1373" s="27" t="str">
        <f>S1368</f>
        <v>No</v>
      </c>
      <c r="X1373" s="27" t="str">
        <f>IF(V1373="N/A","N/A",IF(W1373="N/A", "N/A", IF(V1373=W1373, "Yes","No")))</f>
        <v>Yes</v>
      </c>
    </row>
    <row r="1374" spans="1:38" x14ac:dyDescent="0.2">
      <c r="J1374" s="27" t="s">
        <v>208</v>
      </c>
      <c r="K1374" s="27">
        <v>5.7</v>
      </c>
      <c r="L1374" s="27" t="s">
        <v>12</v>
      </c>
      <c r="M1374" s="27" t="s">
        <v>223</v>
      </c>
      <c r="N1374" s="27" t="str">
        <f>IF(K1374="N/A","No", IF(K1374&gt;20,"Yes","No"))</f>
        <v>No</v>
      </c>
      <c r="O1374" s="27" t="str">
        <f>IF(K1374="Not","No",IF(K1374="n/a","N/A",IF(K1374&gt;$Y$7,"Yes","No")))</f>
        <v>No</v>
      </c>
      <c r="U1374" s="27" t="s">
        <v>121</v>
      </c>
      <c r="V1374" s="27" t="str">
        <f>R1369</f>
        <v>No</v>
      </c>
      <c r="W1374" s="27" t="str">
        <f>S1369</f>
        <v>No</v>
      </c>
      <c r="X1374" s="27" t="str">
        <f>IF(V1374="N/A","N/A",IF(W1374="N/A", "N/A", IF(V1374=W1374, "Yes","No")))</f>
        <v>Yes</v>
      </c>
    </row>
    <row r="1376" spans="1:38" x14ac:dyDescent="0.2">
      <c r="A1376" s="27">
        <v>1436</v>
      </c>
      <c r="B1376" s="27" t="s">
        <v>319</v>
      </c>
      <c r="C1376" s="27">
        <v>92</v>
      </c>
    </row>
    <row r="1377" spans="1:38" x14ac:dyDescent="0.2">
      <c r="A1377" s="59" t="s">
        <v>0</v>
      </c>
      <c r="E1377" s="27" t="s">
        <v>274</v>
      </c>
      <c r="F1377" s="27" t="s">
        <v>275</v>
      </c>
      <c r="G1377" s="27" t="s">
        <v>119</v>
      </c>
      <c r="J1377" s="59" t="s">
        <v>1</v>
      </c>
      <c r="N1377" s="27" t="s">
        <v>277</v>
      </c>
      <c r="O1377" s="27" t="s">
        <v>278</v>
      </c>
      <c r="Q1377" s="59" t="s">
        <v>115</v>
      </c>
      <c r="R1377" s="59" t="s">
        <v>0</v>
      </c>
      <c r="S1377" s="59" t="s">
        <v>1</v>
      </c>
      <c r="U1377" s="59" t="s">
        <v>115</v>
      </c>
      <c r="V1377" s="59" t="s">
        <v>0</v>
      </c>
      <c r="W1377" s="59" t="s">
        <v>1</v>
      </c>
      <c r="X1377" s="59" t="s">
        <v>122</v>
      </c>
      <c r="AA1377" s="27" t="str">
        <f>IF(R1378="Yes","LRA-Soil","")</f>
        <v>LRA-Soil</v>
      </c>
      <c r="AB1377" s="27" t="str">
        <f>IF(R1379="Yes","LRA-Paint","")</f>
        <v>LRA-Paint</v>
      </c>
      <c r="AC1377" s="27" t="str">
        <f>IF(R1380="Yes","LRA-Dust","")</f>
        <v>LRA-Dust</v>
      </c>
      <c r="AD1377" s="27" t="str">
        <f>IF(S1378="Yes","LSK-Soil","")</f>
        <v>LSK-Soil</v>
      </c>
      <c r="AE1377" s="27" t="str">
        <f>IF(S1379="Yes","LSK-Paint","")</f>
        <v/>
      </c>
      <c r="AF1377" s="27" t="str">
        <f>IF(S1380="Yes","LSK-Dust","")</f>
        <v>LSK-Dust</v>
      </c>
      <c r="AI1377" s="27" t="s">
        <v>46</v>
      </c>
      <c r="AJ1377" s="27" t="s">
        <v>43</v>
      </c>
      <c r="AK1377" s="27" t="s">
        <v>116</v>
      </c>
      <c r="AL1377" s="27" t="s">
        <v>117</v>
      </c>
    </row>
    <row r="1378" spans="1:38" x14ac:dyDescent="0.2">
      <c r="A1378" s="27" t="s">
        <v>185</v>
      </c>
      <c r="B1378" s="27" t="s">
        <v>186</v>
      </c>
      <c r="C1378" s="27">
        <v>1.6</v>
      </c>
      <c r="D1378" s="27" t="s">
        <v>4</v>
      </c>
      <c r="E1378" s="27" t="s">
        <v>5</v>
      </c>
      <c r="F1378" s="27" t="str">
        <f t="shared" ref="F1378" si="631">IF(C1378&gt;=$W$2,"Yes","No")</f>
        <v>Yes</v>
      </c>
      <c r="G1378" s="27" t="s">
        <v>5</v>
      </c>
      <c r="H1378" s="27" t="s">
        <v>46</v>
      </c>
      <c r="J1378" s="27" t="s">
        <v>6</v>
      </c>
      <c r="K1378" s="27">
        <v>389</v>
      </c>
      <c r="L1378" s="27" t="s">
        <v>12</v>
      </c>
      <c r="M1378" s="27" t="s">
        <v>36</v>
      </c>
      <c r="N1378" s="27" t="str">
        <f>IF(K1378="N/A","No", IF(K1378&gt;1200,"Yes","No"))</f>
        <v>No</v>
      </c>
      <c r="O1378" s="27" t="str">
        <f>IF(K1378="Not","No",IF(K1378="n/a","N/A",IF(K1378&gt;=$Y$3,"Yes","No")))</f>
        <v>No</v>
      </c>
      <c r="Q1378" s="27" t="s">
        <v>116</v>
      </c>
      <c r="R1378" s="27" t="str">
        <f>_xlfn.XLOOKUP("ppm",D1378:D1382,F1378:F1382,"N/A")</f>
        <v>Yes</v>
      </c>
      <c r="S1378" s="27" t="str">
        <f>IF(COUNTIF(O1378:O1380,"Yes"),"Yes","No")</f>
        <v>Yes</v>
      </c>
      <c r="U1378" s="27" t="s">
        <v>92</v>
      </c>
      <c r="V1378" s="27" t="s">
        <v>120</v>
      </c>
      <c r="W1378" s="27" t="s">
        <v>120</v>
      </c>
      <c r="X1378" s="27" t="str">
        <f>IF(V1378="N/A","N/A",IF(W1378="N/A", "N/A", IF(V1378=W1378, "Yes","No")))</f>
        <v>N/A</v>
      </c>
      <c r="AF1378" s="27" t="str">
        <f>IF(S1368="Yes","LSK-Dust","")</f>
        <v/>
      </c>
      <c r="AI1378" s="27">
        <f>COUNTIF(H1378:H1382,"Exterior")</f>
        <v>1</v>
      </c>
      <c r="AJ1378" s="27">
        <f>COUNTIF(H1378:H1382, "Interior")</f>
        <v>1</v>
      </c>
      <c r="AK1378" s="27">
        <f>COUNTIFS(D1378:D1382,"ppm")+COUNTIFS(D1378:D1382,"mg/Kg")</f>
        <v>2</v>
      </c>
      <c r="AL1378" s="27">
        <f>COUNTIF(D1378:D1382,"ug/ft2")</f>
        <v>1</v>
      </c>
    </row>
    <row r="1379" spans="1:38" x14ac:dyDescent="0.2">
      <c r="A1379" s="27" t="s">
        <v>200</v>
      </c>
      <c r="B1379" s="27" t="s">
        <v>294</v>
      </c>
      <c r="C1379" s="27">
        <v>870</v>
      </c>
      <c r="D1379" s="27" t="s">
        <v>12</v>
      </c>
      <c r="E1379" s="27" t="s">
        <v>9</v>
      </c>
      <c r="F1379" s="27" t="str">
        <f t="shared" ref="F1379:F1380" si="632">IF(C1379&gt;$W$3,"Yes","No")</f>
        <v>Yes</v>
      </c>
      <c r="G1379" s="27" t="s">
        <v>9</v>
      </c>
      <c r="J1379" s="27" t="s">
        <v>11</v>
      </c>
      <c r="K1379" s="27">
        <v>2064</v>
      </c>
      <c r="L1379" s="27" t="s">
        <v>12</v>
      </c>
      <c r="M1379" s="27" t="s">
        <v>429</v>
      </c>
      <c r="N1379" s="27" t="str">
        <f t="shared" ref="N1379:N1380" si="633">IF(K1379="N/A","No", IF(K1379&gt;1200,"Yes","No"))</f>
        <v>Yes</v>
      </c>
      <c r="O1379" s="27" t="str">
        <f t="shared" ref="O1379:O1380" si="634">IF(K1379="Not","No",IF(K1379="n/a","N/A",IF(K1379&gt;$Y$3,"Yes","No")))</f>
        <v>Yes</v>
      </c>
      <c r="Q1379" s="27" t="s">
        <v>98</v>
      </c>
      <c r="R1379" s="63" t="s">
        <v>5</v>
      </c>
      <c r="S1379" s="27" t="str">
        <f>IF(COUNTIF(O1381:O1382,"Yes"),"Yes","No")</f>
        <v>No</v>
      </c>
      <c r="U1379" s="27" t="s">
        <v>95</v>
      </c>
      <c r="V1379" s="27" t="str">
        <f>R1378</f>
        <v>Yes</v>
      </c>
      <c r="W1379" s="27" t="str">
        <f>S1378</f>
        <v>Yes</v>
      </c>
      <c r="X1379" s="27" t="str">
        <f t="shared" ref="X1379:X1382" si="635">IF(V1379="N/A","N/A",IF(W1379="N/A", "N/A", IF(V1379=W1379, "Yes","No")))</f>
        <v>Yes</v>
      </c>
    </row>
    <row r="1380" spans="1:38" x14ac:dyDescent="0.2">
      <c r="A1380" s="27" t="s">
        <v>200</v>
      </c>
      <c r="B1380" s="27" t="s">
        <v>286</v>
      </c>
      <c r="C1380" s="27">
        <v>440</v>
      </c>
      <c r="D1380" s="27" t="s">
        <v>12</v>
      </c>
      <c r="E1380" s="27" t="s">
        <v>9</v>
      </c>
      <c r="F1380" s="27" t="str">
        <f t="shared" si="632"/>
        <v>Yes</v>
      </c>
      <c r="G1380" s="27" t="s">
        <v>9</v>
      </c>
      <c r="J1380" s="27" t="s">
        <v>15</v>
      </c>
      <c r="K1380" s="27">
        <v>58</v>
      </c>
      <c r="L1380" s="27" t="s">
        <v>12</v>
      </c>
      <c r="M1380" s="27" t="s">
        <v>41</v>
      </c>
      <c r="N1380" s="27" t="str">
        <f t="shared" si="633"/>
        <v>No</v>
      </c>
      <c r="O1380" s="27" t="str">
        <f t="shared" si="634"/>
        <v>No</v>
      </c>
      <c r="Q1380" s="27" t="s">
        <v>117</v>
      </c>
      <c r="R1380" s="27" t="str">
        <f>_xlfn.XLOOKUP("ug/ft2",D1378:D1382,F1378:F1382,"N/A")</f>
        <v>Yes</v>
      </c>
      <c r="S1380" s="27" t="str">
        <f>IF(COUNTIF(O1383:O1386,"Yes"),"Yes","No")</f>
        <v>Yes</v>
      </c>
      <c r="U1380" s="27" t="s">
        <v>163</v>
      </c>
      <c r="V1380" s="27" t="s">
        <v>9</v>
      </c>
      <c r="W1380" s="27" t="s">
        <v>9</v>
      </c>
      <c r="X1380" s="27" t="str">
        <f t="shared" si="635"/>
        <v>Yes</v>
      </c>
    </row>
    <row r="1381" spans="1:38" x14ac:dyDescent="0.2">
      <c r="A1381" s="27" t="s">
        <v>201</v>
      </c>
      <c r="B1381" s="27" t="s">
        <v>189</v>
      </c>
      <c r="C1381" s="27">
        <v>0</v>
      </c>
      <c r="D1381" s="27" t="s">
        <v>4</v>
      </c>
      <c r="E1381" s="27" t="s">
        <v>9</v>
      </c>
      <c r="F1381" s="27" t="str">
        <f t="shared" ref="F1381" si="636">IF(C1381&gt;=$W$2,"Yes","No")</f>
        <v>No</v>
      </c>
      <c r="G1381" s="27" t="s">
        <v>9</v>
      </c>
      <c r="H1381" s="27" t="s">
        <v>43</v>
      </c>
      <c r="J1381" s="27" t="s">
        <v>19</v>
      </c>
      <c r="K1381" s="27">
        <v>0</v>
      </c>
      <c r="L1381" s="27" t="s">
        <v>12</v>
      </c>
      <c r="M1381" s="27" t="s">
        <v>402</v>
      </c>
      <c r="N1381" s="27" t="str">
        <f>IF(K1381="N/A","No", IF(K1381&gt;5000,"Yes","No"))</f>
        <v>No</v>
      </c>
      <c r="O1381" s="27" t="str">
        <f>IF(K1381="Not","No",IF(K1381="n/a","N/A",IF(K1381&gt;$Y$2,"Yes","No")))</f>
        <v>No</v>
      </c>
      <c r="Q1381" s="27" t="s">
        <v>118</v>
      </c>
      <c r="R1381" s="27" t="str">
        <f>IF(COUNTIF(R1378:R1380,"Yes"),"Yes","No")</f>
        <v>Yes</v>
      </c>
      <c r="S1381" s="27" t="str">
        <f>IF(COUNTIF(S1378:S1380,"Yes"),"Yes","No")</f>
        <v>Yes</v>
      </c>
      <c r="U1381" s="27" t="s">
        <v>164</v>
      </c>
      <c r="V1381" s="27" t="s">
        <v>5</v>
      </c>
      <c r="W1381" s="27" t="s">
        <v>9</v>
      </c>
      <c r="X1381" s="27" t="str">
        <f t="shared" si="635"/>
        <v>No</v>
      </c>
    </row>
    <row r="1382" spans="1:38" x14ac:dyDescent="0.2">
      <c r="A1382" s="27" t="s">
        <v>201</v>
      </c>
      <c r="B1382" s="27" t="s">
        <v>214</v>
      </c>
      <c r="C1382" s="27">
        <v>110</v>
      </c>
      <c r="D1382" s="27" t="s">
        <v>33</v>
      </c>
      <c r="E1382" s="27" t="s">
        <v>5</v>
      </c>
      <c r="F1382" s="27" t="str">
        <f t="shared" ref="F1382" si="637">IF(C1382&gt;$W$6,"Yes","No")</f>
        <v>Yes</v>
      </c>
      <c r="G1382" s="27" t="s">
        <v>5</v>
      </c>
      <c r="J1382" s="27" t="s">
        <v>22</v>
      </c>
      <c r="K1382" s="27">
        <v>0</v>
      </c>
      <c r="L1382" s="27" t="s">
        <v>12</v>
      </c>
      <c r="M1382" s="27" t="s">
        <v>70</v>
      </c>
      <c r="N1382" s="27" t="str">
        <f>IF(K1382="N/A","No", IF(K1382&gt;5000,"Yes","No"))</f>
        <v>No</v>
      </c>
      <c r="O1382" s="27" t="str">
        <f>IF(K1382="Not","No",IF(K1382="n/a","N/A",IF(K1382&gt;$Y$2,"Yes","No")))</f>
        <v>No</v>
      </c>
      <c r="U1382" s="27" t="s">
        <v>162</v>
      </c>
      <c r="V1382" s="27" t="str">
        <f>R1379</f>
        <v>Yes</v>
      </c>
      <c r="W1382" s="27" t="str">
        <f>S1379</f>
        <v>No</v>
      </c>
      <c r="X1382" s="27" t="str">
        <f t="shared" si="635"/>
        <v>No</v>
      </c>
    </row>
    <row r="1383" spans="1:38" x14ac:dyDescent="0.2">
      <c r="J1383" s="27" t="s">
        <v>25</v>
      </c>
      <c r="K1383" s="27">
        <v>53</v>
      </c>
      <c r="L1383" s="27" t="s">
        <v>12</v>
      </c>
      <c r="M1383" s="27" t="s">
        <v>126</v>
      </c>
      <c r="N1383" s="27" t="str">
        <f>IF(K1383="N/A","No", IF(K1383&gt;=20,"Yes","No"))</f>
        <v>Yes</v>
      </c>
      <c r="O1383" s="27" t="str">
        <f>IF(K1383="Not","No",IF(K1383="n/a","N/A",IF(K1383&gt;=$Y$6,"Yes","No")))</f>
        <v>Yes</v>
      </c>
      <c r="U1383" s="27" t="s">
        <v>101</v>
      </c>
      <c r="V1383" s="27" t="s">
        <v>5</v>
      </c>
      <c r="W1383" s="27" t="s">
        <v>5</v>
      </c>
      <c r="X1383" s="27" t="str">
        <f>IF(V1383="N/A","N/A",IF(W1383="N/A", "N/A", IF(V1383=W1383, "Yes","No")))</f>
        <v>Yes</v>
      </c>
    </row>
    <row r="1384" spans="1:38" x14ac:dyDescent="0.2">
      <c r="J1384" s="27" t="s">
        <v>29</v>
      </c>
      <c r="K1384" s="27">
        <v>0</v>
      </c>
      <c r="L1384" s="27" t="s">
        <v>12</v>
      </c>
      <c r="M1384" s="27" t="s">
        <v>222</v>
      </c>
      <c r="N1384" s="27" t="str">
        <f>IF(K1384="N/A","No", IF(K1384&gt;20,"Yes","No"))</f>
        <v>No</v>
      </c>
      <c r="O1384" s="27" t="str">
        <f t="shared" ref="O1384" si="638">IF(K1384="Not","No",IF(K1384="n/a","N/A",IF(K1384&gt;$Y$6,"Yes","No")))</f>
        <v>No</v>
      </c>
      <c r="U1384" s="27" t="s">
        <v>104</v>
      </c>
      <c r="V1384" s="27" t="s">
        <v>120</v>
      </c>
      <c r="W1384" s="27" t="s">
        <v>9</v>
      </c>
      <c r="X1384" s="27" t="str">
        <f>IF(V1384="N/A","N/A",IF(W1384="N/A", "N/A", IF(V1384=W1384, "Yes","No")))</f>
        <v>N/A</v>
      </c>
    </row>
    <row r="1385" spans="1:38" x14ac:dyDescent="0.2">
      <c r="J1385" s="27" t="s">
        <v>34</v>
      </c>
      <c r="K1385" s="27">
        <v>0</v>
      </c>
      <c r="L1385" s="27" t="s">
        <v>12</v>
      </c>
      <c r="M1385" s="27" t="s">
        <v>210</v>
      </c>
      <c r="N1385" s="27" t="str">
        <f>IF(K1385="N/A","No", IF(K1385&gt;230,"Yes","No"))</f>
        <v>No</v>
      </c>
      <c r="O1385" s="27" t="str">
        <f>IF(K1385="Not","No",IF(K1385="n/a","N/A",IF(K1385&gt;$Y$5,"Yes","No")))</f>
        <v>No</v>
      </c>
      <c r="U1385" s="27" t="s">
        <v>106</v>
      </c>
      <c r="V1385" s="27" t="str">
        <f>R1380</f>
        <v>Yes</v>
      </c>
      <c r="W1385" s="27" t="str">
        <f>S1380</f>
        <v>Yes</v>
      </c>
      <c r="X1385" s="27" t="str">
        <f>IF(V1385="N/A","N/A",IF(W1385="N/A", "N/A", IF(V1385=W1385, "Yes","No")))</f>
        <v>Yes</v>
      </c>
    </row>
    <row r="1386" spans="1:38" x14ac:dyDescent="0.2">
      <c r="U1386" s="27" t="s">
        <v>121</v>
      </c>
      <c r="V1386" s="27" t="str">
        <f>R1381</f>
        <v>Yes</v>
      </c>
      <c r="W1386" s="27" t="str">
        <f>S1381</f>
        <v>Yes</v>
      </c>
      <c r="X1386" s="27" t="str">
        <f>IF(V1386="N/A","N/A",IF(W1386="N/A", "N/A", IF(V1386=W1386, "Yes","No")))</f>
        <v>Yes</v>
      </c>
    </row>
    <row r="1388" spans="1:38" x14ac:dyDescent="0.2">
      <c r="A1388" s="27">
        <v>1437</v>
      </c>
      <c r="B1388" s="27" t="s">
        <v>319</v>
      </c>
      <c r="C1388" s="27">
        <v>93</v>
      </c>
    </row>
    <row r="1389" spans="1:38" x14ac:dyDescent="0.2">
      <c r="A1389" s="59" t="s">
        <v>0</v>
      </c>
      <c r="E1389" s="27" t="s">
        <v>274</v>
      </c>
      <c r="F1389" s="27" t="s">
        <v>275</v>
      </c>
      <c r="G1389" s="27" t="s">
        <v>119</v>
      </c>
      <c r="J1389" s="59" t="s">
        <v>1</v>
      </c>
      <c r="N1389" s="27" t="s">
        <v>277</v>
      </c>
      <c r="O1389" s="27" t="s">
        <v>278</v>
      </c>
      <c r="Q1389" s="59" t="s">
        <v>115</v>
      </c>
      <c r="R1389" s="59" t="s">
        <v>0</v>
      </c>
      <c r="S1389" s="59" t="s">
        <v>1</v>
      </c>
      <c r="U1389" s="59" t="s">
        <v>115</v>
      </c>
      <c r="V1389" s="59" t="s">
        <v>0</v>
      </c>
      <c r="W1389" s="59" t="s">
        <v>1</v>
      </c>
      <c r="X1389" s="59" t="s">
        <v>122</v>
      </c>
      <c r="AA1389" s="27" t="str">
        <f>IF(R1390="Yes","LRA-Soil","")</f>
        <v>LRA-Soil</v>
      </c>
      <c r="AB1389" s="27" t="str">
        <f>IF(R1391="Yes","LRA-Paint","")</f>
        <v>LRA-Paint</v>
      </c>
      <c r="AC1389" s="27" t="str">
        <f>IF(R1392="Yes","LRA-Dust","")</f>
        <v>LRA-Dust</v>
      </c>
      <c r="AD1389" s="27" t="str">
        <f>IF(S1390="Yes","LSK-Soil","")</f>
        <v>LSK-Soil</v>
      </c>
      <c r="AE1389" s="27" t="str">
        <f>IF(S1391="Yes","LSK-Paint","")</f>
        <v/>
      </c>
      <c r="AF1389" s="27" t="str">
        <f>IF(S1392="Yes","LSK-Dust","")</f>
        <v>LSK-Dust</v>
      </c>
      <c r="AI1389" s="27" t="s">
        <v>46</v>
      </c>
      <c r="AJ1389" s="27" t="s">
        <v>43</v>
      </c>
      <c r="AK1389" s="27" t="s">
        <v>116</v>
      </c>
      <c r="AL1389" s="27" t="s">
        <v>117</v>
      </c>
    </row>
    <row r="1390" spans="1:38" x14ac:dyDescent="0.2">
      <c r="A1390" s="27" t="s">
        <v>63</v>
      </c>
      <c r="B1390" s="27" t="s">
        <v>18</v>
      </c>
      <c r="C1390" s="27">
        <v>33.700000000000003</v>
      </c>
      <c r="D1390" s="27" t="s">
        <v>4</v>
      </c>
      <c r="F1390" s="27" t="str">
        <f t="shared" ref="F1390:F1395" si="639">IF(C1390&gt;=$W$2,"Yes","No")</f>
        <v>Yes</v>
      </c>
      <c r="G1390" s="27" t="s">
        <v>5</v>
      </c>
      <c r="H1390" s="27" t="s">
        <v>46</v>
      </c>
      <c r="J1390" s="27" t="s">
        <v>6</v>
      </c>
      <c r="K1390" s="27">
        <v>561</v>
      </c>
      <c r="L1390" s="27" t="s">
        <v>12</v>
      </c>
      <c r="M1390" s="27" t="s">
        <v>431</v>
      </c>
      <c r="N1390" s="27" t="str">
        <f>IF(K1390="N/A","No", IF(K1390&gt;1200,"Yes","No"))</f>
        <v>No</v>
      </c>
      <c r="O1390" s="27" t="str">
        <f>IF(K1390="Not","No",IF(K1390="n/a","N/A",IF(K1390&gt;=$Y$3,"Yes","No")))</f>
        <v>Yes</v>
      </c>
      <c r="Q1390" s="27" t="s">
        <v>116</v>
      </c>
      <c r="R1390" s="63" t="s">
        <v>5</v>
      </c>
      <c r="S1390" s="27" t="str">
        <f>IF(COUNTIF(O1390:O1392,"Yes"),"Yes","No")</f>
        <v>Yes</v>
      </c>
      <c r="U1390" s="27" t="s">
        <v>92</v>
      </c>
      <c r="V1390" s="27" t="str">
        <f>F1397</f>
        <v>Yes</v>
      </c>
      <c r="W1390" s="27" t="str">
        <f>O1391</f>
        <v>No</v>
      </c>
      <c r="X1390" s="27" t="str">
        <f>IF(V1390="N/A","N/A",IF(W1390="N/A", "N/A", IF(V1390=W1390, "Yes","No")))</f>
        <v>No</v>
      </c>
      <c r="AI1390" s="27">
        <f>COUNTIF(H1390:H1411,"Exterior")</f>
        <v>6</v>
      </c>
      <c r="AJ1390" s="27">
        <f>COUNTIF(H1390:H1411, "Interior")</f>
        <v>10</v>
      </c>
      <c r="AK1390" s="27">
        <f>COUNTIFS(D1390:D1411,"ppm")+COUNTIFS(D1390:D1411,"mg/Kg")</f>
        <v>3</v>
      </c>
      <c r="AL1390" s="27">
        <f>COUNTIF(D1390:D1411,"ug/ft2")</f>
        <v>3</v>
      </c>
    </row>
    <row r="1391" spans="1:38" x14ac:dyDescent="0.2">
      <c r="A1391" s="27" t="s">
        <v>63</v>
      </c>
      <c r="B1391" s="27" t="s">
        <v>18</v>
      </c>
      <c r="C1391" s="27">
        <v>3</v>
      </c>
      <c r="D1391" s="27" t="s">
        <v>4</v>
      </c>
      <c r="F1391" s="27" t="str">
        <f t="shared" si="639"/>
        <v>Yes</v>
      </c>
      <c r="G1391" s="27" t="s">
        <v>5</v>
      </c>
      <c r="H1391" s="27" t="s">
        <v>46</v>
      </c>
      <c r="J1391" s="27" t="s">
        <v>11</v>
      </c>
      <c r="K1391" s="27">
        <v>65</v>
      </c>
      <c r="L1391" s="27" t="s">
        <v>12</v>
      </c>
      <c r="M1391" s="27" t="s">
        <v>176</v>
      </c>
      <c r="N1391" s="27" t="str">
        <f t="shared" ref="N1391:N1392" si="640">IF(K1391="N/A","No", IF(K1391&gt;1200,"Yes","No"))</f>
        <v>No</v>
      </c>
      <c r="O1391" s="27" t="str">
        <f t="shared" ref="O1391:O1392" si="641">IF(K1391="Not","No",IF(K1391="n/a","N/A",IF(K1391&gt;$Y$3,"Yes","No")))</f>
        <v>No</v>
      </c>
      <c r="Q1391" s="27" t="s">
        <v>98</v>
      </c>
      <c r="R1391" s="27" t="str">
        <f>_xlfn.XLOOKUP("mg/cm2",D1390:D1411,G1390:G1411,"N/A",1,-1)</f>
        <v>Yes</v>
      </c>
      <c r="S1391" s="27" t="str">
        <f>IF(COUNTIF(O1393:O1394,"Yes"),"Yes","No")</f>
        <v>No</v>
      </c>
      <c r="U1391" s="27" t="s">
        <v>95</v>
      </c>
      <c r="V1391" s="27" t="str">
        <f>R1390</f>
        <v>Yes</v>
      </c>
      <c r="W1391" s="27" t="str">
        <f>S1390</f>
        <v>Yes</v>
      </c>
      <c r="X1391" s="27" t="str">
        <f t="shared" ref="X1391:X1394" si="642">IF(V1391="N/A","N/A",IF(W1391="N/A", "N/A", IF(V1391=W1391, "Yes","No")))</f>
        <v>Yes</v>
      </c>
    </row>
    <row r="1392" spans="1:38" x14ac:dyDescent="0.2">
      <c r="A1392" s="27" t="s">
        <v>63</v>
      </c>
      <c r="B1392" s="27" t="s">
        <v>24</v>
      </c>
      <c r="C1392" s="27">
        <v>32.6</v>
      </c>
      <c r="D1392" s="27" t="s">
        <v>4</v>
      </c>
      <c r="F1392" s="27" t="str">
        <f t="shared" si="639"/>
        <v>Yes</v>
      </c>
      <c r="G1392" s="27" t="s">
        <v>5</v>
      </c>
      <c r="H1392" s="27" t="s">
        <v>46</v>
      </c>
      <c r="J1392" s="27" t="s">
        <v>15</v>
      </c>
      <c r="K1392" s="27">
        <v>101</v>
      </c>
      <c r="L1392" s="27" t="s">
        <v>12</v>
      </c>
      <c r="M1392" s="27" t="s">
        <v>41</v>
      </c>
      <c r="N1392" s="27" t="str">
        <f t="shared" si="640"/>
        <v>No</v>
      </c>
      <c r="O1392" s="27" t="str">
        <f t="shared" si="641"/>
        <v>No</v>
      </c>
      <c r="Q1392" s="27" t="s">
        <v>117</v>
      </c>
      <c r="R1392" s="27" t="str">
        <f>_xlfn.XLOOKUP("ug/ft2",D1390:D1411,F1390:F1411,"N/A")</f>
        <v>Yes</v>
      </c>
      <c r="S1392" s="27" t="str">
        <f>IF(COUNTIF(O1395:O1398,"Yes"),"Yes","No")</f>
        <v>Yes</v>
      </c>
      <c r="U1392" s="27" t="s">
        <v>163</v>
      </c>
      <c r="V1392" s="27" t="s">
        <v>5</v>
      </c>
      <c r="W1392" s="27" t="s">
        <v>9</v>
      </c>
      <c r="X1392" s="27" t="str">
        <f t="shared" si="642"/>
        <v>No</v>
      </c>
    </row>
    <row r="1393" spans="1:24" x14ac:dyDescent="0.2">
      <c r="A1393" s="27" t="s">
        <v>63</v>
      </c>
      <c r="B1393" s="27" t="s">
        <v>24</v>
      </c>
      <c r="C1393" s="27">
        <v>2.5</v>
      </c>
      <c r="D1393" s="27" t="s">
        <v>4</v>
      </c>
      <c r="F1393" s="27" t="str">
        <f t="shared" si="639"/>
        <v>Yes</v>
      </c>
      <c r="G1393" s="27" t="s">
        <v>5</v>
      </c>
      <c r="H1393" s="27" t="s">
        <v>46</v>
      </c>
      <c r="J1393" s="27" t="s">
        <v>19</v>
      </c>
      <c r="K1393" s="27">
        <v>3239</v>
      </c>
      <c r="L1393" s="27" t="s">
        <v>12</v>
      </c>
      <c r="M1393" s="27" t="s">
        <v>432</v>
      </c>
      <c r="N1393" s="27" t="str">
        <f>IF(K1393="N/A","No", IF(K1393&gt;5000,"Yes","No"))</f>
        <v>No</v>
      </c>
      <c r="O1393" s="27" t="str">
        <f>IF(K1393="Not","No",IF(K1393="n/a","N/A",IF(K1393&gt;$Y$2,"Yes","No")))</f>
        <v>No</v>
      </c>
      <c r="Q1393" s="27" t="s">
        <v>118</v>
      </c>
      <c r="R1393" s="27" t="str">
        <f>IF(COUNTIF(R1390:R1392,"Yes"),"Yes","No")</f>
        <v>Yes</v>
      </c>
      <c r="S1393" s="27" t="str">
        <f>IF(COUNTIF(S1390:S1392,"Yes"),"Yes","No")</f>
        <v>Yes</v>
      </c>
      <c r="U1393" s="27" t="s">
        <v>164</v>
      </c>
      <c r="V1393" s="27" t="s">
        <v>5</v>
      </c>
      <c r="W1393" s="27" t="s">
        <v>9</v>
      </c>
      <c r="X1393" s="27" t="str">
        <f t="shared" si="642"/>
        <v>No</v>
      </c>
    </row>
    <row r="1394" spans="1:24" x14ac:dyDescent="0.2">
      <c r="A1394" s="27" t="s">
        <v>63</v>
      </c>
      <c r="B1394" s="27" t="s">
        <v>24</v>
      </c>
      <c r="C1394" s="27">
        <v>35.4</v>
      </c>
      <c r="D1394" s="27" t="s">
        <v>4</v>
      </c>
      <c r="F1394" s="27" t="str">
        <f t="shared" si="639"/>
        <v>Yes</v>
      </c>
      <c r="G1394" s="27" t="s">
        <v>5</v>
      </c>
      <c r="H1394" s="27" t="s">
        <v>46</v>
      </c>
      <c r="J1394" s="27" t="s">
        <v>22</v>
      </c>
      <c r="K1394" s="27">
        <v>440</v>
      </c>
      <c r="L1394" s="27" t="s">
        <v>12</v>
      </c>
      <c r="M1394" s="27" t="s">
        <v>325</v>
      </c>
      <c r="N1394" s="27" t="str">
        <f>IF(K1394="N/A","No", IF(K1394&gt;5000,"Yes","No"))</f>
        <v>No</v>
      </c>
      <c r="O1394" s="27" t="str">
        <f>IF(K1394="Not","No",IF(K1394="n/a","N/A",IF(K1394&gt;$Y$2,"Yes","No")))</f>
        <v>No</v>
      </c>
      <c r="U1394" s="27" t="s">
        <v>162</v>
      </c>
      <c r="V1394" s="27" t="str">
        <f>R1391</f>
        <v>Yes</v>
      </c>
      <c r="W1394" s="27" t="str">
        <f>S1391</f>
        <v>No</v>
      </c>
      <c r="X1394" s="27" t="str">
        <f t="shared" si="642"/>
        <v>No</v>
      </c>
    </row>
    <row r="1395" spans="1:24" x14ac:dyDescent="0.2">
      <c r="A1395" s="27" t="s">
        <v>63</v>
      </c>
      <c r="B1395" s="27" t="s">
        <v>24</v>
      </c>
      <c r="C1395" s="27">
        <v>5.4</v>
      </c>
      <c r="D1395" s="27" t="s">
        <v>4</v>
      </c>
      <c r="F1395" s="27" t="str">
        <f t="shared" si="639"/>
        <v>Yes</v>
      </c>
      <c r="G1395" s="27" t="s">
        <v>5</v>
      </c>
      <c r="H1395" s="27" t="s">
        <v>46</v>
      </c>
      <c r="J1395" s="27" t="s">
        <v>25</v>
      </c>
      <c r="K1395" s="27">
        <v>491</v>
      </c>
      <c r="L1395" s="27" t="s">
        <v>12</v>
      </c>
      <c r="M1395" s="27" t="s">
        <v>48</v>
      </c>
      <c r="N1395" s="27" t="str">
        <f>IF(K1395="N/A","No", IF(K1395&gt;=20,"Yes","No"))</f>
        <v>Yes</v>
      </c>
      <c r="O1395" s="27" t="str">
        <f>IF(K1395="Not","No",IF(K1395="n/a","N/A",IF(K1395&gt;=$Y$5,"Yes","No")))</f>
        <v>Yes</v>
      </c>
      <c r="U1395" s="27" t="s">
        <v>101</v>
      </c>
      <c r="V1395" s="27" t="s">
        <v>5</v>
      </c>
      <c r="W1395" s="27" t="s">
        <v>5</v>
      </c>
      <c r="X1395" s="27" t="str">
        <f>IF(V1395="N/A","N/A",IF(W1395="N/A", "N/A", IF(V1395=W1395, "Yes","No")))</f>
        <v>Yes</v>
      </c>
    </row>
    <row r="1396" spans="1:24" x14ac:dyDescent="0.2">
      <c r="A1396" s="27" t="s">
        <v>161</v>
      </c>
      <c r="B1396" s="27" t="s">
        <v>69</v>
      </c>
      <c r="C1396" s="27">
        <v>93</v>
      </c>
      <c r="D1396" s="27" t="s">
        <v>12</v>
      </c>
      <c r="F1396" s="27" t="str">
        <f t="shared" ref="F1396:F1398" si="643">IF(C1396&gt;$W$3,"Yes","No")</f>
        <v>No</v>
      </c>
      <c r="G1396" s="27" t="s">
        <v>9</v>
      </c>
      <c r="J1396" s="27" t="s">
        <v>29</v>
      </c>
      <c r="K1396" s="27">
        <v>107</v>
      </c>
      <c r="L1396" s="27" t="s">
        <v>12</v>
      </c>
      <c r="M1396" s="27" t="s">
        <v>72</v>
      </c>
      <c r="N1396" s="27" t="str">
        <f>IF(K1396="N/A","No", IF(K1396&gt;20,"Yes","No"))</f>
        <v>Yes</v>
      </c>
      <c r="O1396" s="27" t="str">
        <f t="shared" ref="O1396" si="644">IF(K1396="Not","No",IF(K1396="n/a","N/A",IF(K1396&gt;$Y$6,"Yes","No")))</f>
        <v>Yes</v>
      </c>
      <c r="U1396" s="27" t="s">
        <v>104</v>
      </c>
      <c r="V1396" s="27" t="s">
        <v>5</v>
      </c>
      <c r="W1396" s="27" t="s">
        <v>5</v>
      </c>
      <c r="X1396" s="27" t="str">
        <f>IF(V1396="N/A","N/A",IF(W1396="N/A", "N/A", IF(V1396=W1396, "Yes","No")))</f>
        <v>Yes</v>
      </c>
    </row>
    <row r="1397" spans="1:24" x14ac:dyDescent="0.2">
      <c r="A1397" s="27" t="s">
        <v>161</v>
      </c>
      <c r="B1397" s="27" t="s">
        <v>69</v>
      </c>
      <c r="C1397" s="27">
        <v>400</v>
      </c>
      <c r="D1397" s="27" t="s">
        <v>12</v>
      </c>
      <c r="F1397" s="27" t="str">
        <f>IF(C1397&gt;=$W$3,"Yes","No")</f>
        <v>Yes</v>
      </c>
      <c r="G1397" s="27" t="s">
        <v>5</v>
      </c>
      <c r="J1397" s="27" t="s">
        <v>34</v>
      </c>
      <c r="K1397" s="27">
        <v>67</v>
      </c>
      <c r="L1397" s="27" t="s">
        <v>12</v>
      </c>
      <c r="M1397" s="27" t="s">
        <v>81</v>
      </c>
      <c r="N1397" s="27" t="str">
        <f>IF(K1397="N/A","No", IF(K1397&gt;230,"Yes","No"))</f>
        <v>No</v>
      </c>
      <c r="O1397" s="27" t="str">
        <f>IF(K1397="Not","No",IF(K1397="n/a","N/A",IF(K1397&gt;$Y$6,"Yes","No")))</f>
        <v>Yes</v>
      </c>
      <c r="U1397" s="27" t="s">
        <v>106</v>
      </c>
      <c r="V1397" s="27" t="str">
        <f>R1392</f>
        <v>Yes</v>
      </c>
      <c r="W1397" s="27" t="str">
        <f>S1392</f>
        <v>Yes</v>
      </c>
      <c r="X1397" s="27" t="str">
        <f>IF(V1397="N/A","N/A",IF(W1397="N/A", "N/A", IF(V1397=W1397, "Yes","No")))</f>
        <v>Yes</v>
      </c>
    </row>
    <row r="1398" spans="1:24" x14ac:dyDescent="0.2">
      <c r="A1398" s="27" t="s">
        <v>161</v>
      </c>
      <c r="B1398" s="27" t="s">
        <v>69</v>
      </c>
      <c r="C1398" s="27">
        <v>84</v>
      </c>
      <c r="D1398" s="27" t="s">
        <v>12</v>
      </c>
      <c r="F1398" s="27" t="str">
        <f t="shared" si="643"/>
        <v>No</v>
      </c>
      <c r="G1398" s="27" t="s">
        <v>9</v>
      </c>
      <c r="U1398" s="27" t="s">
        <v>121</v>
      </c>
      <c r="V1398" s="27" t="str">
        <f>R1393</f>
        <v>Yes</v>
      </c>
      <c r="W1398" s="27" t="str">
        <f>S1393</f>
        <v>Yes</v>
      </c>
      <c r="X1398" s="27" t="str">
        <f>IF(V1398="N/A","N/A",IF(W1398="N/A", "N/A", IF(V1398=W1398, "Yes","No")))</f>
        <v>Yes</v>
      </c>
    </row>
    <row r="1399" spans="1:24" x14ac:dyDescent="0.2">
      <c r="A1399" s="27" t="s">
        <v>109</v>
      </c>
      <c r="B1399" s="27" t="s">
        <v>10</v>
      </c>
      <c r="C1399" s="27">
        <v>12.5</v>
      </c>
      <c r="D1399" s="27" t="s">
        <v>4</v>
      </c>
      <c r="F1399" s="27" t="str">
        <f t="shared" ref="F1399:F1408" si="645">IF(C1399&gt;=$W$2,"Yes","No")</f>
        <v>Yes</v>
      </c>
      <c r="G1399" s="27" t="s">
        <v>5</v>
      </c>
      <c r="H1399" s="27" t="s">
        <v>43</v>
      </c>
    </row>
    <row r="1400" spans="1:24" x14ac:dyDescent="0.2">
      <c r="A1400" s="27" t="s">
        <v>293</v>
      </c>
      <c r="B1400" s="27" t="s">
        <v>10</v>
      </c>
      <c r="C1400" s="27">
        <v>9.1999999999999993</v>
      </c>
      <c r="D1400" s="27" t="s">
        <v>4</v>
      </c>
      <c r="F1400" s="27" t="str">
        <f t="shared" si="645"/>
        <v>Yes</v>
      </c>
      <c r="G1400" s="27" t="s">
        <v>5</v>
      </c>
      <c r="H1400" s="27" t="s">
        <v>43</v>
      </c>
    </row>
    <row r="1401" spans="1:24" x14ac:dyDescent="0.2">
      <c r="A1401" s="27" t="s">
        <v>293</v>
      </c>
      <c r="B1401" s="27" t="s">
        <v>77</v>
      </c>
      <c r="C1401" s="27">
        <v>10.199999999999999</v>
      </c>
      <c r="D1401" s="27" t="s">
        <v>4</v>
      </c>
      <c r="F1401" s="27" t="str">
        <f t="shared" si="645"/>
        <v>Yes</v>
      </c>
      <c r="G1401" s="27" t="s">
        <v>5</v>
      </c>
      <c r="H1401" s="27" t="s">
        <v>43</v>
      </c>
    </row>
    <row r="1402" spans="1:24" x14ac:dyDescent="0.2">
      <c r="A1402" s="27" t="s">
        <v>307</v>
      </c>
      <c r="B1402" s="27" t="s">
        <v>10</v>
      </c>
      <c r="C1402" s="27">
        <v>7.5</v>
      </c>
      <c r="D1402" s="27" t="s">
        <v>4</v>
      </c>
      <c r="F1402" s="27" t="str">
        <f t="shared" si="645"/>
        <v>Yes</v>
      </c>
      <c r="G1402" s="27" t="s">
        <v>5</v>
      </c>
      <c r="H1402" s="27" t="s">
        <v>43</v>
      </c>
    </row>
    <row r="1403" spans="1:24" x14ac:dyDescent="0.2">
      <c r="A1403" s="27" t="s">
        <v>307</v>
      </c>
      <c r="B1403" s="27" t="s">
        <v>77</v>
      </c>
      <c r="C1403" s="27">
        <v>10.1</v>
      </c>
      <c r="D1403" s="27" t="s">
        <v>4</v>
      </c>
      <c r="F1403" s="27" t="str">
        <f t="shared" si="645"/>
        <v>Yes</v>
      </c>
      <c r="G1403" s="27" t="s">
        <v>5</v>
      </c>
      <c r="H1403" s="27" t="s">
        <v>43</v>
      </c>
    </row>
    <row r="1404" spans="1:24" x14ac:dyDescent="0.2">
      <c r="A1404" s="27" t="s">
        <v>64</v>
      </c>
      <c r="B1404" s="27" t="s">
        <v>40</v>
      </c>
      <c r="C1404" s="27">
        <v>30</v>
      </c>
      <c r="D1404" s="27" t="s">
        <v>4</v>
      </c>
      <c r="F1404" s="27" t="str">
        <f t="shared" si="645"/>
        <v>Yes</v>
      </c>
      <c r="G1404" s="27" t="s">
        <v>5</v>
      </c>
      <c r="H1404" s="27" t="s">
        <v>43</v>
      </c>
    </row>
    <row r="1405" spans="1:24" x14ac:dyDescent="0.2">
      <c r="A1405" s="27" t="s">
        <v>64</v>
      </c>
      <c r="B1405" s="27" t="s">
        <v>40</v>
      </c>
      <c r="C1405" s="27">
        <v>2.9</v>
      </c>
      <c r="D1405" s="27" t="s">
        <v>4</v>
      </c>
      <c r="F1405" s="27" t="str">
        <f t="shared" si="645"/>
        <v>Yes</v>
      </c>
      <c r="G1405" s="27" t="s">
        <v>5</v>
      </c>
      <c r="H1405" s="27" t="s">
        <v>43</v>
      </c>
    </row>
    <row r="1406" spans="1:24" x14ac:dyDescent="0.2">
      <c r="A1406" s="27" t="s">
        <v>64</v>
      </c>
      <c r="B1406" s="27" t="s">
        <v>40</v>
      </c>
      <c r="C1406" s="27">
        <v>30.6</v>
      </c>
      <c r="D1406" s="27" t="s">
        <v>4</v>
      </c>
      <c r="F1406" s="27" t="str">
        <f t="shared" si="645"/>
        <v>Yes</v>
      </c>
      <c r="G1406" s="27" t="s">
        <v>5</v>
      </c>
      <c r="H1406" s="27" t="s">
        <v>43</v>
      </c>
    </row>
    <row r="1407" spans="1:24" x14ac:dyDescent="0.2">
      <c r="A1407" s="27" t="s">
        <v>64</v>
      </c>
      <c r="B1407" s="27" t="s">
        <v>24</v>
      </c>
      <c r="C1407" s="27">
        <v>2.8</v>
      </c>
      <c r="D1407" s="27" t="s">
        <v>4</v>
      </c>
      <c r="F1407" s="27" t="str">
        <f t="shared" si="645"/>
        <v>Yes</v>
      </c>
      <c r="G1407" s="27" t="s">
        <v>5</v>
      </c>
      <c r="H1407" s="27" t="s">
        <v>43</v>
      </c>
    </row>
    <row r="1408" spans="1:24" x14ac:dyDescent="0.2">
      <c r="A1408" s="27" t="s">
        <v>64</v>
      </c>
      <c r="B1408" s="27" t="s">
        <v>24</v>
      </c>
      <c r="C1408" s="27">
        <v>2.9</v>
      </c>
      <c r="D1408" s="27" t="s">
        <v>4</v>
      </c>
      <c r="F1408" s="27" t="str">
        <f t="shared" si="645"/>
        <v>Yes</v>
      </c>
      <c r="G1408" s="27" t="s">
        <v>5</v>
      </c>
      <c r="H1408" s="27" t="s">
        <v>43</v>
      </c>
    </row>
    <row r="1409" spans="1:38" x14ac:dyDescent="0.2">
      <c r="A1409" s="27" t="s">
        <v>109</v>
      </c>
      <c r="B1409" s="27" t="s">
        <v>54</v>
      </c>
      <c r="C1409" s="27">
        <v>160</v>
      </c>
      <c r="D1409" s="27" t="s">
        <v>33</v>
      </c>
      <c r="F1409" s="27" t="str">
        <f t="shared" ref="F1409" si="646">IF(C1409&gt;$W$5,"Yes","No")</f>
        <v>Yes</v>
      </c>
      <c r="G1409" s="27" t="s">
        <v>5</v>
      </c>
    </row>
    <row r="1410" spans="1:38" x14ac:dyDescent="0.2">
      <c r="A1410" s="27" t="s">
        <v>71</v>
      </c>
      <c r="B1410" s="27" t="s">
        <v>32</v>
      </c>
      <c r="C1410" s="27">
        <v>50</v>
      </c>
      <c r="D1410" s="27" t="s">
        <v>33</v>
      </c>
      <c r="F1410" s="27" t="str">
        <f t="shared" ref="F1410" si="647">IF(C1410&gt;$W$6,"Yes","No")</f>
        <v>Yes</v>
      </c>
      <c r="G1410" s="27" t="s">
        <v>5</v>
      </c>
    </row>
    <row r="1411" spans="1:38" x14ac:dyDescent="0.2">
      <c r="A1411" s="27" t="s">
        <v>158</v>
      </c>
      <c r="B1411" s="27" t="s">
        <v>54</v>
      </c>
      <c r="C1411" s="27">
        <v>110</v>
      </c>
      <c r="D1411" s="27" t="s">
        <v>33</v>
      </c>
      <c r="F1411" s="27" t="str">
        <f t="shared" ref="F1411" si="648">IF(C1411&gt;$W$5,"Yes","No")</f>
        <v>Yes</v>
      </c>
      <c r="G1411" s="27" t="s">
        <v>5</v>
      </c>
    </row>
    <row r="1414" spans="1:38" x14ac:dyDescent="0.2">
      <c r="A1414" s="27">
        <v>1448</v>
      </c>
      <c r="B1414" s="27" t="s">
        <v>319</v>
      </c>
      <c r="C1414" s="27">
        <v>94</v>
      </c>
    </row>
    <row r="1415" spans="1:38" x14ac:dyDescent="0.2">
      <c r="A1415" s="59" t="s">
        <v>0</v>
      </c>
      <c r="E1415" s="27" t="s">
        <v>274</v>
      </c>
      <c r="F1415" s="27" t="s">
        <v>275</v>
      </c>
      <c r="G1415" s="27" t="s">
        <v>119</v>
      </c>
      <c r="J1415" s="59" t="s">
        <v>1</v>
      </c>
      <c r="N1415" s="27" t="s">
        <v>277</v>
      </c>
      <c r="O1415" s="27" t="s">
        <v>278</v>
      </c>
      <c r="Q1415" s="59" t="s">
        <v>115</v>
      </c>
      <c r="R1415" s="59" t="s">
        <v>0</v>
      </c>
      <c r="S1415" s="59" t="s">
        <v>1</v>
      </c>
      <c r="U1415" s="59" t="s">
        <v>115</v>
      </c>
      <c r="V1415" s="59" t="s">
        <v>0</v>
      </c>
      <c r="W1415" s="59" t="s">
        <v>1</v>
      </c>
      <c r="X1415" s="59" t="s">
        <v>122</v>
      </c>
      <c r="AA1415" s="27" t="str">
        <f>IF(R1416="Yes","LRA-Soil","")</f>
        <v/>
      </c>
      <c r="AB1415" s="27" t="str">
        <f>IF(R1417="Yes","LRA-Paint","")</f>
        <v/>
      </c>
      <c r="AC1415" s="27" t="str">
        <f>IF(R1418="Yes","LRA-Dust","")</f>
        <v>LRA-Dust</v>
      </c>
      <c r="AD1415" s="27" t="str">
        <f>IF(S1416="Yes","LSK-Soil","")</f>
        <v/>
      </c>
      <c r="AE1415" s="27" t="str">
        <f>IF(S1417="Yes","LSK-Paint","")</f>
        <v/>
      </c>
      <c r="AF1415" s="27" t="str">
        <f>IF(S1418="Yes","LSK-Dust","")</f>
        <v>LSK-Dust</v>
      </c>
      <c r="AI1415" s="27" t="s">
        <v>46</v>
      </c>
      <c r="AJ1415" s="27" t="s">
        <v>43</v>
      </c>
      <c r="AK1415" s="27" t="s">
        <v>116</v>
      </c>
      <c r="AL1415" s="27" t="s">
        <v>117</v>
      </c>
    </row>
    <row r="1416" spans="1:38" x14ac:dyDescent="0.2">
      <c r="A1416" s="27" t="s">
        <v>62</v>
      </c>
      <c r="B1416" s="27" t="s">
        <v>10</v>
      </c>
      <c r="C1416" s="27">
        <v>20.5</v>
      </c>
      <c r="D1416" s="27" t="s">
        <v>4</v>
      </c>
      <c r="F1416" s="27" t="str">
        <f t="shared" ref="F1416:F1428" si="649">IF(C1416&gt;=$W$2,"Yes","No")</f>
        <v>Yes</v>
      </c>
      <c r="G1416" s="27" t="s">
        <v>5</v>
      </c>
      <c r="H1416" s="27" t="s">
        <v>46</v>
      </c>
      <c r="J1416" s="27" t="s">
        <v>6</v>
      </c>
      <c r="K1416" s="27">
        <v>160</v>
      </c>
      <c r="L1416" s="27" t="s">
        <v>12</v>
      </c>
      <c r="M1416" s="27" t="s">
        <v>36</v>
      </c>
      <c r="N1416" s="27" t="str">
        <f>IF(K1416="N/A","No", IF(K1416&gt;1200,"Yes","No"))</f>
        <v>No</v>
      </c>
      <c r="O1416" s="27" t="str">
        <f>IF(K1416="Not","No",IF(K1416="n/a","N/A",IF(K1416&gt;=$Y$3,"Yes","No")))</f>
        <v>No</v>
      </c>
      <c r="Q1416" s="27" t="s">
        <v>116</v>
      </c>
      <c r="R1416" s="27" t="str">
        <f>_xlfn.XLOOKUP("ppm",D1416:D1437,F1416:F1437,"N/A")</f>
        <v>No</v>
      </c>
      <c r="S1416" s="27" t="str">
        <f>IF(COUNTIF(O1416:O1418,"Yes"),"Yes","No")</f>
        <v>No</v>
      </c>
      <c r="U1416" s="27" t="s">
        <v>92</v>
      </c>
      <c r="V1416" s="27" t="s">
        <v>120</v>
      </c>
      <c r="W1416" s="27" t="str">
        <f>O1417</f>
        <v>No</v>
      </c>
      <c r="X1416" s="27" t="str">
        <f>IF(V1416="N/A","N/A",IF(W1416="N/A", "N/A", IF(V1416=W1416, "Yes","No")))</f>
        <v>N/A</v>
      </c>
      <c r="AI1416" s="27">
        <f>COUNTIF(H1416:H1430,"Exterior")</f>
        <v>2</v>
      </c>
      <c r="AJ1416" s="27">
        <f>COUNTIF(H1416:H1430, "Interior")</f>
        <v>9</v>
      </c>
      <c r="AK1416" s="27">
        <f>COUNTIFS(D1416:D1430,"ppm")+COUNTIFS(D1416:D1430,"mg/Kg")</f>
        <v>2</v>
      </c>
      <c r="AL1416" s="27">
        <f>COUNTIF(D1416:D1430,"ug/ft2")</f>
        <v>2</v>
      </c>
    </row>
    <row r="1417" spans="1:38" x14ac:dyDescent="0.2">
      <c r="A1417" s="27" t="s">
        <v>63</v>
      </c>
      <c r="B1417" s="27" t="s">
        <v>77</v>
      </c>
      <c r="C1417" s="27">
        <v>23.2</v>
      </c>
      <c r="D1417" s="27" t="s">
        <v>4</v>
      </c>
      <c r="F1417" s="27" t="str">
        <f t="shared" si="649"/>
        <v>Yes</v>
      </c>
      <c r="G1417" s="27" t="s">
        <v>5</v>
      </c>
      <c r="H1417" s="27" t="s">
        <v>46</v>
      </c>
      <c r="J1417" s="27" t="s">
        <v>11</v>
      </c>
      <c r="K1417" s="27">
        <v>161</v>
      </c>
      <c r="L1417" s="27" t="s">
        <v>12</v>
      </c>
      <c r="M1417" s="27" t="s">
        <v>176</v>
      </c>
      <c r="N1417" s="27" t="str">
        <f t="shared" ref="N1417:N1418" si="650">IF(K1417="N/A","No", IF(K1417&gt;1200,"Yes","No"))</f>
        <v>No</v>
      </c>
      <c r="O1417" s="27" t="str">
        <f t="shared" ref="O1417:O1418" si="651">IF(K1417="Not","No",IF(K1417="n/a","N/A",IF(K1417&gt;$Y$3,"Yes","No")))</f>
        <v>No</v>
      </c>
      <c r="Q1417" s="27" t="s">
        <v>98</v>
      </c>
      <c r="R1417" s="27" t="str">
        <f>_xlfn.XLOOKUP("mg/cm2",D1416:D1437,G1416:G1437,"N/A",1,-1)</f>
        <v>No</v>
      </c>
      <c r="S1417" s="27" t="str">
        <f>IF(COUNTIF(O1419:O1420,"Yes"),"Yes","No")</f>
        <v>No</v>
      </c>
      <c r="U1417" s="27" t="s">
        <v>95</v>
      </c>
      <c r="V1417" s="27" t="str">
        <f>R1416</f>
        <v>No</v>
      </c>
      <c r="W1417" s="27" t="str">
        <f>S1416</f>
        <v>No</v>
      </c>
      <c r="X1417" s="27" t="str">
        <f t="shared" ref="X1417:X1420" si="652">IF(V1417="N/A","N/A",IF(W1417="N/A", "N/A", IF(V1417=W1417, "Yes","No")))</f>
        <v>Yes</v>
      </c>
    </row>
    <row r="1418" spans="1:38" x14ac:dyDescent="0.2">
      <c r="A1418" s="27" t="s">
        <v>75</v>
      </c>
      <c r="B1418" s="27" t="s">
        <v>301</v>
      </c>
      <c r="C1418" s="27">
        <v>220</v>
      </c>
      <c r="D1418" s="27" t="s">
        <v>12</v>
      </c>
      <c r="F1418" s="27" t="str">
        <f t="shared" ref="F1418:F1419" si="653">IF(C1418&gt;=$W$3,"Yes","No")</f>
        <v>No</v>
      </c>
      <c r="G1418" s="27" t="s">
        <v>9</v>
      </c>
      <c r="J1418" s="27" t="s">
        <v>15</v>
      </c>
      <c r="K1418" s="27">
        <v>85</v>
      </c>
      <c r="L1418" s="27" t="s">
        <v>12</v>
      </c>
      <c r="M1418" s="27" t="s">
        <v>41</v>
      </c>
      <c r="N1418" s="27" t="str">
        <f t="shared" si="650"/>
        <v>No</v>
      </c>
      <c r="O1418" s="27" t="str">
        <f t="shared" si="651"/>
        <v>No</v>
      </c>
      <c r="Q1418" s="27" t="s">
        <v>117</v>
      </c>
      <c r="R1418" s="27" t="str">
        <f>_xlfn.XLOOKUP("ug/ft2",D1416:D1437,F1416:F1437,"N/A")</f>
        <v>Yes</v>
      </c>
      <c r="S1418" s="27" t="str">
        <f>IF(COUNTIF(O1421:O1424,"Yes"),"Yes","No")</f>
        <v>Yes</v>
      </c>
      <c r="U1418" s="27" t="s">
        <v>163</v>
      </c>
      <c r="V1418" s="27" t="s">
        <v>5</v>
      </c>
      <c r="W1418" s="27" t="str">
        <f>O1419</f>
        <v>No</v>
      </c>
      <c r="X1418" s="27" t="str">
        <f t="shared" si="652"/>
        <v>No</v>
      </c>
    </row>
    <row r="1419" spans="1:38" x14ac:dyDescent="0.2">
      <c r="A1419" s="27" t="s">
        <v>68</v>
      </c>
      <c r="B1419" s="27" t="s">
        <v>69</v>
      </c>
      <c r="C1419" s="27">
        <v>120</v>
      </c>
      <c r="D1419" s="27" t="s">
        <v>12</v>
      </c>
      <c r="F1419" s="27" t="str">
        <f t="shared" si="653"/>
        <v>No</v>
      </c>
      <c r="G1419" s="27" t="s">
        <v>9</v>
      </c>
      <c r="J1419" s="27" t="s">
        <v>19</v>
      </c>
      <c r="K1419" s="27">
        <v>0</v>
      </c>
      <c r="L1419" s="27" t="s">
        <v>12</v>
      </c>
      <c r="M1419" s="27" t="s">
        <v>322</v>
      </c>
      <c r="N1419" s="27" t="str">
        <f>IF(K1419="N/A","No", IF(K1419&gt;5000,"Yes","No"))</f>
        <v>No</v>
      </c>
      <c r="O1419" s="27" t="str">
        <f>IF(K1419="Not","No",IF(K1419="n/a","N/A",IF(K1419&gt;$Y$2,"Yes","No")))</f>
        <v>No</v>
      </c>
      <c r="Q1419" s="27" t="s">
        <v>118</v>
      </c>
      <c r="R1419" s="27" t="str">
        <f>IF(COUNTIF(R1416:R1418,"Yes"),"Yes","No")</f>
        <v>Yes</v>
      </c>
      <c r="S1419" s="27" t="str">
        <f>IF(COUNTIF(S1416:S1418,"Yes"),"Yes","No")</f>
        <v>Yes</v>
      </c>
      <c r="U1419" s="27" t="s">
        <v>164</v>
      </c>
      <c r="V1419" s="27" t="s">
        <v>5</v>
      </c>
      <c r="W1419" s="27" t="str">
        <f>O1420</f>
        <v>No</v>
      </c>
      <c r="X1419" s="27" t="str">
        <f t="shared" si="652"/>
        <v>No</v>
      </c>
    </row>
    <row r="1420" spans="1:38" x14ac:dyDescent="0.2">
      <c r="A1420" s="27" t="s">
        <v>245</v>
      </c>
      <c r="B1420" s="27" t="s">
        <v>10</v>
      </c>
      <c r="C1420" s="27">
        <v>9.4</v>
      </c>
      <c r="D1420" s="27" t="s">
        <v>4</v>
      </c>
      <c r="F1420" s="27" t="str">
        <f t="shared" si="649"/>
        <v>Yes</v>
      </c>
      <c r="G1420" s="27" t="s">
        <v>5</v>
      </c>
      <c r="H1420" s="27" t="s">
        <v>43</v>
      </c>
      <c r="J1420" s="27" t="s">
        <v>22</v>
      </c>
      <c r="K1420" s="27">
        <v>51</v>
      </c>
      <c r="L1420" s="27" t="s">
        <v>12</v>
      </c>
      <c r="M1420" s="27" t="s">
        <v>433</v>
      </c>
      <c r="N1420" s="27" t="str">
        <f>IF(K1420="N/A","No", IF(K1420&gt;5000,"Yes","No"))</f>
        <v>No</v>
      </c>
      <c r="O1420" s="27" t="str">
        <f>IF(K1420="Not","No",IF(K1420="n/a","N/A",IF(K1420&gt;$Y$2,"Yes","No")))</f>
        <v>No</v>
      </c>
      <c r="U1420" s="27" t="s">
        <v>162</v>
      </c>
      <c r="V1420" s="27" t="str">
        <f>R1417</f>
        <v>No</v>
      </c>
      <c r="W1420" s="27" t="str">
        <f>S1417</f>
        <v>No</v>
      </c>
      <c r="X1420" s="27" t="str">
        <f t="shared" si="652"/>
        <v>Yes</v>
      </c>
    </row>
    <row r="1421" spans="1:38" x14ac:dyDescent="0.2">
      <c r="A1421" s="27" t="s">
        <v>245</v>
      </c>
      <c r="B1421" s="27" t="s">
        <v>77</v>
      </c>
      <c r="C1421" s="27">
        <v>11.8</v>
      </c>
      <c r="D1421" s="27" t="s">
        <v>4</v>
      </c>
      <c r="F1421" s="27" t="str">
        <f t="shared" si="649"/>
        <v>Yes</v>
      </c>
      <c r="G1421" s="27" t="s">
        <v>5</v>
      </c>
      <c r="H1421" s="27" t="s">
        <v>43</v>
      </c>
      <c r="J1421" s="27" t="s">
        <v>25</v>
      </c>
      <c r="K1421" s="27">
        <v>25</v>
      </c>
      <c r="L1421" s="27" t="s">
        <v>12</v>
      </c>
      <c r="M1421" s="27" t="s">
        <v>59</v>
      </c>
      <c r="N1421" s="27" t="str">
        <f>IF(K1421="N/A","No", IF(K1421&gt;=20,"Yes","No"))</f>
        <v>Yes</v>
      </c>
      <c r="O1421" s="27" t="str">
        <f>IF(K1421="Not","No",IF(K1421="n/a","N/A",IF(K1421&gt;=$Y$5,"Yes","No")))</f>
        <v>No</v>
      </c>
      <c r="U1421" s="27" t="s">
        <v>101</v>
      </c>
      <c r="V1421" s="27" t="s">
        <v>5</v>
      </c>
      <c r="W1421" s="27" t="s">
        <v>5</v>
      </c>
      <c r="X1421" s="27" t="str">
        <f>IF(V1421="N/A","N/A",IF(W1421="N/A", "N/A", IF(V1421=W1421, "Yes","No")))</f>
        <v>Yes</v>
      </c>
    </row>
    <row r="1422" spans="1:38" x14ac:dyDescent="0.2">
      <c r="A1422" s="27" t="s">
        <v>70</v>
      </c>
      <c r="B1422" s="27" t="s">
        <v>10</v>
      </c>
      <c r="C1422" s="27">
        <v>9.1</v>
      </c>
      <c r="D1422" s="27" t="s">
        <v>4</v>
      </c>
      <c r="F1422" s="27" t="str">
        <f t="shared" si="649"/>
        <v>Yes</v>
      </c>
      <c r="G1422" s="27" t="s">
        <v>5</v>
      </c>
      <c r="H1422" s="27" t="s">
        <v>43</v>
      </c>
      <c r="J1422" s="27" t="s">
        <v>29</v>
      </c>
      <c r="K1422" s="27">
        <v>0</v>
      </c>
      <c r="L1422" s="27" t="s">
        <v>12</v>
      </c>
      <c r="M1422" s="27" t="s">
        <v>72</v>
      </c>
      <c r="N1422" s="27" t="str">
        <f>IF(K1422="N/A","No", IF(K1422&gt;20,"Yes","No"))</f>
        <v>No</v>
      </c>
      <c r="O1422" s="27" t="str">
        <f t="shared" ref="O1422" si="654">IF(K1422="Not","No",IF(K1422="n/a","N/A",IF(K1422&gt;$Y$6,"Yes","No")))</f>
        <v>No</v>
      </c>
      <c r="U1422" s="27" t="s">
        <v>104</v>
      </c>
      <c r="V1422" s="27" t="s">
        <v>120</v>
      </c>
      <c r="W1422" s="27" t="s">
        <v>9</v>
      </c>
      <c r="X1422" s="27" t="str">
        <f>IF(V1422="N/A","N/A",IF(W1422="N/A", "N/A", IF(V1422=W1422, "Yes","No")))</f>
        <v>N/A</v>
      </c>
    </row>
    <row r="1423" spans="1:38" x14ac:dyDescent="0.2">
      <c r="A1423" s="27" t="s">
        <v>70</v>
      </c>
      <c r="B1423" s="27" t="s">
        <v>24</v>
      </c>
      <c r="C1423" s="27">
        <v>7</v>
      </c>
      <c r="D1423" s="27" t="s">
        <v>4</v>
      </c>
      <c r="F1423" s="27" t="str">
        <f t="shared" si="649"/>
        <v>Yes</v>
      </c>
      <c r="G1423" s="27" t="s">
        <v>5</v>
      </c>
      <c r="H1423" s="27" t="s">
        <v>43</v>
      </c>
      <c r="J1423" s="27" t="s">
        <v>34</v>
      </c>
      <c r="K1423" s="27">
        <v>202</v>
      </c>
      <c r="L1423" s="27" t="s">
        <v>12</v>
      </c>
      <c r="M1423" s="27" t="s">
        <v>74</v>
      </c>
      <c r="N1423" s="27" t="str">
        <f>IF(K1423="N/A","No", IF(K1423&gt;230,"Yes","No"))</f>
        <v>No</v>
      </c>
      <c r="O1423" s="27" t="str">
        <f>IF(K1423="Not","No",IF(K1423="n/a","N/A",IF(K1423&gt;$Y$6,"Yes","No")))</f>
        <v>Yes</v>
      </c>
      <c r="U1423" s="27" t="s">
        <v>106</v>
      </c>
      <c r="V1423" s="27" t="str">
        <f>R1418</f>
        <v>Yes</v>
      </c>
      <c r="W1423" s="27" t="str">
        <f>S1418</f>
        <v>Yes</v>
      </c>
      <c r="X1423" s="27" t="str">
        <f>IF(V1423="N/A","N/A",IF(W1423="N/A", "N/A", IF(V1423=W1423, "Yes","No")))</f>
        <v>Yes</v>
      </c>
    </row>
    <row r="1424" spans="1:38" x14ac:dyDescent="0.2">
      <c r="A1424" s="27" t="s">
        <v>70</v>
      </c>
      <c r="B1424" s="27" t="s">
        <v>24</v>
      </c>
      <c r="C1424" s="27">
        <v>6.3</v>
      </c>
      <c r="D1424" s="27" t="s">
        <v>4</v>
      </c>
      <c r="F1424" s="27" t="str">
        <f t="shared" si="649"/>
        <v>Yes</v>
      </c>
      <c r="G1424" s="27" t="s">
        <v>5</v>
      </c>
      <c r="H1424" s="27" t="s">
        <v>43</v>
      </c>
      <c r="U1424" s="27" t="s">
        <v>121</v>
      </c>
      <c r="V1424" s="27" t="str">
        <f>R1419</f>
        <v>Yes</v>
      </c>
      <c r="W1424" s="27" t="str">
        <f>S1419</f>
        <v>Yes</v>
      </c>
      <c r="X1424" s="27" t="str">
        <f>IF(V1424="N/A","N/A",IF(W1424="N/A", "N/A", IF(V1424=W1424, "Yes","No")))</f>
        <v>Yes</v>
      </c>
    </row>
    <row r="1425" spans="1:38" x14ac:dyDescent="0.2">
      <c r="A1425" s="27" t="s">
        <v>70</v>
      </c>
      <c r="B1425" s="27" t="s">
        <v>24</v>
      </c>
      <c r="C1425" s="27">
        <v>9.1</v>
      </c>
      <c r="D1425" s="27" t="s">
        <v>4</v>
      </c>
      <c r="F1425" s="27" t="str">
        <f t="shared" si="649"/>
        <v>Yes</v>
      </c>
      <c r="G1425" s="27" t="s">
        <v>5</v>
      </c>
      <c r="H1425" s="27" t="s">
        <v>43</v>
      </c>
    </row>
    <row r="1426" spans="1:38" x14ac:dyDescent="0.2">
      <c r="A1426" s="27" t="s">
        <v>64</v>
      </c>
      <c r="B1426" s="27" t="s">
        <v>24</v>
      </c>
      <c r="C1426" s="27">
        <v>6.6</v>
      </c>
      <c r="D1426" s="27" t="s">
        <v>4</v>
      </c>
      <c r="F1426" s="27" t="str">
        <f t="shared" si="649"/>
        <v>Yes</v>
      </c>
      <c r="G1426" s="27" t="s">
        <v>5</v>
      </c>
      <c r="H1426" s="27" t="s">
        <v>43</v>
      </c>
    </row>
    <row r="1427" spans="1:38" x14ac:dyDescent="0.2">
      <c r="A1427" s="27" t="s">
        <v>247</v>
      </c>
      <c r="B1427" s="27" t="s">
        <v>246</v>
      </c>
      <c r="C1427" s="27">
        <v>13</v>
      </c>
      <c r="D1427" s="27" t="s">
        <v>4</v>
      </c>
      <c r="F1427" s="27" t="str">
        <f t="shared" si="649"/>
        <v>Yes</v>
      </c>
      <c r="G1427" s="27" t="s">
        <v>5</v>
      </c>
      <c r="H1427" s="27" t="s">
        <v>43</v>
      </c>
    </row>
    <row r="1428" spans="1:38" x14ac:dyDescent="0.2">
      <c r="A1428" s="27" t="s">
        <v>247</v>
      </c>
      <c r="B1428" s="27" t="s">
        <v>40</v>
      </c>
      <c r="C1428" s="27">
        <v>15.9</v>
      </c>
      <c r="D1428" s="27" t="s">
        <v>4</v>
      </c>
      <c r="F1428" s="27" t="str">
        <f t="shared" si="649"/>
        <v>Yes</v>
      </c>
      <c r="G1428" s="27" t="s">
        <v>5</v>
      </c>
      <c r="H1428" s="27" t="s">
        <v>43</v>
      </c>
    </row>
    <row r="1429" spans="1:38" x14ac:dyDescent="0.2">
      <c r="A1429" s="27" t="s">
        <v>71</v>
      </c>
      <c r="B1429" s="27" t="s">
        <v>32</v>
      </c>
      <c r="C1429" s="27">
        <v>16</v>
      </c>
      <c r="D1429" s="27" t="s">
        <v>33</v>
      </c>
      <c r="F1429" s="27" t="str">
        <f t="shared" ref="F1429:F1430" si="655">IF(C1429&gt;$W$6,"Yes","No")</f>
        <v>Yes</v>
      </c>
      <c r="G1429" s="27" t="s">
        <v>5</v>
      </c>
    </row>
    <row r="1430" spans="1:38" x14ac:dyDescent="0.2">
      <c r="A1430" s="27" t="s">
        <v>71</v>
      </c>
      <c r="B1430" s="27" t="s">
        <v>32</v>
      </c>
      <c r="C1430" s="27">
        <v>13</v>
      </c>
      <c r="D1430" s="27" t="s">
        <v>33</v>
      </c>
      <c r="F1430" s="27" t="str">
        <f t="shared" si="655"/>
        <v>Yes</v>
      </c>
      <c r="G1430" s="27" t="s">
        <v>5</v>
      </c>
    </row>
    <row r="1433" spans="1:38" x14ac:dyDescent="0.2">
      <c r="A1433" s="27">
        <v>1487</v>
      </c>
      <c r="B1433" s="27" t="s">
        <v>319</v>
      </c>
      <c r="C1433" s="27">
        <v>95</v>
      </c>
    </row>
    <row r="1434" spans="1:38" x14ac:dyDescent="0.2">
      <c r="A1434" s="59" t="s">
        <v>0</v>
      </c>
      <c r="E1434" s="27" t="s">
        <v>274</v>
      </c>
      <c r="F1434" s="27" t="s">
        <v>275</v>
      </c>
      <c r="G1434" s="27" t="s">
        <v>119</v>
      </c>
      <c r="J1434" s="59" t="s">
        <v>1</v>
      </c>
      <c r="N1434" s="27" t="s">
        <v>277</v>
      </c>
      <c r="O1434" s="27" t="s">
        <v>278</v>
      </c>
      <c r="Q1434" s="59" t="s">
        <v>115</v>
      </c>
      <c r="R1434" s="59" t="s">
        <v>0</v>
      </c>
      <c r="S1434" s="59" t="s">
        <v>1</v>
      </c>
      <c r="U1434" s="59" t="s">
        <v>115</v>
      </c>
      <c r="V1434" s="59" t="s">
        <v>0</v>
      </c>
      <c r="W1434" s="59" t="s">
        <v>1</v>
      </c>
      <c r="X1434" s="59" t="s">
        <v>122</v>
      </c>
      <c r="AA1434" s="27" t="str">
        <f>IF(R1435="Yes","LRA-Soil","")</f>
        <v/>
      </c>
      <c r="AB1434" s="27" t="str">
        <f>IF(R1436="Yes","LRA-Paint","")</f>
        <v>LRA-Paint</v>
      </c>
      <c r="AC1434" s="27" t="str">
        <f>IF(R1437="Yes","LRA-Dust","")</f>
        <v/>
      </c>
      <c r="AD1434" s="27" t="str">
        <f>IF(S1435="Yes","LSK-Soil","")</f>
        <v/>
      </c>
      <c r="AE1434" s="27" t="str">
        <f>IF(S1436="Yes","LSK-Paint","")</f>
        <v/>
      </c>
      <c r="AF1434" s="27" t="str">
        <f>IF(S1437="Yes","LSK-Dust","")</f>
        <v>LSK-Dust</v>
      </c>
      <c r="AI1434" s="27" t="s">
        <v>46</v>
      </c>
      <c r="AJ1434" s="27" t="s">
        <v>43</v>
      </c>
      <c r="AK1434" s="27" t="s">
        <v>116</v>
      </c>
      <c r="AL1434" s="27" t="s">
        <v>117</v>
      </c>
    </row>
    <row r="1435" spans="1:38" x14ac:dyDescent="0.2">
      <c r="A1435" s="27" t="s">
        <v>63</v>
      </c>
      <c r="B1435" s="27" t="s">
        <v>18</v>
      </c>
      <c r="C1435" s="27">
        <v>2.7</v>
      </c>
      <c r="D1435" s="27" t="s">
        <v>4</v>
      </c>
      <c r="F1435" s="27" t="str">
        <f t="shared" ref="F1435:F1440" si="656">IF(C1435&gt;=$W$2,"Yes","No")</f>
        <v>Yes</v>
      </c>
      <c r="G1435" s="27" t="s">
        <v>9</v>
      </c>
      <c r="H1435" s="27" t="s">
        <v>46</v>
      </c>
      <c r="J1435" s="27" t="s">
        <v>6</v>
      </c>
      <c r="K1435" s="27">
        <v>89</v>
      </c>
      <c r="L1435" s="27" t="s">
        <v>12</v>
      </c>
      <c r="M1435" s="27" t="s">
        <v>36</v>
      </c>
      <c r="N1435" s="27" t="str">
        <f>IF(K1435="N/A","No", IF(K1435&gt;1200,"Yes","No"))</f>
        <v>No</v>
      </c>
      <c r="O1435" s="27" t="str">
        <f>IF(K1435="Not","No",IF(K1435="n/a","N/A",IF(K1435&gt;=$Y$3,"Yes","No")))</f>
        <v>No</v>
      </c>
      <c r="Q1435" s="27" t="s">
        <v>116</v>
      </c>
      <c r="R1435" s="27" t="str">
        <f>_xlfn.XLOOKUP("ppm",D1435:D1442,F1435:F1442,"N/A")</f>
        <v>No</v>
      </c>
      <c r="S1435" s="27" t="str">
        <f>IF(COUNTIF(O1435:O1437,"Yes"),"Yes","No")</f>
        <v>No</v>
      </c>
      <c r="U1435" s="27" t="s">
        <v>92</v>
      </c>
      <c r="V1435" s="27" t="s">
        <v>120</v>
      </c>
      <c r="W1435" s="27" t="s">
        <v>120</v>
      </c>
      <c r="X1435" s="27" t="str">
        <f>IF(V1435="N/A","N/A",IF(W1435="N/A", "N/A", IF(V1435=W1435, "Yes","No")))</f>
        <v>N/A</v>
      </c>
      <c r="AI1435" s="27">
        <f>COUNTIF(H1435:H1442,"Exterior")</f>
        <v>1</v>
      </c>
      <c r="AJ1435" s="27">
        <f>COUNTIF(H1435:H1442, "Interior")</f>
        <v>3</v>
      </c>
      <c r="AK1435" s="27">
        <f>COUNTIFS(D1435:D1442,"ppm")+COUNTIFS(D1435:D1442,"mg/Kg")</f>
        <v>2</v>
      </c>
      <c r="AL1435" s="27">
        <f>COUNTIF(D1435:D1442,"ug/ft2")</f>
        <v>2</v>
      </c>
    </row>
    <row r="1436" spans="1:38" x14ac:dyDescent="0.2">
      <c r="A1436" s="27" t="s">
        <v>75</v>
      </c>
      <c r="B1436" s="27" t="s">
        <v>69</v>
      </c>
      <c r="C1436" s="27">
        <v>69</v>
      </c>
      <c r="D1436" s="27" t="s">
        <v>12</v>
      </c>
      <c r="F1436" s="27" t="str">
        <f t="shared" ref="F1436:F1437" si="657">IF(C1436&gt;=$W$3,"Yes","No")</f>
        <v>No</v>
      </c>
      <c r="G1436" s="27" t="s">
        <v>9</v>
      </c>
      <c r="J1436" s="27" t="s">
        <v>11</v>
      </c>
      <c r="K1436" s="27">
        <v>43</v>
      </c>
      <c r="L1436" s="27" t="s">
        <v>12</v>
      </c>
      <c r="M1436" s="27" t="s">
        <v>415</v>
      </c>
      <c r="N1436" s="27" t="str">
        <f t="shared" ref="N1436:N1437" si="658">IF(K1436="N/A","No", IF(K1436&gt;1200,"Yes","No"))</f>
        <v>No</v>
      </c>
      <c r="O1436" s="27" t="str">
        <f t="shared" ref="O1436:O1437" si="659">IF(K1436="Not","No",IF(K1436="n/a","N/A",IF(K1436&gt;$Y$3,"Yes","No")))</f>
        <v>No</v>
      </c>
      <c r="Q1436" s="27" t="s">
        <v>98</v>
      </c>
      <c r="R1436" s="63" t="s">
        <v>5</v>
      </c>
      <c r="S1436" s="27" t="str">
        <f>IF(COUNTIF(O1438:O1439,"Yes"),"Yes","No")</f>
        <v>No</v>
      </c>
      <c r="U1436" s="27" t="s">
        <v>95</v>
      </c>
      <c r="V1436" s="27" t="str">
        <f>R1435</f>
        <v>No</v>
      </c>
      <c r="W1436" s="27" t="str">
        <f>S1435</f>
        <v>No</v>
      </c>
      <c r="X1436" s="27" t="str">
        <f t="shared" ref="X1436:X1439" si="660">IF(V1436="N/A","N/A",IF(W1436="N/A", "N/A", IF(V1436=W1436, "Yes","No")))</f>
        <v>Yes</v>
      </c>
    </row>
    <row r="1437" spans="1:38" x14ac:dyDescent="0.2">
      <c r="A1437" s="27" t="s">
        <v>75</v>
      </c>
      <c r="B1437" s="27" t="s">
        <v>205</v>
      </c>
      <c r="C1437" s="27">
        <v>120</v>
      </c>
      <c r="D1437" s="27" t="s">
        <v>12</v>
      </c>
      <c r="F1437" s="27" t="str">
        <f t="shared" si="657"/>
        <v>No</v>
      </c>
      <c r="G1437" s="27" t="s">
        <v>9</v>
      </c>
      <c r="J1437" s="27" t="s">
        <v>15</v>
      </c>
      <c r="K1437" s="27">
        <v>0</v>
      </c>
      <c r="L1437" s="27" t="s">
        <v>12</v>
      </c>
      <c r="M1437" s="27" t="s">
        <v>41</v>
      </c>
      <c r="N1437" s="27" t="str">
        <f t="shared" si="658"/>
        <v>No</v>
      </c>
      <c r="O1437" s="27" t="str">
        <f t="shared" si="659"/>
        <v>No</v>
      </c>
      <c r="Q1437" s="27" t="s">
        <v>117</v>
      </c>
      <c r="R1437" s="27" t="str">
        <f>_xlfn.XLOOKUP("ug/ft2",D1435:D1442,F1435:F1442,"N/A")</f>
        <v>No</v>
      </c>
      <c r="S1437" s="27" t="str">
        <f>IF(COUNTIF(O1440:O1443,"Yes"),"Yes","No")</f>
        <v>Yes</v>
      </c>
      <c r="U1437" s="27" t="s">
        <v>163</v>
      </c>
      <c r="V1437" s="27" t="s">
        <v>5</v>
      </c>
      <c r="W1437" s="27" t="s">
        <v>9</v>
      </c>
      <c r="X1437" s="27" t="str">
        <f t="shared" si="660"/>
        <v>No</v>
      </c>
    </row>
    <row r="1438" spans="1:38" x14ac:dyDescent="0.2">
      <c r="A1438" s="27" t="s">
        <v>245</v>
      </c>
      <c r="B1438" s="27" t="s">
        <v>40</v>
      </c>
      <c r="C1438" s="27">
        <v>3.3</v>
      </c>
      <c r="D1438" s="27" t="s">
        <v>4</v>
      </c>
      <c r="F1438" s="27" t="str">
        <f t="shared" si="656"/>
        <v>Yes</v>
      </c>
      <c r="G1438" s="27" t="s">
        <v>5</v>
      </c>
      <c r="H1438" s="27" t="s">
        <v>43</v>
      </c>
      <c r="J1438" s="27" t="s">
        <v>19</v>
      </c>
      <c r="K1438" s="27">
        <v>0</v>
      </c>
      <c r="L1438" s="27" t="s">
        <v>12</v>
      </c>
      <c r="M1438" s="27" t="s">
        <v>70</v>
      </c>
      <c r="N1438" s="27" t="str">
        <f>IF(K1438="N/A","No", IF(K1438&gt;5000,"Yes","No"))</f>
        <v>No</v>
      </c>
      <c r="O1438" s="27" t="str">
        <f>IF(K1438="Not","No",IF(K1438="n/a","N/A",IF(K1438&gt;$Y$2,"Yes","No")))</f>
        <v>No</v>
      </c>
      <c r="Q1438" s="27" t="s">
        <v>118</v>
      </c>
      <c r="R1438" s="27" t="str">
        <f>IF(COUNTIF(R1435:R1437,"Yes"),"Yes","No")</f>
        <v>Yes</v>
      </c>
      <c r="S1438" s="27" t="str">
        <f>IF(COUNTIF(S1435:S1437,"Yes"),"Yes","No")</f>
        <v>Yes</v>
      </c>
      <c r="U1438" s="27" t="s">
        <v>164</v>
      </c>
      <c r="V1438" s="27" t="s">
        <v>9</v>
      </c>
      <c r="W1438" s="27" t="s">
        <v>9</v>
      </c>
      <c r="X1438" s="27" t="str">
        <f t="shared" si="660"/>
        <v>Yes</v>
      </c>
    </row>
    <row r="1439" spans="1:38" x14ac:dyDescent="0.2">
      <c r="A1439" s="27" t="s">
        <v>157</v>
      </c>
      <c r="B1439" s="27" t="s">
        <v>40</v>
      </c>
      <c r="C1439" s="27">
        <v>2.2999999999999998</v>
      </c>
      <c r="D1439" s="27" t="s">
        <v>4</v>
      </c>
      <c r="F1439" s="27" t="str">
        <f t="shared" si="656"/>
        <v>Yes</v>
      </c>
      <c r="G1439" s="27" t="s">
        <v>9</v>
      </c>
      <c r="H1439" s="27" t="s">
        <v>43</v>
      </c>
      <c r="J1439" s="27" t="s">
        <v>22</v>
      </c>
      <c r="K1439" s="27">
        <v>0</v>
      </c>
      <c r="L1439" s="27" t="s">
        <v>12</v>
      </c>
      <c r="M1439" s="27" t="s">
        <v>434</v>
      </c>
      <c r="N1439" s="27" t="str">
        <f>IF(K1439="N/A","No", IF(K1439&gt;5000,"Yes","No"))</f>
        <v>No</v>
      </c>
      <c r="O1439" s="27" t="str">
        <f>IF(K1439="Not","No",IF(K1439="n/a","N/A",IF(K1439&gt;$Y$2,"Yes","No")))</f>
        <v>No</v>
      </c>
      <c r="U1439" s="27" t="s">
        <v>162</v>
      </c>
      <c r="V1439" s="27" t="str">
        <f>R1436</f>
        <v>Yes</v>
      </c>
      <c r="W1439" s="27" t="str">
        <f>S1436</f>
        <v>No</v>
      </c>
      <c r="X1439" s="27" t="str">
        <f t="shared" si="660"/>
        <v>No</v>
      </c>
    </row>
    <row r="1440" spans="1:38" x14ac:dyDescent="0.2">
      <c r="A1440" s="27" t="s">
        <v>64</v>
      </c>
      <c r="B1440" s="27" t="s">
        <v>40</v>
      </c>
      <c r="C1440" s="27">
        <v>2.8</v>
      </c>
      <c r="D1440" s="27" t="s">
        <v>4</v>
      </c>
      <c r="F1440" s="27" t="str">
        <f t="shared" si="656"/>
        <v>Yes</v>
      </c>
      <c r="G1440" s="27" t="s">
        <v>9</v>
      </c>
      <c r="H1440" s="27" t="s">
        <v>43</v>
      </c>
      <c r="J1440" s="27" t="s">
        <v>25</v>
      </c>
      <c r="K1440" s="27">
        <v>24</v>
      </c>
      <c r="L1440" s="27" t="s">
        <v>12</v>
      </c>
      <c r="M1440" s="27" t="s">
        <v>59</v>
      </c>
      <c r="N1440" s="27" t="str">
        <f>IF(K1440="N/A","No", IF(K1440&gt;=20,"Yes","No"))</f>
        <v>Yes</v>
      </c>
      <c r="O1440" s="27" t="str">
        <f>IF(K1440="Not","No",IF(K1440="n/a","N/A",IF(K1440&gt;=$Y$5,"Yes","No")))</f>
        <v>No</v>
      </c>
      <c r="U1440" s="27" t="s">
        <v>101</v>
      </c>
      <c r="V1440" s="27" t="s">
        <v>9</v>
      </c>
      <c r="W1440" s="27" t="s">
        <v>5</v>
      </c>
      <c r="X1440" s="27" t="str">
        <f>IF(V1440="N/A","N/A",IF(W1440="N/A", "N/A", IF(V1440=W1440, "Yes","No")))</f>
        <v>No</v>
      </c>
    </row>
    <row r="1441" spans="1:38" x14ac:dyDescent="0.2">
      <c r="A1441" s="27" t="s">
        <v>71</v>
      </c>
      <c r="B1441" s="27" t="s">
        <v>32</v>
      </c>
      <c r="C1441" s="27">
        <v>3</v>
      </c>
      <c r="D1441" s="27" t="s">
        <v>33</v>
      </c>
      <c r="F1441" s="27" t="str">
        <f t="shared" ref="F1441" si="661">IF(C1441&gt;$W$6,"Yes","No")</f>
        <v>No</v>
      </c>
      <c r="G1441" s="27" t="s">
        <v>9</v>
      </c>
      <c r="J1441" s="27" t="s">
        <v>29</v>
      </c>
      <c r="K1441" s="27">
        <v>501</v>
      </c>
      <c r="L1441" s="27" t="s">
        <v>12</v>
      </c>
      <c r="M1441" s="27" t="s">
        <v>72</v>
      </c>
      <c r="N1441" s="27" t="str">
        <f>IF(K1441="N/A","No", IF(K1441&gt;20,"Yes","No"))</f>
        <v>Yes</v>
      </c>
      <c r="O1441" s="27" t="str">
        <f t="shared" ref="O1441" si="662">IF(K1441="Not","No",IF(K1441="n/a","N/A",IF(K1441&gt;$Y$6,"Yes","No")))</f>
        <v>Yes</v>
      </c>
      <c r="U1441" s="27" t="s">
        <v>104</v>
      </c>
      <c r="V1441" s="27" t="s">
        <v>9</v>
      </c>
      <c r="W1441" s="27" t="s">
        <v>9</v>
      </c>
      <c r="X1441" s="27" t="str">
        <f>IF(V1441="N/A","N/A",IF(W1441="N/A", "N/A", IF(V1441=W1441, "Yes","No")))</f>
        <v>Yes</v>
      </c>
    </row>
    <row r="1442" spans="1:38" x14ac:dyDescent="0.2">
      <c r="A1442" s="27" t="s">
        <v>158</v>
      </c>
      <c r="B1442" s="27" t="s">
        <v>54</v>
      </c>
      <c r="C1442" s="27">
        <v>48</v>
      </c>
      <c r="D1442" s="27" t="s">
        <v>33</v>
      </c>
      <c r="F1442" s="27" t="str">
        <f t="shared" ref="F1442" si="663">IF(C1442&gt;$W$5,"Yes","No")</f>
        <v>No</v>
      </c>
      <c r="G1442" s="27" t="s">
        <v>9</v>
      </c>
      <c r="J1442" s="27" t="s">
        <v>34</v>
      </c>
      <c r="K1442" s="27">
        <v>13</v>
      </c>
      <c r="L1442" s="27" t="s">
        <v>12</v>
      </c>
      <c r="M1442" s="27" t="s">
        <v>74</v>
      </c>
      <c r="N1442" s="27" t="str">
        <f>IF(K1442="N/A","No", IF(K1442&gt;230,"Yes","No"))</f>
        <v>No</v>
      </c>
      <c r="O1442" s="27" t="str">
        <f>IF(K1442="Not","No",IF(K1442="n/a","N/A",IF(K1442&gt;$Y$6,"Yes","No")))</f>
        <v>No</v>
      </c>
      <c r="U1442" s="27" t="s">
        <v>106</v>
      </c>
      <c r="V1442" s="27" t="str">
        <f>R1437</f>
        <v>No</v>
      </c>
      <c r="W1442" s="27" t="str">
        <f>S1437</f>
        <v>Yes</v>
      </c>
      <c r="X1442" s="27" t="str">
        <f>IF(V1442="N/A","N/A",IF(W1442="N/A", "N/A", IF(V1442=W1442, "Yes","No")))</f>
        <v>No</v>
      </c>
    </row>
    <row r="1443" spans="1:38" x14ac:dyDescent="0.2">
      <c r="U1443" s="27" t="s">
        <v>121</v>
      </c>
      <c r="V1443" s="27" t="str">
        <f>R1438</f>
        <v>Yes</v>
      </c>
      <c r="W1443" s="27" t="str">
        <f>S1438</f>
        <v>Yes</v>
      </c>
      <c r="X1443" s="27" t="str">
        <f>IF(V1443="N/A","N/A",IF(W1443="N/A", "N/A", IF(V1443=W1443, "Yes","No")))</f>
        <v>Yes</v>
      </c>
    </row>
    <row r="1445" spans="1:38" x14ac:dyDescent="0.2">
      <c r="A1445" s="27">
        <v>1490</v>
      </c>
      <c r="B1445" s="27" t="s">
        <v>319</v>
      </c>
      <c r="C1445" s="27">
        <v>96</v>
      </c>
    </row>
    <row r="1446" spans="1:38" x14ac:dyDescent="0.2">
      <c r="A1446" s="59" t="s">
        <v>0</v>
      </c>
      <c r="E1446" s="27" t="s">
        <v>274</v>
      </c>
      <c r="F1446" s="27" t="s">
        <v>275</v>
      </c>
      <c r="G1446" s="27" t="s">
        <v>119</v>
      </c>
      <c r="J1446" s="59" t="s">
        <v>1</v>
      </c>
      <c r="N1446" s="27" t="s">
        <v>277</v>
      </c>
      <c r="O1446" s="27" t="s">
        <v>278</v>
      </c>
      <c r="Q1446" s="59" t="s">
        <v>115</v>
      </c>
      <c r="R1446" s="59" t="s">
        <v>0</v>
      </c>
      <c r="S1446" s="59" t="s">
        <v>1</v>
      </c>
      <c r="U1446" s="59" t="s">
        <v>115</v>
      </c>
      <c r="V1446" s="59" t="s">
        <v>0</v>
      </c>
      <c r="W1446" s="59" t="s">
        <v>1</v>
      </c>
      <c r="X1446" s="59" t="s">
        <v>122</v>
      </c>
      <c r="AA1446" s="27" t="str">
        <f>IF(R1447="Yes","LRA-Soil","")</f>
        <v/>
      </c>
      <c r="AB1446" s="27" t="str">
        <f>IF(R1448="Yes","LRA-Paint","")</f>
        <v/>
      </c>
      <c r="AC1446" s="27" t="str">
        <f>IF(R1449="Yes","LRA-Dust","")</f>
        <v/>
      </c>
      <c r="AD1446" s="27" t="str">
        <f>IF(S1447="Yes","LSK-Soil","")</f>
        <v/>
      </c>
      <c r="AE1446" s="27" t="str">
        <f>IF(S1448="Yes","LSK-Paint","")</f>
        <v/>
      </c>
      <c r="AF1446" s="27" t="str">
        <f>IF(S1449="Yes","LSK-Dust","")</f>
        <v/>
      </c>
      <c r="AI1446" s="27" t="s">
        <v>46</v>
      </c>
      <c r="AJ1446" s="27" t="s">
        <v>43</v>
      </c>
      <c r="AK1446" s="27" t="s">
        <v>116</v>
      </c>
      <c r="AL1446" s="27" t="s">
        <v>117</v>
      </c>
    </row>
    <row r="1447" spans="1:38" x14ac:dyDescent="0.2">
      <c r="A1447" s="27" t="s">
        <v>63</v>
      </c>
      <c r="B1447" s="27" t="s">
        <v>18</v>
      </c>
      <c r="C1447" s="27">
        <v>0</v>
      </c>
      <c r="D1447" s="27" t="s">
        <v>4</v>
      </c>
      <c r="F1447" s="27" t="str">
        <f t="shared" ref="F1447:F1450" si="664">IF(C1447&gt;=$W$2,"Yes","No")</f>
        <v>No</v>
      </c>
      <c r="G1447" s="27" t="s">
        <v>9</v>
      </c>
      <c r="H1447" s="27" t="s">
        <v>46</v>
      </c>
      <c r="J1447" s="27" t="s">
        <v>6</v>
      </c>
      <c r="K1447" s="27">
        <v>0</v>
      </c>
      <c r="L1447" s="27" t="s">
        <v>12</v>
      </c>
      <c r="M1447" s="27" t="s">
        <v>36</v>
      </c>
      <c r="N1447" s="27" t="str">
        <f>IF(K1447="N/A","No", IF(K1447&gt;1200,"Yes","No"))</f>
        <v>No</v>
      </c>
      <c r="O1447" s="27" t="str">
        <f>IF(K1447="Not","No",IF(K1447="n/a","N/A",IF(K1447&gt;=$Y$3,"Yes","No")))</f>
        <v>No</v>
      </c>
      <c r="Q1447" s="27" t="s">
        <v>116</v>
      </c>
      <c r="R1447" s="27" t="str">
        <f>_xlfn.XLOOKUP("ppm",D1447:D1451,F1447:F1451,"N/A")</f>
        <v>No</v>
      </c>
      <c r="S1447" s="27" t="str">
        <f>IF(COUNTIF(O1447:O1449,"Yes"),"Yes","No")</f>
        <v>No</v>
      </c>
      <c r="U1447" s="27" t="s">
        <v>92</v>
      </c>
      <c r="V1447" s="27" t="s">
        <v>120</v>
      </c>
      <c r="W1447" s="27" t="s">
        <v>120</v>
      </c>
      <c r="X1447" s="27" t="str">
        <f>IF(V1447="N/A","N/A",IF(W1447="N/A", "N/A", IF(V1447=W1447, "Yes","No")))</f>
        <v>N/A</v>
      </c>
      <c r="AI1447" s="27">
        <f>COUNTIF(H1447:H1451,"Exterior")</f>
        <v>1</v>
      </c>
      <c r="AJ1447" s="27">
        <f>COUNTIF(H1447:H1451, "Interior")</f>
        <v>2</v>
      </c>
      <c r="AK1447" s="27">
        <f>COUNTIFS(D1447:D1451,"ppm")+COUNTIFS(D1447:D1451,"mg/Kg")</f>
        <v>1</v>
      </c>
      <c r="AL1447" s="27">
        <f>COUNTIF(D1447:D1451,"ug/ft2")</f>
        <v>1</v>
      </c>
    </row>
    <row r="1448" spans="1:38" x14ac:dyDescent="0.2">
      <c r="A1448" s="27" t="s">
        <v>75</v>
      </c>
      <c r="B1448" s="27" t="s">
        <v>69</v>
      </c>
      <c r="C1448" s="27" t="s">
        <v>397</v>
      </c>
      <c r="D1448" s="27" t="s">
        <v>12</v>
      </c>
      <c r="F1448" s="27" t="s">
        <v>9</v>
      </c>
      <c r="G1448" s="27" t="s">
        <v>9</v>
      </c>
      <c r="J1448" s="27" t="s">
        <v>11</v>
      </c>
      <c r="K1448" s="27" t="s">
        <v>120</v>
      </c>
      <c r="L1448" s="27" t="s">
        <v>12</v>
      </c>
      <c r="M1448" s="27" t="s">
        <v>66</v>
      </c>
      <c r="N1448" s="27" t="str">
        <f t="shared" ref="N1448:N1449" si="665">IF(K1448="N/A","No", IF(K1448&gt;1200,"Yes","No"))</f>
        <v>No</v>
      </c>
      <c r="O1448" s="27" t="str">
        <f t="shared" ref="O1448:O1449" si="666">IF(K1448="Not","No",IF(K1448="n/a","N/A",IF(K1448&gt;$Y$3,"Yes","No")))</f>
        <v>N/A</v>
      </c>
      <c r="Q1448" s="27" t="s">
        <v>98</v>
      </c>
      <c r="R1448" s="27" t="str">
        <f>_xlfn.XLOOKUP("mg/cm2",D1447:D1451,G1447:G1451,"N/A",1,-1)</f>
        <v>No</v>
      </c>
      <c r="S1448" s="27" t="str">
        <f>IF(COUNTIF(O1450:O1451,"Yes"),"Yes","No")</f>
        <v>No</v>
      </c>
      <c r="U1448" s="27" t="s">
        <v>95</v>
      </c>
      <c r="V1448" s="27" t="str">
        <f>R1447</f>
        <v>No</v>
      </c>
      <c r="W1448" s="27" t="str">
        <f>S1447</f>
        <v>No</v>
      </c>
      <c r="X1448" s="27" t="str">
        <f t="shared" ref="X1448:X1451" si="667">IF(V1448="N/A","N/A",IF(W1448="N/A", "N/A", IF(V1448=W1448, "Yes","No")))</f>
        <v>Yes</v>
      </c>
    </row>
    <row r="1449" spans="1:38" x14ac:dyDescent="0.2">
      <c r="A1449" s="27" t="s">
        <v>71</v>
      </c>
      <c r="B1449" s="27" t="s">
        <v>10</v>
      </c>
      <c r="C1449" s="27">
        <v>0</v>
      </c>
      <c r="D1449" s="27" t="s">
        <v>4</v>
      </c>
      <c r="F1449" s="27" t="str">
        <f t="shared" si="664"/>
        <v>No</v>
      </c>
      <c r="G1449" s="27" t="s">
        <v>9</v>
      </c>
      <c r="H1449" s="27" t="s">
        <v>43</v>
      </c>
      <c r="J1449" s="27" t="s">
        <v>15</v>
      </c>
      <c r="K1449" s="27" t="s">
        <v>120</v>
      </c>
      <c r="L1449" s="27" t="s">
        <v>12</v>
      </c>
      <c r="M1449" s="27" t="s">
        <v>66</v>
      </c>
      <c r="N1449" s="27" t="str">
        <f t="shared" si="665"/>
        <v>No</v>
      </c>
      <c r="O1449" s="27" t="str">
        <f t="shared" si="666"/>
        <v>N/A</v>
      </c>
      <c r="Q1449" s="27" t="s">
        <v>117</v>
      </c>
      <c r="R1449" s="27" t="str">
        <f>_xlfn.XLOOKUP("ug/ft2",D1447:D1454,F1447:F1454,"N/A")</f>
        <v>No</v>
      </c>
      <c r="S1449" s="27" t="str">
        <f>IF(COUNTIF(O1452:O1455,"Yes"),"Yes","No")</f>
        <v>No</v>
      </c>
      <c r="U1449" s="27" t="s">
        <v>163</v>
      </c>
      <c r="V1449" s="27" t="s">
        <v>9</v>
      </c>
      <c r="W1449" s="27" t="s">
        <v>120</v>
      </c>
      <c r="X1449" s="27" t="str">
        <f t="shared" si="667"/>
        <v>N/A</v>
      </c>
    </row>
    <row r="1450" spans="1:38" x14ac:dyDescent="0.2">
      <c r="A1450" s="27" t="s">
        <v>71</v>
      </c>
      <c r="B1450" s="27" t="s">
        <v>40</v>
      </c>
      <c r="C1450" s="27">
        <v>0</v>
      </c>
      <c r="D1450" s="27" t="s">
        <v>4</v>
      </c>
      <c r="F1450" s="27" t="str">
        <f t="shared" si="664"/>
        <v>No</v>
      </c>
      <c r="G1450" s="27" t="s">
        <v>9</v>
      </c>
      <c r="H1450" s="27" t="s">
        <v>43</v>
      </c>
      <c r="J1450" s="27" t="s">
        <v>19</v>
      </c>
      <c r="K1450" s="27" t="s">
        <v>120</v>
      </c>
      <c r="L1450" s="27" t="s">
        <v>12</v>
      </c>
      <c r="M1450" s="27" t="s">
        <v>66</v>
      </c>
      <c r="N1450" s="27" t="str">
        <f>IF(K1450="N/A","No", IF(K1450&gt;5000,"Yes","No"))</f>
        <v>No</v>
      </c>
      <c r="O1450" s="27" t="str">
        <f>IF(K1450="Not","No",IF(K1450="n/a","N/A",IF(K1450&gt;$Y$2,"Yes","No")))</f>
        <v>N/A</v>
      </c>
      <c r="Q1450" s="27" t="s">
        <v>118</v>
      </c>
      <c r="R1450" s="27" t="str">
        <f>IF(COUNTIF(R1447:R1449,"Yes"),"Yes","No")</f>
        <v>No</v>
      </c>
      <c r="S1450" s="27" t="str">
        <f>IF(COUNTIF(S1447:S1449,"Yes"),"Yes","No")</f>
        <v>No</v>
      </c>
      <c r="U1450" s="27" t="s">
        <v>164</v>
      </c>
      <c r="V1450" s="27" t="s">
        <v>9</v>
      </c>
      <c r="W1450" s="27" t="s">
        <v>9</v>
      </c>
      <c r="X1450" s="27" t="str">
        <f t="shared" si="667"/>
        <v>Yes</v>
      </c>
    </row>
    <row r="1451" spans="1:38" x14ac:dyDescent="0.2">
      <c r="A1451" s="27" t="s">
        <v>71</v>
      </c>
      <c r="B1451" s="27" t="s">
        <v>32</v>
      </c>
      <c r="C1451" s="27">
        <v>3</v>
      </c>
      <c r="D1451" s="27" t="s">
        <v>33</v>
      </c>
      <c r="F1451" s="27" t="str">
        <f t="shared" ref="F1451" si="668">IF(C1451&gt;$W$6,"Yes","No")</f>
        <v>No</v>
      </c>
      <c r="G1451" s="27" t="s">
        <v>9</v>
      </c>
      <c r="J1451" s="27" t="s">
        <v>22</v>
      </c>
      <c r="K1451" s="27">
        <v>0</v>
      </c>
      <c r="L1451" s="27" t="s">
        <v>12</v>
      </c>
      <c r="M1451" s="27" t="s">
        <v>402</v>
      </c>
      <c r="N1451" s="27" t="str">
        <f>IF(K1451="N/A","No", IF(K1451&gt;5000,"Yes","No"))</f>
        <v>No</v>
      </c>
      <c r="O1451" s="27" t="str">
        <f>IF(K1451="Not","No",IF(K1451="n/a","N/A",IF(K1451&gt;$Y$2,"Yes","No")))</f>
        <v>No</v>
      </c>
      <c r="U1451" s="27" t="s">
        <v>162</v>
      </c>
      <c r="V1451" s="27" t="str">
        <f>R1448</f>
        <v>No</v>
      </c>
      <c r="W1451" s="27" t="str">
        <f>S1448</f>
        <v>No</v>
      </c>
      <c r="X1451" s="27" t="str">
        <f t="shared" si="667"/>
        <v>Yes</v>
      </c>
    </row>
    <row r="1452" spans="1:38" x14ac:dyDescent="0.2">
      <c r="J1452" s="27" t="s">
        <v>25</v>
      </c>
      <c r="K1452" s="27">
        <v>0</v>
      </c>
      <c r="L1452" s="27" t="s">
        <v>12</v>
      </c>
      <c r="M1452" s="27" t="s">
        <v>48</v>
      </c>
      <c r="N1452" s="27" t="str">
        <f>IF(K1452="N/A","No", IF(K1452&gt;=20,"Yes","No"))</f>
        <v>No</v>
      </c>
      <c r="O1452" s="27" t="str">
        <f>IF(K1452="Not","No",IF(K1452="n/a","N/A",IF(K1452&gt;=$Y$5,"Yes","No")))</f>
        <v>No</v>
      </c>
      <c r="U1452" s="27" t="s">
        <v>101</v>
      </c>
      <c r="V1452" s="27" t="s">
        <v>9</v>
      </c>
      <c r="W1452" s="27" t="s">
        <v>9</v>
      </c>
      <c r="X1452" s="27" t="str">
        <f>IF(V1452="N/A","N/A",IF(W1452="N/A", "N/A", IF(V1452=W1452, "Yes","No")))</f>
        <v>Yes</v>
      </c>
    </row>
    <row r="1453" spans="1:38" x14ac:dyDescent="0.2">
      <c r="J1453" s="27" t="s">
        <v>29</v>
      </c>
      <c r="K1453" s="27">
        <v>0</v>
      </c>
      <c r="L1453" s="27" t="s">
        <v>12</v>
      </c>
      <c r="M1453" s="27" t="s">
        <v>72</v>
      </c>
      <c r="N1453" s="27" t="str">
        <f>IF(K1453="N/A","No", IF(K1453&gt;20,"Yes","No"))</f>
        <v>No</v>
      </c>
      <c r="O1453" s="27" t="str">
        <f t="shared" ref="O1453" si="669">IF(K1453="Not","No",IF(K1453="n/a","N/A",IF(K1453&gt;$Y$6,"Yes","No")))</f>
        <v>No</v>
      </c>
      <c r="U1453" s="27" t="s">
        <v>104</v>
      </c>
      <c r="V1453" s="27" t="s">
        <v>120</v>
      </c>
      <c r="W1453" s="27" t="s">
        <v>9</v>
      </c>
      <c r="X1453" s="27" t="str">
        <f>IF(V1453="N/A","N/A",IF(W1453="N/A", "N/A", IF(V1453=W1453, "Yes","No")))</f>
        <v>N/A</v>
      </c>
    </row>
    <row r="1454" spans="1:38" x14ac:dyDescent="0.2">
      <c r="J1454" s="27" t="s">
        <v>34</v>
      </c>
      <c r="K1454" s="27">
        <v>0</v>
      </c>
      <c r="L1454" s="27" t="s">
        <v>12</v>
      </c>
      <c r="M1454" s="27" t="s">
        <v>74</v>
      </c>
      <c r="N1454" s="27" t="str">
        <f>IF(K1454="N/A","No", IF(K1454&gt;230,"Yes","No"))</f>
        <v>No</v>
      </c>
      <c r="O1454" s="27" t="str">
        <f>IF(K1454="Not","No",IF(K1454="n/a","N/A",IF(K1454&gt;$Y$6,"Yes","No")))</f>
        <v>No</v>
      </c>
      <c r="U1454" s="27" t="s">
        <v>106</v>
      </c>
      <c r="V1454" s="27" t="str">
        <f>R1449</f>
        <v>No</v>
      </c>
      <c r="W1454" s="27" t="str">
        <f>S1449</f>
        <v>No</v>
      </c>
      <c r="X1454" s="27" t="str">
        <f>IF(V1454="N/A","N/A",IF(W1454="N/A", "N/A", IF(V1454=W1454, "Yes","No")))</f>
        <v>Yes</v>
      </c>
    </row>
    <row r="1455" spans="1:38" x14ac:dyDescent="0.2">
      <c r="U1455" s="27" t="s">
        <v>121</v>
      </c>
      <c r="V1455" s="27" t="str">
        <f>R1450</f>
        <v>No</v>
      </c>
      <c r="W1455" s="27" t="str">
        <f>S1450</f>
        <v>No</v>
      </c>
      <c r="X1455" s="27" t="str">
        <f>IF(V1455="N/A","N/A",IF(W1455="N/A", "N/A", IF(V1455=W1455, "Yes","No")))</f>
        <v>Yes</v>
      </c>
    </row>
    <row r="1456" spans="1:38" x14ac:dyDescent="0.2">
      <c r="A1456" s="27">
        <v>1493</v>
      </c>
      <c r="B1456" s="27" t="s">
        <v>319</v>
      </c>
      <c r="C1456" s="27">
        <v>97</v>
      </c>
    </row>
    <row r="1457" spans="1:38" x14ac:dyDescent="0.2">
      <c r="A1457" s="59" t="s">
        <v>0</v>
      </c>
      <c r="E1457" s="27" t="s">
        <v>274</v>
      </c>
      <c r="F1457" s="27" t="s">
        <v>275</v>
      </c>
      <c r="G1457" s="27" t="s">
        <v>119</v>
      </c>
      <c r="J1457" s="59" t="s">
        <v>1</v>
      </c>
      <c r="N1457" s="27" t="s">
        <v>277</v>
      </c>
      <c r="O1457" s="27" t="s">
        <v>278</v>
      </c>
      <c r="Q1457" s="59" t="s">
        <v>115</v>
      </c>
      <c r="R1457" s="59" t="s">
        <v>0</v>
      </c>
      <c r="S1457" s="59" t="s">
        <v>1</v>
      </c>
      <c r="U1457" s="59" t="s">
        <v>115</v>
      </c>
      <c r="V1457" s="59" t="s">
        <v>0</v>
      </c>
      <c r="W1457" s="59" t="s">
        <v>1</v>
      </c>
      <c r="X1457" s="59" t="s">
        <v>122</v>
      </c>
      <c r="AA1457" s="27" t="str">
        <f>IF(R1458="Yes","LRA-Soil","")</f>
        <v/>
      </c>
      <c r="AB1457" s="27" t="str">
        <f>IF(R1459="Yes","LRA-Paint","")</f>
        <v>LRA-Paint</v>
      </c>
      <c r="AC1457" s="27" t="str">
        <f>IF(R1460="Yes","LRA-Dust","")</f>
        <v/>
      </c>
      <c r="AD1457" s="27" t="str">
        <f>IF(S1458="Yes","LSK-Soil","")</f>
        <v/>
      </c>
      <c r="AE1457" s="27" t="str">
        <f>IF(S1459="Yes","LSK-Paint","")</f>
        <v/>
      </c>
      <c r="AF1457" s="27" t="str">
        <f>IF(S1460="Yes","LSK-Dust","")</f>
        <v>LSK-Dust</v>
      </c>
      <c r="AI1457" s="27" t="s">
        <v>46</v>
      </c>
      <c r="AJ1457" s="27" t="s">
        <v>43</v>
      </c>
      <c r="AK1457" s="27" t="s">
        <v>116</v>
      </c>
      <c r="AL1457" s="27" t="s">
        <v>117</v>
      </c>
    </row>
    <row r="1458" spans="1:38" x14ac:dyDescent="0.2">
      <c r="A1458" s="27" t="s">
        <v>63</v>
      </c>
      <c r="B1458" s="27" t="s">
        <v>10</v>
      </c>
      <c r="C1458" s="27">
        <v>2.2000000000000002</v>
      </c>
      <c r="D1458" s="27" t="s">
        <v>4</v>
      </c>
      <c r="F1458" s="27" t="str">
        <f t="shared" ref="F1458:F1462" si="670">IF(C1458&gt;=$W$2,"Yes","No")</f>
        <v>Yes</v>
      </c>
      <c r="G1458" s="27" t="s">
        <v>5</v>
      </c>
      <c r="H1458" s="27" t="s">
        <v>46</v>
      </c>
      <c r="J1458" s="27" t="s">
        <v>6</v>
      </c>
      <c r="K1458" s="27">
        <v>0</v>
      </c>
      <c r="L1458" s="27" t="s">
        <v>12</v>
      </c>
      <c r="M1458" s="27" t="s">
        <v>415</v>
      </c>
      <c r="N1458" s="27" t="str">
        <f>IF(K1458="N/A","No", IF(K1458&gt;1200,"Yes","No"))</f>
        <v>No</v>
      </c>
      <c r="O1458" s="27" t="str">
        <f>IF(K1458="Not","No",IF(K1458="n/a","N/A",IF(K1458&gt;=$Y$3,"Yes","No")))</f>
        <v>No</v>
      </c>
      <c r="Q1458" s="27" t="s">
        <v>116</v>
      </c>
      <c r="R1458" s="27" t="str">
        <f>_xlfn.XLOOKUP("ppm",D1458:D1462,F1458:F1462,"N/A")</f>
        <v>No</v>
      </c>
      <c r="S1458" s="27" t="str">
        <f>IF(COUNTIF(O1458:O1460,"Yes"),"Yes","No")</f>
        <v>No</v>
      </c>
      <c r="U1458" s="27" t="s">
        <v>92</v>
      </c>
      <c r="V1458" s="27" t="s">
        <v>120</v>
      </c>
      <c r="W1458" s="27" t="s">
        <v>120</v>
      </c>
      <c r="X1458" s="27" t="str">
        <f>IF(V1458="N/A","N/A",IF(W1458="N/A", "N/A", IF(V1458=W1458, "Yes","No")))</f>
        <v>N/A</v>
      </c>
      <c r="AI1458" s="27">
        <f>COUNTIF(H1458:H1465,"Exterior")</f>
        <v>2</v>
      </c>
      <c r="AJ1458" s="27">
        <f>COUNTIF(H1458:H1465, "Interior")</f>
        <v>2</v>
      </c>
      <c r="AK1458" s="27">
        <f>COUNTIFS(D1458:D1465,"ppm")+COUNTIFS(D1458:D1465,"mg/Kg")</f>
        <v>1</v>
      </c>
      <c r="AL1458" s="27">
        <f>COUNTIF(D1458:D1465,"ug/ft2")</f>
        <v>2</v>
      </c>
    </row>
    <row r="1459" spans="1:38" x14ac:dyDescent="0.2">
      <c r="A1459" s="27" t="s">
        <v>63</v>
      </c>
      <c r="B1459" s="27" t="s">
        <v>77</v>
      </c>
      <c r="C1459" s="27">
        <v>2.6</v>
      </c>
      <c r="D1459" s="27" t="s">
        <v>4</v>
      </c>
      <c r="F1459" s="27" t="str">
        <f t="shared" si="670"/>
        <v>Yes</v>
      </c>
      <c r="G1459" s="27" t="s">
        <v>5</v>
      </c>
      <c r="H1459" s="27" t="s">
        <v>46</v>
      </c>
      <c r="J1459" s="27" t="s">
        <v>11</v>
      </c>
      <c r="K1459" s="27">
        <v>64</v>
      </c>
      <c r="L1459" s="27" t="s">
        <v>12</v>
      </c>
      <c r="M1459" s="27" t="s">
        <v>38</v>
      </c>
      <c r="N1459" s="27" t="str">
        <f t="shared" ref="N1459:N1460" si="671">IF(K1459="N/A","No", IF(K1459&gt;1200,"Yes","No"))</f>
        <v>No</v>
      </c>
      <c r="O1459" s="27" t="str">
        <f t="shared" ref="O1459:O1460" si="672">IF(K1459="Not","No",IF(K1459="n/a","N/A",IF(K1459&gt;$Y$3,"Yes","No")))</f>
        <v>No</v>
      </c>
      <c r="Q1459" s="27" t="s">
        <v>98</v>
      </c>
      <c r="R1459" s="63" t="s">
        <v>5</v>
      </c>
      <c r="S1459" s="27" t="str">
        <f>IF(COUNTIF(O1461:O1462,"Yes"),"Yes","No")</f>
        <v>No</v>
      </c>
      <c r="U1459" s="27" t="s">
        <v>95</v>
      </c>
      <c r="V1459" s="27" t="str">
        <f>R1458</f>
        <v>No</v>
      </c>
      <c r="W1459" s="27" t="str">
        <f>S1458</f>
        <v>No</v>
      </c>
      <c r="X1459" s="27" t="str">
        <f t="shared" ref="X1459:X1462" si="673">IF(V1459="N/A","N/A",IF(W1459="N/A", "N/A", IF(V1459=W1459, "Yes","No")))</f>
        <v>Yes</v>
      </c>
    </row>
    <row r="1460" spans="1:38" x14ac:dyDescent="0.2">
      <c r="A1460" s="27" t="s">
        <v>83</v>
      </c>
      <c r="B1460" s="27" t="s">
        <v>69</v>
      </c>
      <c r="C1460" s="27">
        <v>90</v>
      </c>
      <c r="D1460" s="27" t="s">
        <v>12</v>
      </c>
      <c r="F1460" s="27" t="str">
        <f t="shared" ref="F1460" si="674">IF(C1460&gt;=$W$3,"Yes","No")</f>
        <v>No</v>
      </c>
      <c r="G1460" s="27" t="s">
        <v>9</v>
      </c>
      <c r="J1460" s="27" t="s">
        <v>15</v>
      </c>
      <c r="K1460" s="27">
        <v>55</v>
      </c>
      <c r="L1460" s="27" t="s">
        <v>12</v>
      </c>
      <c r="M1460" s="27" t="s">
        <v>435</v>
      </c>
      <c r="N1460" s="27" t="str">
        <f t="shared" si="671"/>
        <v>No</v>
      </c>
      <c r="O1460" s="27" t="str">
        <f t="shared" si="672"/>
        <v>No</v>
      </c>
      <c r="Q1460" s="27" t="s">
        <v>117</v>
      </c>
      <c r="R1460" s="27" t="str">
        <f>_xlfn.XLOOKUP("ug/ft2",D1458:D1465,F1458:F1465,"N/A")</f>
        <v>No</v>
      </c>
      <c r="S1460" s="27" t="str">
        <f>IF(COUNTIF(O1463:O1466,"Yes"),"Yes","No")</f>
        <v>Yes</v>
      </c>
      <c r="U1460" s="27" t="s">
        <v>163</v>
      </c>
      <c r="V1460" s="27" t="s">
        <v>9</v>
      </c>
      <c r="W1460" s="27" t="s">
        <v>9</v>
      </c>
      <c r="X1460" s="27" t="str">
        <f t="shared" si="673"/>
        <v>Yes</v>
      </c>
    </row>
    <row r="1461" spans="1:38" x14ac:dyDescent="0.2">
      <c r="A1461" s="27" t="s">
        <v>245</v>
      </c>
      <c r="B1461" s="27" t="s">
        <v>40</v>
      </c>
      <c r="C1461" s="27">
        <v>0.39</v>
      </c>
      <c r="D1461" s="27" t="s">
        <v>4</v>
      </c>
      <c r="F1461" s="27" t="str">
        <f t="shared" si="670"/>
        <v>No</v>
      </c>
      <c r="G1461" s="27" t="s">
        <v>9</v>
      </c>
      <c r="H1461" s="27" t="s">
        <v>43</v>
      </c>
      <c r="J1461" s="27" t="s">
        <v>19</v>
      </c>
      <c r="K1461" s="27">
        <v>417</v>
      </c>
      <c r="L1461" s="27" t="s">
        <v>12</v>
      </c>
      <c r="M1461" s="27" t="s">
        <v>436</v>
      </c>
      <c r="N1461" s="27" t="str">
        <f>IF(K1461="N/A","No", IF(K1461&gt;5000,"Yes","No"))</f>
        <v>No</v>
      </c>
      <c r="O1461" s="27" t="str">
        <f>IF(K1461="Not","No",IF(K1461="n/a","N/A",IF(K1461&gt;$Y$2,"Yes","No")))</f>
        <v>No</v>
      </c>
      <c r="Q1461" s="27" t="s">
        <v>118</v>
      </c>
      <c r="R1461" s="27" t="str">
        <f>IF(COUNTIF(R1458:R1460,"Yes"),"Yes","No")</f>
        <v>Yes</v>
      </c>
      <c r="S1461" s="27" t="str">
        <f>IF(COUNTIF(S1458:S1460,"Yes"),"Yes","No")</f>
        <v>Yes</v>
      </c>
      <c r="U1461" s="27" t="s">
        <v>164</v>
      </c>
      <c r="V1461" s="27" t="s">
        <v>5</v>
      </c>
      <c r="W1461" s="27" t="s">
        <v>9</v>
      </c>
      <c r="X1461" s="27" t="str">
        <f t="shared" si="673"/>
        <v>No</v>
      </c>
    </row>
    <row r="1462" spans="1:38" x14ac:dyDescent="0.2">
      <c r="A1462" s="27" t="s">
        <v>109</v>
      </c>
      <c r="B1462" s="27" t="s">
        <v>40</v>
      </c>
      <c r="C1462" s="27">
        <v>0.45</v>
      </c>
      <c r="D1462" s="27" t="s">
        <v>4</v>
      </c>
      <c r="F1462" s="27" t="str">
        <f t="shared" si="670"/>
        <v>No</v>
      </c>
      <c r="G1462" s="27" t="s">
        <v>9</v>
      </c>
      <c r="H1462" s="27" t="s">
        <v>43</v>
      </c>
      <c r="J1462" s="27" t="s">
        <v>22</v>
      </c>
      <c r="K1462" s="27">
        <v>538</v>
      </c>
      <c r="L1462" s="27" t="s">
        <v>12</v>
      </c>
      <c r="M1462" s="27" t="s">
        <v>325</v>
      </c>
      <c r="N1462" s="27" t="str">
        <f>IF(K1462="N/A","No", IF(K1462&gt;5000,"Yes","No"))</f>
        <v>No</v>
      </c>
      <c r="O1462" s="27" t="str">
        <f>IF(K1462="Not","No",IF(K1462="n/a","N/A",IF(K1462&gt;$Y$2,"Yes","No")))</f>
        <v>No</v>
      </c>
      <c r="U1462" s="27" t="s">
        <v>162</v>
      </c>
      <c r="V1462" s="27" t="str">
        <f>R1459</f>
        <v>Yes</v>
      </c>
      <c r="W1462" s="27" t="str">
        <f>S1459</f>
        <v>No</v>
      </c>
      <c r="X1462" s="27" t="str">
        <f t="shared" si="673"/>
        <v>No</v>
      </c>
    </row>
    <row r="1463" spans="1:38" x14ac:dyDescent="0.2">
      <c r="A1463" s="27" t="s">
        <v>293</v>
      </c>
      <c r="B1463" s="27" t="s">
        <v>54</v>
      </c>
      <c r="C1463" s="27">
        <v>12</v>
      </c>
      <c r="D1463" s="27" t="s">
        <v>33</v>
      </c>
      <c r="F1463" s="27" t="str">
        <f t="shared" ref="F1463" si="675">IF(C1463&gt;$W$5,"Yes","No")</f>
        <v>No</v>
      </c>
      <c r="G1463" s="27" t="s">
        <v>9</v>
      </c>
      <c r="J1463" s="27" t="s">
        <v>25</v>
      </c>
      <c r="K1463" s="27">
        <v>5</v>
      </c>
      <c r="L1463" s="27" t="s">
        <v>12</v>
      </c>
      <c r="M1463" s="27" t="s">
        <v>59</v>
      </c>
      <c r="N1463" s="27" t="str">
        <f>IF(K1463="N/A","No", IF(K1463&gt;=20,"Yes","No"))</f>
        <v>No</v>
      </c>
      <c r="O1463" s="27" t="str">
        <f>IF(K1463="Not","No",IF(K1463="n/a","N/A",IF(K1463&gt;=$Y$5,"Yes","No")))</f>
        <v>No</v>
      </c>
      <c r="U1463" s="27" t="s">
        <v>101</v>
      </c>
      <c r="V1463" s="27" t="s">
        <v>9</v>
      </c>
      <c r="W1463" s="27" t="s">
        <v>5</v>
      </c>
      <c r="X1463" s="27" t="str">
        <f>IF(V1463="N/A","N/A",IF(W1463="N/A", "N/A", IF(V1463=W1463, "Yes","No")))</f>
        <v>No</v>
      </c>
    </row>
    <row r="1464" spans="1:38" x14ac:dyDescent="0.2">
      <c r="A1464" s="27" t="s">
        <v>71</v>
      </c>
      <c r="B1464" s="27" t="s">
        <v>32</v>
      </c>
      <c r="C1464" s="27">
        <v>3</v>
      </c>
      <c r="D1464" s="27" t="s">
        <v>33</v>
      </c>
      <c r="F1464" s="27" t="str">
        <f t="shared" ref="F1464" si="676">IF(C1464&gt;$W$6,"Yes","No")</f>
        <v>No</v>
      </c>
      <c r="G1464" s="27" t="s">
        <v>9</v>
      </c>
      <c r="J1464" s="27" t="s">
        <v>29</v>
      </c>
      <c r="K1464" s="27">
        <v>14</v>
      </c>
      <c r="L1464" s="27" t="s">
        <v>12</v>
      </c>
      <c r="M1464" s="27" t="s">
        <v>72</v>
      </c>
      <c r="N1464" s="27" t="str">
        <f>IF(K1464="N/A","No", IF(K1464&gt;20,"Yes","No"))</f>
        <v>No</v>
      </c>
      <c r="O1464" s="27" t="str">
        <f t="shared" ref="O1464" si="677">IF(K1464="Not","No",IF(K1464="n/a","N/A",IF(K1464&gt;$Y$6,"Yes","No")))</f>
        <v>No</v>
      </c>
      <c r="U1464" s="27" t="s">
        <v>104</v>
      </c>
      <c r="V1464" s="27" t="s">
        <v>9</v>
      </c>
      <c r="W1464" s="27" t="s">
        <v>9</v>
      </c>
      <c r="X1464" s="27" t="str">
        <f>IF(V1464="N/A","N/A",IF(W1464="N/A", "N/A", IF(V1464=W1464, "Yes","No")))</f>
        <v>Yes</v>
      </c>
    </row>
    <row r="1465" spans="1:38" x14ac:dyDescent="0.2">
      <c r="J1465" s="27" t="s">
        <v>34</v>
      </c>
      <c r="K1465" s="27">
        <v>21</v>
      </c>
      <c r="L1465" s="27" t="s">
        <v>12</v>
      </c>
      <c r="M1465" s="27" t="s">
        <v>81</v>
      </c>
      <c r="N1465" s="27" t="str">
        <f>IF(K1465="N/A","No", IF(K1465&gt;230,"Yes","No"))</f>
        <v>No</v>
      </c>
      <c r="O1465" s="27" t="str">
        <f>IF(K1465="Not","No",IF(K1465="n/a","N/A",IF(K1465&gt;$Y$6,"Yes","No")))</f>
        <v>Yes</v>
      </c>
      <c r="U1465" s="27" t="s">
        <v>106</v>
      </c>
      <c r="V1465" s="27" t="str">
        <f>R1460</f>
        <v>No</v>
      </c>
      <c r="W1465" s="27" t="str">
        <f>S1460</f>
        <v>Yes</v>
      </c>
      <c r="X1465" s="27" t="str">
        <f>IF(V1465="N/A","N/A",IF(W1465="N/A", "N/A", IF(V1465=W1465, "Yes","No")))</f>
        <v>No</v>
      </c>
    </row>
    <row r="1466" spans="1:38" x14ac:dyDescent="0.2">
      <c r="U1466" s="27" t="s">
        <v>121</v>
      </c>
      <c r="V1466" s="27" t="str">
        <f>R1461</f>
        <v>Yes</v>
      </c>
      <c r="W1466" s="27" t="str">
        <f>S1461</f>
        <v>Yes</v>
      </c>
      <c r="X1466" s="27" t="str">
        <f>IF(V1466="N/A","N/A",IF(W1466="N/A", "N/A", IF(V1466=W1466, "Yes","No")))</f>
        <v>Yes</v>
      </c>
    </row>
    <row r="1468" spans="1:38" x14ac:dyDescent="0.2">
      <c r="A1468" s="27">
        <v>1504</v>
      </c>
      <c r="B1468" s="27" t="s">
        <v>319</v>
      </c>
      <c r="C1468" s="27">
        <v>98</v>
      </c>
    </row>
    <row r="1469" spans="1:38" x14ac:dyDescent="0.2">
      <c r="A1469" s="59" t="s">
        <v>0</v>
      </c>
      <c r="E1469" s="27" t="s">
        <v>274</v>
      </c>
      <c r="F1469" s="27" t="s">
        <v>275</v>
      </c>
      <c r="G1469" s="27" t="s">
        <v>119</v>
      </c>
      <c r="J1469" s="59" t="s">
        <v>1</v>
      </c>
      <c r="N1469" s="27" t="s">
        <v>277</v>
      </c>
      <c r="O1469" s="27" t="s">
        <v>278</v>
      </c>
      <c r="Q1469" s="59" t="s">
        <v>115</v>
      </c>
      <c r="R1469" s="59" t="s">
        <v>0</v>
      </c>
      <c r="S1469" s="59" t="s">
        <v>1</v>
      </c>
      <c r="U1469" s="59" t="s">
        <v>115</v>
      </c>
      <c r="V1469" s="59" t="s">
        <v>0</v>
      </c>
      <c r="W1469" s="59" t="s">
        <v>1</v>
      </c>
      <c r="X1469" s="59" t="s">
        <v>122</v>
      </c>
      <c r="AA1469" s="27" t="str">
        <f>IF(R1470="Yes","LRA-Soil","")</f>
        <v/>
      </c>
      <c r="AB1469" s="27" t="str">
        <f>IF(R1471="Yes","LRA-Paint","")</f>
        <v/>
      </c>
      <c r="AC1469" s="27" t="str">
        <f>IF(R1472="Yes","LRA-Dust","")</f>
        <v/>
      </c>
      <c r="AD1469" s="27" t="str">
        <f>IF(S1470="Yes","LSK-Soil","")</f>
        <v/>
      </c>
      <c r="AE1469" s="27" t="str">
        <f>IF(S1471="Yes","LSK-Paint","")</f>
        <v/>
      </c>
      <c r="AF1469" s="27" t="str">
        <f>IF(S1472="Yes","LSK-Dust","")</f>
        <v/>
      </c>
      <c r="AI1469" s="27" t="s">
        <v>46</v>
      </c>
      <c r="AJ1469" s="27" t="s">
        <v>43</v>
      </c>
      <c r="AK1469" s="27" t="s">
        <v>116</v>
      </c>
      <c r="AL1469" s="27" t="s">
        <v>117</v>
      </c>
    </row>
    <row r="1470" spans="1:38" x14ac:dyDescent="0.2">
      <c r="A1470" s="27" t="s">
        <v>63</v>
      </c>
      <c r="B1470" s="27" t="s">
        <v>18</v>
      </c>
      <c r="C1470" s="27">
        <v>0</v>
      </c>
      <c r="D1470" s="27" t="s">
        <v>4</v>
      </c>
      <c r="F1470" s="27" t="str">
        <f t="shared" ref="F1470:F1472" si="678">IF(C1470&gt;=$W$2,"Yes","No")</f>
        <v>No</v>
      </c>
      <c r="G1470" s="27" t="s">
        <v>9</v>
      </c>
      <c r="H1470" s="27" t="s">
        <v>46</v>
      </c>
      <c r="J1470" s="27" t="s">
        <v>6</v>
      </c>
      <c r="K1470" s="27">
        <v>0</v>
      </c>
      <c r="L1470" s="27" t="s">
        <v>12</v>
      </c>
      <c r="M1470" s="27" t="s">
        <v>36</v>
      </c>
      <c r="N1470" s="27" t="str">
        <f>IF(K1470="N/A","No", IF(K1470&gt;1200,"Yes","No"))</f>
        <v>No</v>
      </c>
      <c r="O1470" s="27" t="str">
        <f>IF(K1470="Not","No",IF(K1470="n/a","N/A",IF(K1470&gt;=$Y$3,"Yes","No")))</f>
        <v>No</v>
      </c>
      <c r="Q1470" s="27" t="s">
        <v>116</v>
      </c>
      <c r="R1470" s="27" t="str">
        <f>_xlfn.XLOOKUP("ppm",D1470:D1474,F1470:F1474,"N/A")</f>
        <v>No</v>
      </c>
      <c r="S1470" s="27" t="str">
        <f>IF(COUNTIF(O1470:O1472,"Yes"),"Yes","No")</f>
        <v>No</v>
      </c>
      <c r="U1470" s="27" t="s">
        <v>92</v>
      </c>
      <c r="V1470" s="27" t="s">
        <v>120</v>
      </c>
      <c r="W1470" s="27" t="s">
        <v>120</v>
      </c>
      <c r="X1470" s="27" t="str">
        <f>IF(V1470="N/A","N/A",IF(W1470="N/A", "N/A", IF(V1470=W1470, "Yes","No")))</f>
        <v>N/A</v>
      </c>
      <c r="AI1470" s="27">
        <f>COUNTIF(H1470:H1477,"Exterior")</f>
        <v>1</v>
      </c>
      <c r="AJ1470" s="27">
        <f>COUNTIF(H1470:H1477, "Interior")</f>
        <v>1</v>
      </c>
      <c r="AK1470" s="27">
        <f>COUNTIFS(D1470:D1477,"ppm")+COUNTIFS(D1470:D1477,"mg/Kg")</f>
        <v>1</v>
      </c>
      <c r="AL1470" s="27">
        <f>COUNTIF(D1470:D1477,"ug/ft2")</f>
        <v>2</v>
      </c>
    </row>
    <row r="1471" spans="1:38" x14ac:dyDescent="0.2">
      <c r="A1471" s="27" t="s">
        <v>68</v>
      </c>
      <c r="B1471" s="27" t="s">
        <v>69</v>
      </c>
      <c r="C1471" s="27">
        <v>130</v>
      </c>
      <c r="D1471" s="27" t="s">
        <v>12</v>
      </c>
      <c r="F1471" s="27" t="str">
        <f t="shared" ref="F1471" si="679">IF(C1471&gt;=$W$3,"Yes","No")</f>
        <v>No</v>
      </c>
      <c r="G1471" s="27" t="s">
        <v>9</v>
      </c>
      <c r="J1471" s="27" t="s">
        <v>11</v>
      </c>
      <c r="K1471" s="27">
        <v>0</v>
      </c>
      <c r="L1471" s="27" t="s">
        <v>12</v>
      </c>
      <c r="M1471" s="27" t="s">
        <v>38</v>
      </c>
      <c r="N1471" s="27" t="str">
        <f t="shared" ref="N1471:N1472" si="680">IF(K1471="N/A","No", IF(K1471&gt;1200,"Yes","No"))</f>
        <v>No</v>
      </c>
      <c r="O1471" s="27" t="str">
        <f t="shared" ref="O1471:O1472" si="681">IF(K1471="Not","No",IF(K1471="n/a","N/A",IF(K1471&gt;$Y$3,"Yes","No")))</f>
        <v>No</v>
      </c>
      <c r="Q1471" s="27" t="s">
        <v>98</v>
      </c>
      <c r="R1471" s="27" t="str">
        <f>_xlfn.XLOOKUP("mg/cm2",D1470:D1474,G1470:G1474,"N/A",1,-1)</f>
        <v>No</v>
      </c>
      <c r="S1471" s="27" t="str">
        <f>IF(COUNTIF(O1473:O1474,"Yes"),"Yes","No")</f>
        <v>No</v>
      </c>
      <c r="U1471" s="27" t="s">
        <v>95</v>
      </c>
      <c r="V1471" s="27" t="str">
        <f>R1470</f>
        <v>No</v>
      </c>
      <c r="W1471" s="27" t="str">
        <f>S1470</f>
        <v>No</v>
      </c>
      <c r="X1471" s="27" t="str">
        <f t="shared" ref="X1471:X1474" si="682">IF(V1471="N/A","N/A",IF(W1471="N/A", "N/A", IF(V1471=W1471, "Yes","No")))</f>
        <v>Yes</v>
      </c>
    </row>
    <row r="1472" spans="1:38" x14ac:dyDescent="0.2">
      <c r="A1472" s="27" t="s">
        <v>307</v>
      </c>
      <c r="B1472" s="27" t="s">
        <v>40</v>
      </c>
      <c r="C1472" s="27">
        <v>0</v>
      </c>
      <c r="D1472" s="27" t="s">
        <v>4</v>
      </c>
      <c r="F1472" s="27" t="str">
        <f t="shared" si="678"/>
        <v>No</v>
      </c>
      <c r="G1472" s="27" t="s">
        <v>9</v>
      </c>
      <c r="H1472" s="27" t="s">
        <v>43</v>
      </c>
      <c r="J1472" s="27" t="s">
        <v>15</v>
      </c>
      <c r="K1472" s="27">
        <v>70</v>
      </c>
      <c r="L1472" s="27" t="s">
        <v>12</v>
      </c>
      <c r="M1472" s="27" t="s">
        <v>41</v>
      </c>
      <c r="N1472" s="27" t="str">
        <f t="shared" si="680"/>
        <v>No</v>
      </c>
      <c r="O1472" s="27" t="str">
        <f t="shared" si="681"/>
        <v>No</v>
      </c>
      <c r="Q1472" s="27" t="s">
        <v>117</v>
      </c>
      <c r="R1472" s="27" t="str">
        <f>_xlfn.XLOOKUP("ug/ft2",D1470:D1474,F1470:F1474,"N/A")</f>
        <v>No</v>
      </c>
      <c r="S1472" s="27" t="str">
        <f>IF(COUNTIF(O1475:O1478,"Yes"),"Yes","No")</f>
        <v>No</v>
      </c>
      <c r="U1472" s="27" t="s">
        <v>163</v>
      </c>
      <c r="V1472" s="27" t="s">
        <v>9</v>
      </c>
      <c r="W1472" s="27" t="s">
        <v>9</v>
      </c>
      <c r="X1472" s="27" t="str">
        <f t="shared" si="682"/>
        <v>Yes</v>
      </c>
    </row>
    <row r="1473" spans="1:38" x14ac:dyDescent="0.2">
      <c r="A1473" s="27" t="s">
        <v>307</v>
      </c>
      <c r="B1473" s="27" t="s">
        <v>210</v>
      </c>
      <c r="C1473" s="27">
        <v>24</v>
      </c>
      <c r="D1473" s="27" t="s">
        <v>33</v>
      </c>
      <c r="F1473" s="27" t="str">
        <f t="shared" ref="F1473" si="683">IF(C1473&gt;$W$5,"Yes","No")</f>
        <v>No</v>
      </c>
      <c r="G1473" s="27" t="s">
        <v>9</v>
      </c>
      <c r="J1473" s="27" t="s">
        <v>19</v>
      </c>
      <c r="K1473" s="27">
        <v>0</v>
      </c>
      <c r="L1473" s="27" t="s">
        <v>12</v>
      </c>
      <c r="M1473" s="27" t="s">
        <v>437</v>
      </c>
      <c r="N1473" s="27" t="str">
        <f>IF(K1473="N/A","No", IF(K1473&gt;5000,"Yes","No"))</f>
        <v>No</v>
      </c>
      <c r="O1473" s="27" t="str">
        <f>IF(K1473="Not","No",IF(K1473="n/a","N/A",IF(K1473&gt;$Y$2,"Yes","No")))</f>
        <v>No</v>
      </c>
      <c r="Q1473" s="27" t="s">
        <v>118</v>
      </c>
      <c r="R1473" s="27" t="str">
        <f>IF(COUNTIF(R1470:R1472,"Yes"),"Yes","No")</f>
        <v>No</v>
      </c>
      <c r="S1473" s="27" t="str">
        <f>IF(COUNTIF(S1470:S1472,"Yes"),"Yes","No")</f>
        <v>No</v>
      </c>
      <c r="U1473" s="27" t="s">
        <v>164</v>
      </c>
      <c r="V1473" s="27" t="s">
        <v>9</v>
      </c>
      <c r="W1473" s="27" t="s">
        <v>9</v>
      </c>
      <c r="X1473" s="27" t="str">
        <f t="shared" si="682"/>
        <v>Yes</v>
      </c>
    </row>
    <row r="1474" spans="1:38" x14ac:dyDescent="0.2">
      <c r="A1474" s="27" t="s">
        <v>71</v>
      </c>
      <c r="B1474" s="27" t="s">
        <v>32</v>
      </c>
      <c r="C1474" s="27">
        <v>3</v>
      </c>
      <c r="D1474" s="27" t="s">
        <v>33</v>
      </c>
      <c r="F1474" s="27" t="str">
        <f t="shared" ref="F1474" si="684">IF(C1474&gt;$W$6,"Yes","No")</f>
        <v>No</v>
      </c>
      <c r="G1474" s="27" t="s">
        <v>9</v>
      </c>
      <c r="J1474" s="27" t="s">
        <v>22</v>
      </c>
      <c r="K1474" s="27">
        <v>0</v>
      </c>
      <c r="L1474" s="27" t="s">
        <v>12</v>
      </c>
      <c r="M1474" s="27" t="s">
        <v>402</v>
      </c>
      <c r="N1474" s="27" t="str">
        <f>IF(K1474="N/A","No", IF(K1474&gt;5000,"Yes","No"))</f>
        <v>No</v>
      </c>
      <c r="O1474" s="27" t="str">
        <f>IF(K1474="Not","No",IF(K1474="n/a","N/A",IF(K1474&gt;$Y$2,"Yes","No")))</f>
        <v>No</v>
      </c>
      <c r="U1474" s="27" t="s">
        <v>162</v>
      </c>
      <c r="V1474" s="27" t="str">
        <f>R1471</f>
        <v>No</v>
      </c>
      <c r="W1474" s="27" t="str">
        <f>S1471</f>
        <v>No</v>
      </c>
      <c r="X1474" s="27" t="str">
        <f t="shared" si="682"/>
        <v>Yes</v>
      </c>
    </row>
    <row r="1475" spans="1:38" x14ac:dyDescent="0.2">
      <c r="J1475" s="27" t="s">
        <v>25</v>
      </c>
      <c r="K1475" s="27">
        <v>0</v>
      </c>
      <c r="L1475" s="27" t="s">
        <v>12</v>
      </c>
      <c r="M1475" s="27" t="s">
        <v>59</v>
      </c>
      <c r="N1475" s="27" t="str">
        <f>IF(K1475="N/A","No", IF(K1475&gt;=20,"Yes","No"))</f>
        <v>No</v>
      </c>
      <c r="O1475" s="27" t="str">
        <f>IF(K1475="Not","No",IF(K1475="n/a","N/A",IF(K1475&gt;=$Y$5,"Yes","No")))</f>
        <v>No</v>
      </c>
      <c r="U1475" s="27" t="s">
        <v>101</v>
      </c>
      <c r="V1475" s="27" t="s">
        <v>9</v>
      </c>
      <c r="W1475" s="27" t="s">
        <v>9</v>
      </c>
      <c r="X1475" s="27" t="str">
        <f>IF(V1475="N/A","N/A",IF(W1475="N/A", "N/A", IF(V1475=W1475, "Yes","No")))</f>
        <v>Yes</v>
      </c>
    </row>
    <row r="1476" spans="1:38" x14ac:dyDescent="0.2">
      <c r="J1476" s="27" t="s">
        <v>29</v>
      </c>
      <c r="K1476" s="27">
        <v>0</v>
      </c>
      <c r="L1476" s="27" t="s">
        <v>12</v>
      </c>
      <c r="M1476" s="27" t="s">
        <v>72</v>
      </c>
      <c r="N1476" s="27" t="str">
        <f>IF(K1476="N/A","No", IF(K1476&gt;20,"Yes","No"))</f>
        <v>No</v>
      </c>
      <c r="O1476" s="27" t="str">
        <f t="shared" ref="O1476" si="685">IF(K1476="Not","No",IF(K1476="n/a","N/A",IF(K1476&gt;$Y$6,"Yes","No")))</f>
        <v>No</v>
      </c>
      <c r="U1476" s="27" t="s">
        <v>104</v>
      </c>
      <c r="V1476" s="27" t="s">
        <v>9</v>
      </c>
      <c r="W1476" s="27" t="s">
        <v>9</v>
      </c>
      <c r="X1476" s="27" t="str">
        <f>IF(V1476="N/A","N/A",IF(W1476="N/A", "N/A", IF(V1476=W1476, "Yes","No")))</f>
        <v>Yes</v>
      </c>
    </row>
    <row r="1477" spans="1:38" x14ac:dyDescent="0.2">
      <c r="J1477" s="27" t="s">
        <v>34</v>
      </c>
      <c r="K1477" s="27">
        <v>0</v>
      </c>
      <c r="L1477" s="27" t="s">
        <v>12</v>
      </c>
      <c r="M1477" s="27" t="s">
        <v>74</v>
      </c>
      <c r="N1477" s="27" t="str">
        <f>IF(K1477="N/A","No", IF(K1477&gt;230,"Yes","No"))</f>
        <v>No</v>
      </c>
      <c r="O1477" s="27" t="str">
        <f>IF(K1477="Not","No",IF(K1477="n/a","N/A",IF(K1477&gt;$Y$6,"Yes","No")))</f>
        <v>No</v>
      </c>
      <c r="U1477" s="27" t="s">
        <v>106</v>
      </c>
      <c r="V1477" s="27" t="str">
        <f>R1472</f>
        <v>No</v>
      </c>
      <c r="W1477" s="27" t="str">
        <f>S1472</f>
        <v>No</v>
      </c>
      <c r="X1477" s="27" t="str">
        <f>IF(V1477="N/A","N/A",IF(W1477="N/A", "N/A", IF(V1477=W1477, "Yes","No")))</f>
        <v>Yes</v>
      </c>
    </row>
    <row r="1478" spans="1:38" x14ac:dyDescent="0.2">
      <c r="U1478" s="27" t="s">
        <v>121</v>
      </c>
      <c r="V1478" s="27" t="str">
        <f>R1473</f>
        <v>No</v>
      </c>
      <c r="W1478" s="27" t="str">
        <f>S1473</f>
        <v>No</v>
      </c>
      <c r="X1478" s="27" t="str">
        <f>IF(V1478="N/A","N/A",IF(W1478="N/A", "N/A", IF(V1478=W1478, "Yes","No")))</f>
        <v>Yes</v>
      </c>
    </row>
    <row r="1481" spans="1:38" x14ac:dyDescent="0.2">
      <c r="A1481" s="27">
        <v>1505</v>
      </c>
      <c r="B1481" s="27" t="s">
        <v>319</v>
      </c>
      <c r="C1481" s="27">
        <v>99</v>
      </c>
    </row>
    <row r="1482" spans="1:38" x14ac:dyDescent="0.2">
      <c r="A1482" s="59" t="s">
        <v>0</v>
      </c>
      <c r="E1482" s="27" t="s">
        <v>274</v>
      </c>
      <c r="F1482" s="27" t="s">
        <v>275</v>
      </c>
      <c r="G1482" s="27" t="s">
        <v>119</v>
      </c>
      <c r="J1482" s="59" t="s">
        <v>1</v>
      </c>
      <c r="N1482" s="27" t="s">
        <v>277</v>
      </c>
      <c r="O1482" s="27" t="s">
        <v>278</v>
      </c>
      <c r="Q1482" s="59" t="s">
        <v>115</v>
      </c>
      <c r="R1482" s="59" t="s">
        <v>0</v>
      </c>
      <c r="S1482" s="59" t="s">
        <v>1</v>
      </c>
      <c r="U1482" s="59" t="s">
        <v>115</v>
      </c>
      <c r="V1482" s="59" t="s">
        <v>0</v>
      </c>
      <c r="W1482" s="59" t="s">
        <v>1</v>
      </c>
      <c r="X1482" s="59" t="s">
        <v>122</v>
      </c>
      <c r="AA1482" s="27" t="str">
        <f>IF(R1483="Yes","LRA-Soil","")</f>
        <v>LRA-Soil</v>
      </c>
      <c r="AB1482" s="27" t="str">
        <f>IF(R1484="Yes","LRA-Paint","")</f>
        <v>LRA-Paint</v>
      </c>
      <c r="AC1482" s="27" t="str">
        <f>IF(R1485="Yes","LRA-Dust","")</f>
        <v>LRA-Dust</v>
      </c>
      <c r="AD1482" s="27" t="str">
        <f>IF(S1483="Yes","LSK-Soil","")</f>
        <v>LSK-Soil</v>
      </c>
      <c r="AE1482" s="27" t="str">
        <f>IF(S1484="Yes","LSK-Paint","")</f>
        <v/>
      </c>
      <c r="AF1482" s="27" t="str">
        <f>IF(S1485="Yes","LSK-Dust","")</f>
        <v>LSK-Dust</v>
      </c>
      <c r="AI1482" s="27" t="s">
        <v>46</v>
      </c>
      <c r="AJ1482" s="27" t="s">
        <v>43</v>
      </c>
      <c r="AK1482" s="27" t="s">
        <v>116</v>
      </c>
      <c r="AL1482" s="27" t="s">
        <v>117</v>
      </c>
    </row>
    <row r="1483" spans="1:38" x14ac:dyDescent="0.2">
      <c r="A1483" s="27" t="s">
        <v>63</v>
      </c>
      <c r="B1483" s="27" t="s">
        <v>18</v>
      </c>
      <c r="C1483" s="27">
        <v>0</v>
      </c>
      <c r="D1483" s="27" t="s">
        <v>4</v>
      </c>
      <c r="F1483" s="27" t="str">
        <f t="shared" ref="F1483" si="686">IF(C1483&gt;=$W$2,"Yes","No")</f>
        <v>No</v>
      </c>
      <c r="G1483" s="27" t="s">
        <v>9</v>
      </c>
      <c r="H1483" s="27" t="s">
        <v>46</v>
      </c>
      <c r="J1483" s="27" t="s">
        <v>6</v>
      </c>
      <c r="K1483" s="27">
        <v>831</v>
      </c>
      <c r="L1483" s="27" t="s">
        <v>12</v>
      </c>
      <c r="M1483" s="27" t="s">
        <v>36</v>
      </c>
      <c r="N1483" s="27" t="str">
        <f>IF(K1483="N/A","No", IF(K1483&gt;1200,"Yes","No"))</f>
        <v>No</v>
      </c>
      <c r="O1483" s="27" t="str">
        <f>IF(K1483="Not","No",IF(K1483="n/a","N/A",IF(K1483&gt;=$Y$3,"Yes","No")))</f>
        <v>Yes</v>
      </c>
      <c r="Q1483" s="27" t="s">
        <v>116</v>
      </c>
      <c r="R1483" s="27" t="str">
        <f>_xlfn.XLOOKUP("ppm",D1483:D1490,F1483:F1490,"N/A")</f>
        <v>Yes</v>
      </c>
      <c r="S1483" s="27" t="str">
        <f>IF(COUNTIF(O1483:O1485,"Yes"),"Yes","No")</f>
        <v>Yes</v>
      </c>
      <c r="U1483" s="27" t="s">
        <v>92</v>
      </c>
      <c r="V1483" s="27" t="s">
        <v>120</v>
      </c>
      <c r="W1483" s="27" t="s">
        <v>120</v>
      </c>
      <c r="X1483" s="27" t="str">
        <f>IF(V1483="N/A","N/A",IF(W1483="N/A", "N/A", IF(V1483=W1483, "Yes","No")))</f>
        <v>N/A</v>
      </c>
      <c r="AI1483" s="27">
        <f>COUNTIF(H1483:H1490,"Exterior")</f>
        <v>1</v>
      </c>
      <c r="AJ1483" s="27">
        <f>COUNTIF(H1483:H1490, "Interior")</f>
        <v>3</v>
      </c>
      <c r="AK1483" s="27">
        <f>COUNTIFS(D1483:D1490,"ppm")+COUNTIFS(D1483:D1490,"mg/Kg")</f>
        <v>2</v>
      </c>
      <c r="AL1483" s="27">
        <f>COUNTIF(D1483:D1490,"ug/ft2")</f>
        <v>2</v>
      </c>
    </row>
    <row r="1484" spans="1:38" x14ac:dyDescent="0.2">
      <c r="A1484" s="27" t="s">
        <v>75</v>
      </c>
      <c r="B1484" s="27" t="s">
        <v>301</v>
      </c>
      <c r="C1484" s="27">
        <v>1700</v>
      </c>
      <c r="D1484" s="27" t="s">
        <v>12</v>
      </c>
      <c r="F1484" s="27" t="str">
        <f t="shared" ref="F1484:F1485" si="687">IF(C1484&gt;=$W$3,"Yes","No")</f>
        <v>Yes</v>
      </c>
      <c r="G1484" s="27" t="s">
        <v>5</v>
      </c>
      <c r="J1484" s="27" t="s">
        <v>11</v>
      </c>
      <c r="K1484" s="27">
        <v>85</v>
      </c>
      <c r="L1484" s="27" t="s">
        <v>12</v>
      </c>
      <c r="M1484" s="27" t="s">
        <v>176</v>
      </c>
      <c r="N1484" s="27" t="str">
        <f t="shared" ref="N1484:N1485" si="688">IF(K1484="N/A","No", IF(K1484&gt;1200,"Yes","No"))</f>
        <v>No</v>
      </c>
      <c r="O1484" s="27" t="str">
        <f t="shared" ref="O1484:O1485" si="689">IF(K1484="Not","No",IF(K1484="n/a","N/A",IF(K1484&gt;$Y$3,"Yes","No")))</f>
        <v>No</v>
      </c>
      <c r="Q1484" s="27" t="s">
        <v>98</v>
      </c>
      <c r="R1484" s="27" t="str">
        <f>_xlfn.XLOOKUP("mg/cm2",D1483:D1487,G1483:G1487,"N/A",1,-1)</f>
        <v>Yes</v>
      </c>
      <c r="S1484" s="27" t="str">
        <f>IF(COUNTIF(O1486:O1487,"Yes"),"Yes","No")</f>
        <v>No</v>
      </c>
      <c r="U1484" s="27" t="s">
        <v>95</v>
      </c>
      <c r="V1484" s="27" t="str">
        <f>R1483</f>
        <v>Yes</v>
      </c>
      <c r="W1484" s="27" t="str">
        <f>S1483</f>
        <v>Yes</v>
      </c>
      <c r="X1484" s="27" t="str">
        <f t="shared" ref="X1484:X1487" si="690">IF(V1484="N/A","N/A",IF(W1484="N/A", "N/A", IF(V1484=W1484, "Yes","No")))</f>
        <v>Yes</v>
      </c>
    </row>
    <row r="1485" spans="1:38" x14ac:dyDescent="0.2">
      <c r="A1485" s="27" t="s">
        <v>68</v>
      </c>
      <c r="B1485" s="27" t="s">
        <v>69</v>
      </c>
      <c r="C1485" s="27">
        <v>80</v>
      </c>
      <c r="D1485" s="27" t="s">
        <v>12</v>
      </c>
      <c r="F1485" s="27" t="str">
        <f t="shared" si="687"/>
        <v>No</v>
      </c>
      <c r="G1485" s="27" t="s">
        <v>9</v>
      </c>
      <c r="J1485" s="27" t="s">
        <v>15</v>
      </c>
      <c r="K1485" s="27">
        <v>158</v>
      </c>
      <c r="L1485" s="27" t="s">
        <v>12</v>
      </c>
      <c r="M1485" s="27" t="s">
        <v>41</v>
      </c>
      <c r="N1485" s="27" t="str">
        <f t="shared" si="688"/>
        <v>No</v>
      </c>
      <c r="O1485" s="27" t="str">
        <f t="shared" si="689"/>
        <v>No</v>
      </c>
      <c r="Q1485" s="27" t="s">
        <v>117</v>
      </c>
      <c r="R1485" s="27" t="str">
        <f>_xlfn.XLOOKUP("ug/ft2",D1483:D1490,F1483:F1490,"N/A")</f>
        <v>Yes</v>
      </c>
      <c r="S1485" s="27" t="str">
        <f>IF(COUNTIF(O1488:O1491,"Yes"),"Yes","No")</f>
        <v>Yes</v>
      </c>
      <c r="U1485" s="27" t="s">
        <v>163</v>
      </c>
      <c r="V1485" s="27" t="s">
        <v>5</v>
      </c>
      <c r="W1485" s="27" t="s">
        <v>9</v>
      </c>
      <c r="X1485" s="27" t="str">
        <f t="shared" si="690"/>
        <v>No</v>
      </c>
    </row>
    <row r="1486" spans="1:38" x14ac:dyDescent="0.2">
      <c r="A1486" s="27" t="s">
        <v>71</v>
      </c>
      <c r="B1486" s="27" t="s">
        <v>40</v>
      </c>
      <c r="C1486" s="27">
        <v>0</v>
      </c>
      <c r="D1486" s="27" t="s">
        <v>4</v>
      </c>
      <c r="F1486" s="27" t="str">
        <f t="shared" ref="F1486:F1488" si="691">IF(C1486&gt;=$W$2,"Yes","No")</f>
        <v>No</v>
      </c>
      <c r="G1486" s="27" t="s">
        <v>9</v>
      </c>
      <c r="H1486" s="27" t="s">
        <v>43</v>
      </c>
      <c r="J1486" s="27" t="s">
        <v>19</v>
      </c>
      <c r="K1486" s="27">
        <v>0</v>
      </c>
      <c r="L1486" s="27" t="s">
        <v>12</v>
      </c>
      <c r="M1486" s="27" t="s">
        <v>438</v>
      </c>
      <c r="N1486" s="27" t="str">
        <f>IF(K1486="N/A","No", IF(K1486&gt;5000,"Yes","No"))</f>
        <v>No</v>
      </c>
      <c r="O1486" s="27" t="str">
        <f>IF(K1486="Not","No",IF(K1486="n/a","N/A",IF(K1486&gt;$Y$2,"Yes","No")))</f>
        <v>No</v>
      </c>
      <c r="Q1486" s="27" t="s">
        <v>118</v>
      </c>
      <c r="R1486" s="27" t="str">
        <f>IF(COUNTIF(R1483:R1485,"Yes"),"Yes","No")</f>
        <v>Yes</v>
      </c>
      <c r="S1486" s="27" t="str">
        <f>IF(COUNTIF(S1483:S1485,"Yes"),"Yes","No")</f>
        <v>Yes</v>
      </c>
      <c r="U1486" s="27" t="s">
        <v>164</v>
      </c>
      <c r="V1486" s="27" t="s">
        <v>9</v>
      </c>
      <c r="W1486" s="27" t="s">
        <v>120</v>
      </c>
      <c r="X1486" s="27" t="str">
        <f t="shared" si="690"/>
        <v>N/A</v>
      </c>
    </row>
    <row r="1487" spans="1:38" x14ac:dyDescent="0.2">
      <c r="A1487" s="27" t="s">
        <v>322</v>
      </c>
      <c r="B1487" s="27" t="s">
        <v>10</v>
      </c>
      <c r="C1487" s="27">
        <v>2.4</v>
      </c>
      <c r="D1487" s="27" t="s">
        <v>4</v>
      </c>
      <c r="F1487" s="27" t="str">
        <f t="shared" si="691"/>
        <v>Yes</v>
      </c>
      <c r="G1487" s="27" t="s">
        <v>5</v>
      </c>
      <c r="H1487" s="27" t="s">
        <v>43</v>
      </c>
      <c r="J1487" s="27" t="s">
        <v>22</v>
      </c>
      <c r="K1487" s="27" t="s">
        <v>120</v>
      </c>
      <c r="L1487" s="27" t="s">
        <v>12</v>
      </c>
      <c r="M1487" s="27" t="s">
        <v>66</v>
      </c>
      <c r="N1487" s="27" t="str">
        <f>IF(K1487="N/A","No", IF(K1487&gt;5000,"Yes","No"))</f>
        <v>No</v>
      </c>
      <c r="O1487" s="27" t="str">
        <f>IF(K1487="Not","No",IF(K1487="n/a","N/A",IF(K1487&gt;$Y$2,"Yes","No")))</f>
        <v>N/A</v>
      </c>
      <c r="U1487" s="27" t="s">
        <v>162</v>
      </c>
      <c r="V1487" s="27" t="str">
        <f>R1484</f>
        <v>Yes</v>
      </c>
      <c r="W1487" s="27" t="str">
        <f>S1484</f>
        <v>No</v>
      </c>
      <c r="X1487" s="27" t="str">
        <f t="shared" si="690"/>
        <v>No</v>
      </c>
    </row>
    <row r="1488" spans="1:38" x14ac:dyDescent="0.2">
      <c r="A1488" s="27" t="s">
        <v>322</v>
      </c>
      <c r="B1488" s="27" t="s">
        <v>246</v>
      </c>
      <c r="C1488" s="27">
        <v>3.1</v>
      </c>
      <c r="D1488" s="27" t="s">
        <v>4</v>
      </c>
      <c r="F1488" s="27" t="str">
        <f t="shared" si="691"/>
        <v>Yes</v>
      </c>
      <c r="G1488" s="27" t="s">
        <v>9</v>
      </c>
      <c r="H1488" s="27" t="s">
        <v>43</v>
      </c>
      <c r="J1488" s="27" t="s">
        <v>25</v>
      </c>
      <c r="K1488" s="27">
        <v>46</v>
      </c>
      <c r="L1488" s="27" t="s">
        <v>12</v>
      </c>
      <c r="M1488" s="27" t="s">
        <v>439</v>
      </c>
      <c r="N1488" s="27" t="str">
        <f>IF(K1488="N/A","No", IF(K1488&gt;=20,"Yes","No"))</f>
        <v>Yes</v>
      </c>
      <c r="O1488" s="27" t="str">
        <f>IF(K1488="Not","No",IF(K1488="n/a","N/A",IF(K1488&gt;=$Y$5,"Yes","No")))</f>
        <v>No</v>
      </c>
      <c r="U1488" s="27" t="s">
        <v>101</v>
      </c>
      <c r="V1488" s="27" t="s">
        <v>5</v>
      </c>
      <c r="W1488" s="27" t="s">
        <v>5</v>
      </c>
      <c r="X1488" s="27" t="str">
        <f>IF(V1488="N/A","N/A",IF(W1488="N/A", "N/A", IF(V1488=W1488, "Yes","No")))</f>
        <v>Yes</v>
      </c>
    </row>
    <row r="1489" spans="1:38" x14ac:dyDescent="0.2">
      <c r="A1489" s="27" t="s">
        <v>71</v>
      </c>
      <c r="B1489" s="27" t="s">
        <v>32</v>
      </c>
      <c r="C1489" s="27">
        <v>21</v>
      </c>
      <c r="D1489" s="27" t="s">
        <v>33</v>
      </c>
      <c r="F1489" s="27" t="str">
        <f t="shared" ref="F1489:F1490" si="692">IF(C1489&gt;$W$6,"Yes","No")</f>
        <v>Yes</v>
      </c>
      <c r="G1489" s="27" t="s">
        <v>5</v>
      </c>
      <c r="J1489" s="27" t="s">
        <v>29</v>
      </c>
      <c r="K1489" s="27">
        <v>28</v>
      </c>
      <c r="L1489" s="27" t="s">
        <v>12</v>
      </c>
      <c r="M1489" s="27" t="s">
        <v>72</v>
      </c>
      <c r="N1489" s="27" t="str">
        <f>IF(K1489="N/A","No", IF(K1489&gt;20,"Yes","No"))</f>
        <v>Yes</v>
      </c>
      <c r="O1489" s="27" t="str">
        <f t="shared" ref="O1489" si="693">IF(K1489="Not","No",IF(K1489="n/a","N/A",IF(K1489&gt;$Y$6,"Yes","No")))</f>
        <v>Yes</v>
      </c>
      <c r="U1489" s="27" t="s">
        <v>104</v>
      </c>
      <c r="V1489" s="27" t="s">
        <v>120</v>
      </c>
      <c r="W1489" s="27" t="s">
        <v>9</v>
      </c>
      <c r="X1489" s="27" t="str">
        <f>IF(V1489="N/A","N/A",IF(W1489="N/A", "N/A", IF(V1489=W1489, "Yes","No")))</f>
        <v>N/A</v>
      </c>
    </row>
    <row r="1490" spans="1:38" x14ac:dyDescent="0.2">
      <c r="A1490" s="27" t="s">
        <v>71</v>
      </c>
      <c r="B1490" s="27" t="s">
        <v>32</v>
      </c>
      <c r="C1490" s="27">
        <v>160</v>
      </c>
      <c r="D1490" s="27" t="s">
        <v>33</v>
      </c>
      <c r="F1490" s="27" t="str">
        <f t="shared" si="692"/>
        <v>Yes</v>
      </c>
      <c r="G1490" s="27" t="s">
        <v>5</v>
      </c>
      <c r="J1490" s="27" t="s">
        <v>34</v>
      </c>
      <c r="K1490" s="27">
        <v>48</v>
      </c>
      <c r="L1490" s="27" t="s">
        <v>12</v>
      </c>
      <c r="M1490" s="27" t="s">
        <v>81</v>
      </c>
      <c r="N1490" s="27" t="str">
        <f>IF(K1490="N/A","No", IF(K1490&gt;230,"Yes","No"))</f>
        <v>No</v>
      </c>
      <c r="O1490" s="27" t="str">
        <f>IF(K1490="Not","No",IF(K1490="n/a","N/A",IF(K1490&gt;$Y$6,"Yes","No")))</f>
        <v>Yes</v>
      </c>
      <c r="U1490" s="27" t="s">
        <v>106</v>
      </c>
      <c r="V1490" s="27" t="str">
        <f>R1485</f>
        <v>Yes</v>
      </c>
      <c r="W1490" s="27" t="str">
        <f>S1485</f>
        <v>Yes</v>
      </c>
      <c r="X1490" s="27" t="str">
        <f>IF(V1490="N/A","N/A",IF(W1490="N/A", "N/A", IF(V1490=W1490, "Yes","No")))</f>
        <v>Yes</v>
      </c>
    </row>
    <row r="1491" spans="1:38" x14ac:dyDescent="0.2">
      <c r="U1491" s="27" t="s">
        <v>121</v>
      </c>
      <c r="V1491" s="27" t="str">
        <f>R1486</f>
        <v>Yes</v>
      </c>
      <c r="W1491" s="27" t="str">
        <f>S1486</f>
        <v>Yes</v>
      </c>
      <c r="X1491" s="27" t="str">
        <f>IF(V1491="N/A","N/A",IF(W1491="N/A", "N/A", IF(V1491=W1491, "Yes","No")))</f>
        <v>Yes</v>
      </c>
    </row>
    <row r="1493" spans="1:38" x14ac:dyDescent="0.2">
      <c r="A1493" s="27">
        <v>1518</v>
      </c>
      <c r="B1493" s="27" t="s">
        <v>319</v>
      </c>
      <c r="C1493" s="27">
        <v>100</v>
      </c>
    </row>
    <row r="1494" spans="1:38" x14ac:dyDescent="0.2">
      <c r="A1494" s="59" t="s">
        <v>0</v>
      </c>
      <c r="E1494" s="27" t="s">
        <v>274</v>
      </c>
      <c r="F1494" s="27" t="s">
        <v>275</v>
      </c>
      <c r="G1494" s="27" t="s">
        <v>119</v>
      </c>
      <c r="J1494" s="59" t="s">
        <v>1</v>
      </c>
      <c r="N1494" s="27" t="s">
        <v>277</v>
      </c>
      <c r="O1494" s="27" t="s">
        <v>278</v>
      </c>
      <c r="Q1494" s="59" t="s">
        <v>115</v>
      </c>
      <c r="R1494" s="59" t="s">
        <v>0</v>
      </c>
      <c r="S1494" s="59" t="s">
        <v>1</v>
      </c>
      <c r="U1494" s="59" t="s">
        <v>115</v>
      </c>
      <c r="V1494" s="59" t="s">
        <v>0</v>
      </c>
      <c r="W1494" s="59" t="s">
        <v>1</v>
      </c>
      <c r="X1494" s="59" t="s">
        <v>122</v>
      </c>
      <c r="AA1494" s="27" t="str">
        <f>IF(R1495="Yes","LRA-Soil","")</f>
        <v/>
      </c>
      <c r="AB1494" s="27" t="str">
        <f>IF(R1496="Yes","LRA-Paint","")</f>
        <v>LRA-Paint</v>
      </c>
      <c r="AC1494" s="27" t="str">
        <f>IF(R1497="Yes","LRA-Dust","")</f>
        <v>LRA-Dust</v>
      </c>
      <c r="AD1494" s="27" t="str">
        <f>IF(S1495="Yes","LSK-Soil","")</f>
        <v/>
      </c>
      <c r="AE1494" s="27" t="str">
        <f>IF(S1496="Yes","LSK-Paint","")</f>
        <v>LSK-Paint</v>
      </c>
      <c r="AF1494" s="27" t="str">
        <f>IF(S1497="Yes","LSK-Dust","")</f>
        <v>LSK-Dust</v>
      </c>
      <c r="AI1494" s="27" t="s">
        <v>46</v>
      </c>
      <c r="AJ1494" s="27" t="s">
        <v>43</v>
      </c>
      <c r="AK1494" s="27" t="s">
        <v>116</v>
      </c>
      <c r="AL1494" s="27" t="s">
        <v>117</v>
      </c>
    </row>
    <row r="1495" spans="1:38" x14ac:dyDescent="0.2">
      <c r="A1495" s="27" t="s">
        <v>63</v>
      </c>
      <c r="B1495" s="27" t="s">
        <v>10</v>
      </c>
      <c r="C1495" s="27">
        <v>21.6</v>
      </c>
      <c r="D1495" s="27" t="s">
        <v>4</v>
      </c>
      <c r="F1495" s="27" t="str">
        <f t="shared" ref="F1495:F1558" si="694">IF(C1495&gt;=$W$2,"Yes","No")</f>
        <v>Yes</v>
      </c>
      <c r="G1495" s="27" t="s">
        <v>5</v>
      </c>
      <c r="H1495" s="27" t="s">
        <v>46</v>
      </c>
      <c r="J1495" s="27" t="s">
        <v>6</v>
      </c>
      <c r="K1495" s="27">
        <v>353</v>
      </c>
      <c r="L1495" s="27" t="s">
        <v>12</v>
      </c>
      <c r="M1495" s="27" t="s">
        <v>36</v>
      </c>
      <c r="N1495" s="27" t="str">
        <f>IF(K1495="N/A","No", IF(K1495&gt;1200,"Yes","No"))</f>
        <v>No</v>
      </c>
      <c r="O1495" s="27" t="str">
        <f>IF(K1495="Not","No",IF(K1495="n/a","N/A",IF(K1495&gt;=$Y$3,"Yes","No")))</f>
        <v>No</v>
      </c>
      <c r="Q1495" s="27" t="s">
        <v>116</v>
      </c>
      <c r="R1495" s="27" t="str">
        <f>_xlfn.XLOOKUP("ppm",D1495:D1569,F1495:F1569,"N/A")</f>
        <v>No</v>
      </c>
      <c r="S1495" s="27" t="str">
        <f>IF(COUNTIF(O1495:O1497,"Yes"),"Yes","No")</f>
        <v>No</v>
      </c>
      <c r="U1495" s="27" t="s">
        <v>92</v>
      </c>
      <c r="V1495" s="27" t="s">
        <v>120</v>
      </c>
      <c r="W1495" s="27" t="s">
        <v>120</v>
      </c>
      <c r="X1495" s="27" t="str">
        <f>IF(V1495="N/A","N/A",IF(W1495="N/A", "N/A", IF(V1495=W1495, "Yes","No")))</f>
        <v>N/A</v>
      </c>
      <c r="AI1495" s="27">
        <f>COUNTIF(H1495:H1569,"Exterior")</f>
        <v>15</v>
      </c>
      <c r="AJ1495" s="27">
        <f>COUNTIF(H1495:H1569, "Interior")</f>
        <v>56</v>
      </c>
      <c r="AK1495" s="27">
        <f>COUNTIFS(D1495:D1569,"ppm")+COUNTIFS(D1495:D1569,"mg/Kg")</f>
        <v>1</v>
      </c>
      <c r="AL1495" s="27">
        <f>COUNTIF(D1495:D1569,"ug/ft2")</f>
        <v>3</v>
      </c>
    </row>
    <row r="1496" spans="1:38" x14ac:dyDescent="0.2">
      <c r="A1496" s="27" t="s">
        <v>63</v>
      </c>
      <c r="B1496" s="27" t="s">
        <v>10</v>
      </c>
      <c r="C1496" s="27">
        <v>24.1</v>
      </c>
      <c r="D1496" s="27" t="s">
        <v>4</v>
      </c>
      <c r="F1496" s="27" t="str">
        <f t="shared" si="694"/>
        <v>Yes</v>
      </c>
      <c r="G1496" s="27" t="s">
        <v>5</v>
      </c>
      <c r="H1496" s="27" t="s">
        <v>46</v>
      </c>
      <c r="J1496" s="27" t="s">
        <v>11</v>
      </c>
      <c r="K1496" s="27">
        <v>118</v>
      </c>
      <c r="L1496" s="27" t="s">
        <v>12</v>
      </c>
      <c r="M1496" s="27" t="s">
        <v>443</v>
      </c>
      <c r="N1496" s="27" t="str">
        <f t="shared" ref="N1496:N1497" si="695">IF(K1496="N/A","No", IF(K1496&gt;1200,"Yes","No"))</f>
        <v>No</v>
      </c>
      <c r="O1496" s="27" t="str">
        <f t="shared" ref="O1496:O1497" si="696">IF(K1496="Not","No",IF(K1496="n/a","N/A",IF(K1496&gt;$Y$3,"Yes","No")))</f>
        <v>No</v>
      </c>
      <c r="Q1496" s="27" t="s">
        <v>98</v>
      </c>
      <c r="R1496" s="27" t="str">
        <f>_xlfn.XLOOKUP("mg/cm2",D1495:D1499,G1495:G1499,"N/A",1,-1)</f>
        <v>Yes</v>
      </c>
      <c r="S1496" s="27" t="str">
        <f>IF(COUNTIF(O1498:O1499,"Yes"),"Yes","No")</f>
        <v>Yes</v>
      </c>
      <c r="U1496" s="27" t="s">
        <v>95</v>
      </c>
      <c r="V1496" s="27" t="str">
        <f>R1495</f>
        <v>No</v>
      </c>
      <c r="W1496" s="27" t="str">
        <f>S1495</f>
        <v>No</v>
      </c>
      <c r="X1496" s="27" t="str">
        <f t="shared" ref="X1496:X1499" si="697">IF(V1496="N/A","N/A",IF(W1496="N/A", "N/A", IF(V1496=W1496, "Yes","No")))</f>
        <v>Yes</v>
      </c>
    </row>
    <row r="1497" spans="1:38" x14ac:dyDescent="0.2">
      <c r="A1497" s="27" t="s">
        <v>63</v>
      </c>
      <c r="B1497" s="27" t="s">
        <v>18</v>
      </c>
      <c r="C1497" s="27">
        <v>28.1</v>
      </c>
      <c r="D1497" s="27" t="s">
        <v>4</v>
      </c>
      <c r="F1497" s="27" t="str">
        <f t="shared" si="694"/>
        <v>Yes</v>
      </c>
      <c r="G1497" s="27" t="s">
        <v>5</v>
      </c>
      <c r="H1497" s="27" t="s">
        <v>46</v>
      </c>
      <c r="J1497" s="27" t="s">
        <v>15</v>
      </c>
      <c r="K1497" s="27">
        <v>17</v>
      </c>
      <c r="L1497" s="27" t="s">
        <v>12</v>
      </c>
      <c r="M1497" s="27" t="s">
        <v>41</v>
      </c>
      <c r="N1497" s="27" t="str">
        <f t="shared" si="695"/>
        <v>No</v>
      </c>
      <c r="O1497" s="27" t="str">
        <f t="shared" si="696"/>
        <v>No</v>
      </c>
      <c r="Q1497" s="27" t="s">
        <v>117</v>
      </c>
      <c r="R1497" s="63" t="s">
        <v>5</v>
      </c>
      <c r="S1497" s="27" t="str">
        <f>IF(COUNTIF(O1500:O1503,"Yes"),"Yes","No")</f>
        <v>Yes</v>
      </c>
      <c r="U1497" s="27" t="s">
        <v>163</v>
      </c>
      <c r="V1497" s="27" t="s">
        <v>5</v>
      </c>
      <c r="W1497" s="27" t="s">
        <v>9</v>
      </c>
      <c r="X1497" s="27" t="str">
        <f t="shared" si="697"/>
        <v>No</v>
      </c>
    </row>
    <row r="1498" spans="1:38" x14ac:dyDescent="0.2">
      <c r="A1498" s="27" t="s">
        <v>63</v>
      </c>
      <c r="B1498" s="27" t="s">
        <v>18</v>
      </c>
      <c r="C1498" s="27">
        <v>35.1</v>
      </c>
      <c r="D1498" s="27" t="s">
        <v>4</v>
      </c>
      <c r="F1498" s="27" t="str">
        <f t="shared" si="694"/>
        <v>Yes</v>
      </c>
      <c r="G1498" s="27" t="s">
        <v>5</v>
      </c>
      <c r="H1498" s="27" t="s">
        <v>46</v>
      </c>
      <c r="J1498" s="27" t="s">
        <v>19</v>
      </c>
      <c r="K1498" s="27">
        <v>89</v>
      </c>
      <c r="L1498" s="27" t="s">
        <v>12</v>
      </c>
      <c r="M1498" s="27" t="s">
        <v>444</v>
      </c>
      <c r="N1498" s="27" t="str">
        <f>IF(K1498="N/A","No", IF(K1498&gt;5000,"Yes","No"))</f>
        <v>No</v>
      </c>
      <c r="O1498" s="27" t="str">
        <f>IF(K1498="Not","No",IF(K1498="n/a","N/A",IF(K1498&gt;$Y$2,"Yes","No")))</f>
        <v>No</v>
      </c>
      <c r="Q1498" s="27" t="s">
        <v>118</v>
      </c>
      <c r="R1498" s="27" t="str">
        <f>IF(COUNTIF(R1495:R1497,"Yes"),"Yes","No")</f>
        <v>Yes</v>
      </c>
      <c r="S1498" s="27" t="str">
        <f>IF(COUNTIF(S1495:S1497,"Yes"),"Yes","No")</f>
        <v>Yes</v>
      </c>
      <c r="U1498" s="27" t="s">
        <v>164</v>
      </c>
      <c r="V1498" s="27" t="s">
        <v>5</v>
      </c>
      <c r="W1498" s="27" t="s">
        <v>5</v>
      </c>
      <c r="X1498" s="27" t="str">
        <f t="shared" si="697"/>
        <v>Yes</v>
      </c>
    </row>
    <row r="1499" spans="1:38" x14ac:dyDescent="0.2">
      <c r="A1499" s="27" t="s">
        <v>63</v>
      </c>
      <c r="B1499" s="27" t="s">
        <v>18</v>
      </c>
      <c r="C1499" s="27">
        <v>36.1</v>
      </c>
      <c r="D1499" s="27" t="s">
        <v>4</v>
      </c>
      <c r="F1499" s="27" t="str">
        <f t="shared" si="694"/>
        <v>Yes</v>
      </c>
      <c r="G1499" s="27" t="s">
        <v>5</v>
      </c>
      <c r="H1499" s="27" t="s">
        <v>46</v>
      </c>
      <c r="J1499" s="27" t="s">
        <v>22</v>
      </c>
      <c r="K1499" s="27">
        <v>607900</v>
      </c>
      <c r="L1499" s="27" t="s">
        <v>12</v>
      </c>
      <c r="M1499" s="27" t="s">
        <v>402</v>
      </c>
      <c r="N1499" s="27" t="str">
        <f>IF(K1499="N/A","No", IF(K1499&gt;5000,"Yes","No"))</f>
        <v>Yes</v>
      </c>
      <c r="O1499" s="27" t="str">
        <f>IF(K1499="Not","No",IF(K1499="n/a","N/A",IF(K1499&gt;$Y$2,"Yes","No")))</f>
        <v>Yes</v>
      </c>
      <c r="U1499" s="27" t="s">
        <v>162</v>
      </c>
      <c r="V1499" s="27" t="str">
        <f>R1496</f>
        <v>Yes</v>
      </c>
      <c r="W1499" s="27" t="str">
        <f>S1496</f>
        <v>Yes</v>
      </c>
      <c r="X1499" s="27" t="str">
        <f t="shared" si="697"/>
        <v>Yes</v>
      </c>
    </row>
    <row r="1500" spans="1:38" x14ac:dyDescent="0.2">
      <c r="A1500" s="27" t="s">
        <v>63</v>
      </c>
      <c r="B1500" s="27" t="s">
        <v>18</v>
      </c>
      <c r="C1500" s="27">
        <v>37.299999999999997</v>
      </c>
      <c r="D1500" s="27" t="s">
        <v>4</v>
      </c>
      <c r="F1500" s="27" t="str">
        <f t="shared" si="694"/>
        <v>Yes</v>
      </c>
      <c r="G1500" s="27" t="s">
        <v>5</v>
      </c>
      <c r="H1500" s="27" t="s">
        <v>46</v>
      </c>
      <c r="J1500" s="27" t="s">
        <v>25</v>
      </c>
      <c r="K1500" s="27">
        <v>62</v>
      </c>
      <c r="L1500" s="27" t="s">
        <v>12</v>
      </c>
      <c r="M1500" s="27" t="s">
        <v>59</v>
      </c>
      <c r="N1500" s="27" t="str">
        <f>IF(K1500="N/A","No", IF(K1500&gt;=20,"Yes","No"))</f>
        <v>Yes</v>
      </c>
      <c r="O1500" s="27" t="str">
        <f>IF(K1500="Not","No",IF(K1500="n/a","N/A",IF(K1500&gt;=$Y$5,"Yes","No")))</f>
        <v>No</v>
      </c>
      <c r="U1500" s="27" t="s">
        <v>101</v>
      </c>
      <c r="V1500" s="27" t="s">
        <v>5</v>
      </c>
      <c r="W1500" s="27" t="s">
        <v>5</v>
      </c>
      <c r="X1500" s="27" t="str">
        <f>IF(V1500="N/A","N/A",IF(W1500="N/A", "N/A", IF(V1500=W1500, "Yes","No")))</f>
        <v>Yes</v>
      </c>
    </row>
    <row r="1501" spans="1:38" x14ac:dyDescent="0.2">
      <c r="A1501" s="27" t="s">
        <v>63</v>
      </c>
      <c r="B1501" s="27" t="s">
        <v>24</v>
      </c>
      <c r="C1501" s="27">
        <v>2.6</v>
      </c>
      <c r="D1501" s="27" t="s">
        <v>4</v>
      </c>
      <c r="F1501" s="27" t="str">
        <f t="shared" si="694"/>
        <v>Yes</v>
      </c>
      <c r="G1501" s="27" t="s">
        <v>5</v>
      </c>
      <c r="H1501" s="27" t="s">
        <v>46</v>
      </c>
      <c r="J1501" s="27" t="s">
        <v>29</v>
      </c>
      <c r="K1501" s="27">
        <v>47</v>
      </c>
      <c r="L1501" s="27" t="s">
        <v>12</v>
      </c>
      <c r="M1501" s="27" t="s">
        <v>72</v>
      </c>
      <c r="N1501" s="27" t="str">
        <f>IF(K1501="N/A","No", IF(K1501&gt;20,"Yes","No"))</f>
        <v>Yes</v>
      </c>
      <c r="O1501" s="27" t="str">
        <f t="shared" ref="O1501" si="698">IF(K1501="Not","No",IF(K1501="n/a","N/A",IF(K1501&gt;$Y$6,"Yes","No")))</f>
        <v>Yes</v>
      </c>
      <c r="U1501" s="27" t="s">
        <v>104</v>
      </c>
      <c r="V1501" s="27" t="s">
        <v>9</v>
      </c>
      <c r="W1501" s="27" t="s">
        <v>9</v>
      </c>
      <c r="X1501" s="27" t="str">
        <f>IF(V1501="N/A","N/A",IF(W1501="N/A", "N/A", IF(V1501=W1501, "Yes","No")))</f>
        <v>Yes</v>
      </c>
    </row>
    <row r="1502" spans="1:38" x14ac:dyDescent="0.2">
      <c r="A1502" s="27" t="s">
        <v>63</v>
      </c>
      <c r="B1502" s="27" t="s">
        <v>24</v>
      </c>
      <c r="C1502" s="27">
        <v>25.9</v>
      </c>
      <c r="D1502" s="27" t="s">
        <v>4</v>
      </c>
      <c r="F1502" s="27" t="str">
        <f t="shared" si="694"/>
        <v>Yes</v>
      </c>
      <c r="G1502" s="27" t="s">
        <v>5</v>
      </c>
      <c r="H1502" s="27" t="s">
        <v>46</v>
      </c>
      <c r="J1502" s="27" t="s">
        <v>34</v>
      </c>
      <c r="K1502" s="27">
        <v>1734</v>
      </c>
      <c r="L1502" s="27" t="s">
        <v>12</v>
      </c>
      <c r="M1502" s="27" t="s">
        <v>74</v>
      </c>
      <c r="N1502" s="27" t="str">
        <f>IF(K1502="N/A","No", IF(K1502&gt;230,"Yes","No"))</f>
        <v>Yes</v>
      </c>
      <c r="O1502" s="27" t="str">
        <f>IF(K1502="Not","No",IF(K1502="n/a","N/A",IF(K1502&gt;$Y$6,"Yes","No")))</f>
        <v>Yes</v>
      </c>
      <c r="U1502" s="27" t="s">
        <v>106</v>
      </c>
      <c r="V1502" s="27" t="str">
        <f>R1497</f>
        <v>Yes</v>
      </c>
      <c r="W1502" s="27" t="str">
        <f>S1497</f>
        <v>Yes</v>
      </c>
      <c r="X1502" s="27" t="str">
        <f>IF(V1502="N/A","N/A",IF(W1502="N/A", "N/A", IF(V1502=W1502, "Yes","No")))</f>
        <v>Yes</v>
      </c>
    </row>
    <row r="1503" spans="1:38" x14ac:dyDescent="0.2">
      <c r="A1503" s="27" t="s">
        <v>63</v>
      </c>
      <c r="B1503" s="27" t="s">
        <v>24</v>
      </c>
      <c r="C1503" s="27">
        <v>29.1</v>
      </c>
      <c r="D1503" s="27" t="s">
        <v>4</v>
      </c>
      <c r="F1503" s="27" t="str">
        <f t="shared" si="694"/>
        <v>Yes</v>
      </c>
      <c r="G1503" s="27" t="s">
        <v>5</v>
      </c>
      <c r="H1503" s="27" t="s">
        <v>46</v>
      </c>
      <c r="U1503" s="27" t="s">
        <v>121</v>
      </c>
      <c r="V1503" s="27" t="str">
        <f>R1498</f>
        <v>Yes</v>
      </c>
      <c r="W1503" s="27" t="str">
        <f>S1498</f>
        <v>Yes</v>
      </c>
      <c r="X1503" s="27" t="str">
        <f>IF(V1503="N/A","N/A",IF(W1503="N/A", "N/A", IF(V1503=W1503, "Yes","No")))</f>
        <v>Yes</v>
      </c>
    </row>
    <row r="1504" spans="1:38" x14ac:dyDescent="0.2">
      <c r="A1504" s="27" t="s">
        <v>63</v>
      </c>
      <c r="B1504" s="27" t="s">
        <v>24</v>
      </c>
      <c r="C1504" s="27">
        <v>1.5</v>
      </c>
      <c r="D1504" s="27" t="s">
        <v>4</v>
      </c>
      <c r="F1504" s="27" t="str">
        <f t="shared" si="694"/>
        <v>Yes</v>
      </c>
      <c r="G1504" s="27" t="s">
        <v>5</v>
      </c>
      <c r="H1504" s="27" t="s">
        <v>46</v>
      </c>
    </row>
    <row r="1505" spans="1:8" x14ac:dyDescent="0.2">
      <c r="A1505" s="27" t="s">
        <v>63</v>
      </c>
      <c r="B1505" s="27" t="s">
        <v>24</v>
      </c>
      <c r="C1505" s="27">
        <v>1.4</v>
      </c>
      <c r="D1505" s="27" t="s">
        <v>4</v>
      </c>
      <c r="F1505" s="27" t="str">
        <f t="shared" si="694"/>
        <v>Yes</v>
      </c>
      <c r="G1505" s="27" t="s">
        <v>5</v>
      </c>
      <c r="H1505" s="27" t="s">
        <v>46</v>
      </c>
    </row>
    <row r="1506" spans="1:8" x14ac:dyDescent="0.2">
      <c r="A1506" s="27" t="s">
        <v>63</v>
      </c>
      <c r="B1506" s="27" t="s">
        <v>24</v>
      </c>
      <c r="C1506" s="27">
        <v>10.8</v>
      </c>
      <c r="D1506" s="27" t="s">
        <v>4</v>
      </c>
      <c r="F1506" s="27" t="str">
        <f t="shared" si="694"/>
        <v>Yes</v>
      </c>
      <c r="G1506" s="27" t="s">
        <v>5</v>
      </c>
      <c r="H1506" s="27" t="s">
        <v>46</v>
      </c>
    </row>
    <row r="1507" spans="1:8" x14ac:dyDescent="0.2">
      <c r="A1507" s="27" t="s">
        <v>63</v>
      </c>
      <c r="B1507" s="27" t="s">
        <v>24</v>
      </c>
      <c r="C1507" s="27">
        <v>28.1</v>
      </c>
      <c r="D1507" s="27" t="s">
        <v>4</v>
      </c>
      <c r="F1507" s="27" t="str">
        <f t="shared" si="694"/>
        <v>Yes</v>
      </c>
      <c r="G1507" s="27" t="s">
        <v>5</v>
      </c>
      <c r="H1507" s="27" t="s">
        <v>46</v>
      </c>
    </row>
    <row r="1508" spans="1:8" x14ac:dyDescent="0.2">
      <c r="A1508" s="27" t="s">
        <v>63</v>
      </c>
      <c r="B1508" s="27" t="s">
        <v>24</v>
      </c>
      <c r="C1508" s="27">
        <v>35.6</v>
      </c>
      <c r="D1508" s="27" t="s">
        <v>4</v>
      </c>
      <c r="F1508" s="27" t="str">
        <f t="shared" si="694"/>
        <v>Yes</v>
      </c>
      <c r="G1508" s="27" t="s">
        <v>5</v>
      </c>
      <c r="H1508" s="27" t="s">
        <v>46</v>
      </c>
    </row>
    <row r="1509" spans="1:8" x14ac:dyDescent="0.2">
      <c r="A1509" s="27" t="s">
        <v>154</v>
      </c>
      <c r="B1509" s="27" t="s">
        <v>3</v>
      </c>
      <c r="C1509" s="27">
        <v>31.8</v>
      </c>
      <c r="D1509" s="27" t="s">
        <v>4</v>
      </c>
      <c r="F1509" s="27" t="str">
        <f t="shared" si="694"/>
        <v>Yes</v>
      </c>
      <c r="G1509" s="27" t="s">
        <v>5</v>
      </c>
      <c r="H1509" s="27" t="s">
        <v>46</v>
      </c>
    </row>
    <row r="1510" spans="1:8" x14ac:dyDescent="0.2">
      <c r="A1510" s="27" t="s">
        <v>75</v>
      </c>
      <c r="B1510" s="27" t="s">
        <v>399</v>
      </c>
      <c r="C1510" s="27">
        <v>220</v>
      </c>
      <c r="D1510" s="27" t="s">
        <v>12</v>
      </c>
      <c r="F1510" s="27" t="str">
        <f t="shared" ref="F1510" si="699">IF(C1510&gt;=$W$3,"Yes","No")</f>
        <v>No</v>
      </c>
      <c r="G1510" s="27" t="s">
        <v>9</v>
      </c>
    </row>
    <row r="1511" spans="1:8" x14ac:dyDescent="0.2">
      <c r="A1511" s="27" t="s">
        <v>113</v>
      </c>
      <c r="B1511" s="27" t="s">
        <v>40</v>
      </c>
      <c r="C1511" s="27">
        <v>4.0999999999999996</v>
      </c>
      <c r="D1511" s="27" t="s">
        <v>4</v>
      </c>
      <c r="F1511" s="27" t="str">
        <f t="shared" si="694"/>
        <v>Yes</v>
      </c>
      <c r="G1511" s="27" t="s">
        <v>5</v>
      </c>
      <c r="H1511" s="27" t="s">
        <v>43</v>
      </c>
    </row>
    <row r="1512" spans="1:8" x14ac:dyDescent="0.2">
      <c r="A1512" s="27" t="s">
        <v>440</v>
      </c>
      <c r="B1512" s="27" t="s">
        <v>40</v>
      </c>
      <c r="C1512" s="27">
        <v>3.8</v>
      </c>
      <c r="D1512" s="27" t="s">
        <v>4</v>
      </c>
      <c r="F1512" s="27" t="str">
        <f t="shared" si="694"/>
        <v>Yes</v>
      </c>
      <c r="G1512" s="27" t="s">
        <v>5</v>
      </c>
      <c r="H1512" s="27" t="s">
        <v>43</v>
      </c>
    </row>
    <row r="1513" spans="1:8" x14ac:dyDescent="0.2">
      <c r="A1513" s="27" t="s">
        <v>441</v>
      </c>
      <c r="B1513" s="27" t="s">
        <v>24</v>
      </c>
      <c r="C1513" s="27">
        <v>2</v>
      </c>
      <c r="D1513" s="27" t="s">
        <v>4</v>
      </c>
      <c r="F1513" s="27" t="str">
        <f t="shared" si="694"/>
        <v>Yes</v>
      </c>
      <c r="G1513" s="27" t="s">
        <v>5</v>
      </c>
      <c r="H1513" s="27" t="s">
        <v>43</v>
      </c>
    </row>
    <row r="1514" spans="1:8" x14ac:dyDescent="0.2">
      <c r="A1514" s="27" t="s">
        <v>440</v>
      </c>
      <c r="B1514" s="27" t="s">
        <v>24</v>
      </c>
      <c r="C1514" s="27">
        <v>5.2</v>
      </c>
      <c r="D1514" s="27" t="s">
        <v>4</v>
      </c>
      <c r="F1514" s="27" t="str">
        <f t="shared" si="694"/>
        <v>Yes</v>
      </c>
      <c r="G1514" s="27" t="s">
        <v>5</v>
      </c>
      <c r="H1514" s="27" t="s">
        <v>43</v>
      </c>
    </row>
    <row r="1515" spans="1:8" x14ac:dyDescent="0.2">
      <c r="A1515" s="27" t="s">
        <v>440</v>
      </c>
      <c r="B1515" s="27" t="s">
        <v>24</v>
      </c>
      <c r="C1515" s="27">
        <v>1.5</v>
      </c>
      <c r="D1515" s="27" t="s">
        <v>4</v>
      </c>
      <c r="F1515" s="27" t="str">
        <f t="shared" si="694"/>
        <v>Yes</v>
      </c>
      <c r="G1515" s="27" t="s">
        <v>5</v>
      </c>
      <c r="H1515" s="27" t="s">
        <v>43</v>
      </c>
    </row>
    <row r="1516" spans="1:8" x14ac:dyDescent="0.2">
      <c r="A1516" s="27" t="s">
        <v>109</v>
      </c>
      <c r="B1516" s="27" t="s">
        <v>174</v>
      </c>
      <c r="C1516" s="27">
        <v>3.6</v>
      </c>
      <c r="D1516" s="27" t="s">
        <v>4</v>
      </c>
      <c r="F1516" s="27" t="str">
        <f t="shared" si="694"/>
        <v>Yes</v>
      </c>
      <c r="G1516" s="27" t="s">
        <v>5</v>
      </c>
      <c r="H1516" s="27" t="s">
        <v>43</v>
      </c>
    </row>
    <row r="1517" spans="1:8" x14ac:dyDescent="0.2">
      <c r="A1517" s="27" t="s">
        <v>109</v>
      </c>
      <c r="B1517" s="27" t="s">
        <v>24</v>
      </c>
      <c r="C1517" s="27">
        <v>6.3</v>
      </c>
      <c r="D1517" s="27" t="s">
        <v>4</v>
      </c>
      <c r="F1517" s="27" t="str">
        <f t="shared" si="694"/>
        <v>Yes</v>
      </c>
      <c r="G1517" s="27" t="s">
        <v>5</v>
      </c>
      <c r="H1517" s="27" t="s">
        <v>43</v>
      </c>
    </row>
    <row r="1518" spans="1:8" x14ac:dyDescent="0.2">
      <c r="A1518" s="27" t="s">
        <v>109</v>
      </c>
      <c r="B1518" s="27" t="s">
        <v>24</v>
      </c>
      <c r="C1518" s="27">
        <v>2.2999999999999998</v>
      </c>
      <c r="D1518" s="27" t="s">
        <v>4</v>
      </c>
      <c r="F1518" s="27" t="str">
        <f t="shared" si="694"/>
        <v>Yes</v>
      </c>
      <c r="G1518" s="27" t="s">
        <v>5</v>
      </c>
      <c r="H1518" s="27" t="s">
        <v>43</v>
      </c>
    </row>
    <row r="1519" spans="1:8" x14ac:dyDescent="0.2">
      <c r="A1519" s="27" t="s">
        <v>109</v>
      </c>
      <c r="B1519" s="27" t="s">
        <v>24</v>
      </c>
      <c r="C1519" s="27">
        <v>2.2999999999999998</v>
      </c>
      <c r="D1519" s="27" t="s">
        <v>4</v>
      </c>
      <c r="F1519" s="27" t="str">
        <f t="shared" si="694"/>
        <v>Yes</v>
      </c>
      <c r="G1519" s="27" t="s">
        <v>5</v>
      </c>
      <c r="H1519" s="27" t="s">
        <v>43</v>
      </c>
    </row>
    <row r="1520" spans="1:8" x14ac:dyDescent="0.2">
      <c r="A1520" s="27" t="s">
        <v>293</v>
      </c>
      <c r="B1520" s="27" t="s">
        <v>174</v>
      </c>
      <c r="C1520" s="27">
        <v>4.0999999999999996</v>
      </c>
      <c r="D1520" s="27" t="s">
        <v>4</v>
      </c>
      <c r="F1520" s="27" t="str">
        <f t="shared" si="694"/>
        <v>Yes</v>
      </c>
      <c r="G1520" s="27" t="s">
        <v>5</v>
      </c>
      <c r="H1520" s="27" t="s">
        <v>43</v>
      </c>
    </row>
    <row r="1521" spans="1:8" x14ac:dyDescent="0.2">
      <c r="A1521" s="27" t="s">
        <v>293</v>
      </c>
      <c r="B1521" s="27" t="s">
        <v>10</v>
      </c>
      <c r="C1521" s="27">
        <v>3.6</v>
      </c>
      <c r="D1521" s="27" t="s">
        <v>4</v>
      </c>
      <c r="F1521" s="27" t="str">
        <f t="shared" si="694"/>
        <v>Yes</v>
      </c>
      <c r="G1521" s="27" t="s">
        <v>5</v>
      </c>
      <c r="H1521" s="27" t="s">
        <v>43</v>
      </c>
    </row>
    <row r="1522" spans="1:8" x14ac:dyDescent="0.2">
      <c r="A1522" s="27" t="s">
        <v>293</v>
      </c>
      <c r="B1522" s="27" t="s">
        <v>77</v>
      </c>
      <c r="C1522" s="27">
        <v>3.1</v>
      </c>
      <c r="D1522" s="27" t="s">
        <v>4</v>
      </c>
      <c r="F1522" s="27" t="str">
        <f t="shared" si="694"/>
        <v>Yes</v>
      </c>
      <c r="G1522" s="27" t="s">
        <v>5</v>
      </c>
      <c r="H1522" s="27" t="s">
        <v>43</v>
      </c>
    </row>
    <row r="1523" spans="1:8" x14ac:dyDescent="0.2">
      <c r="A1523" s="27" t="s">
        <v>293</v>
      </c>
      <c r="B1523" s="27" t="s">
        <v>40</v>
      </c>
      <c r="C1523" s="27">
        <v>3</v>
      </c>
      <c r="D1523" s="27" t="s">
        <v>4</v>
      </c>
      <c r="F1523" s="27" t="str">
        <f t="shared" si="694"/>
        <v>Yes</v>
      </c>
      <c r="G1523" s="27" t="s">
        <v>5</v>
      </c>
      <c r="H1523" s="27" t="s">
        <v>43</v>
      </c>
    </row>
    <row r="1524" spans="1:8" x14ac:dyDescent="0.2">
      <c r="A1524" s="27" t="s">
        <v>293</v>
      </c>
      <c r="B1524" s="27" t="s">
        <v>40</v>
      </c>
      <c r="C1524" s="27">
        <v>3.8</v>
      </c>
      <c r="D1524" s="27" t="s">
        <v>4</v>
      </c>
      <c r="F1524" s="27" t="str">
        <f t="shared" si="694"/>
        <v>Yes</v>
      </c>
      <c r="G1524" s="27" t="s">
        <v>5</v>
      </c>
      <c r="H1524" s="27" t="s">
        <v>43</v>
      </c>
    </row>
    <row r="1525" spans="1:8" x14ac:dyDescent="0.2">
      <c r="A1525" s="27" t="s">
        <v>293</v>
      </c>
      <c r="B1525" s="27" t="s">
        <v>40</v>
      </c>
      <c r="C1525" s="27">
        <v>4.8</v>
      </c>
      <c r="D1525" s="27" t="s">
        <v>4</v>
      </c>
      <c r="F1525" s="27" t="str">
        <f t="shared" si="694"/>
        <v>Yes</v>
      </c>
      <c r="G1525" s="27" t="s">
        <v>5</v>
      </c>
      <c r="H1525" s="27" t="s">
        <v>43</v>
      </c>
    </row>
    <row r="1526" spans="1:8" x14ac:dyDescent="0.2">
      <c r="A1526" s="27" t="s">
        <v>293</v>
      </c>
      <c r="B1526" s="27" t="s">
        <v>24</v>
      </c>
      <c r="C1526" s="27">
        <v>2.7</v>
      </c>
      <c r="D1526" s="27" t="s">
        <v>4</v>
      </c>
      <c r="F1526" s="27" t="str">
        <f t="shared" si="694"/>
        <v>Yes</v>
      </c>
      <c r="G1526" s="27" t="s">
        <v>5</v>
      </c>
      <c r="H1526" s="27" t="s">
        <v>43</v>
      </c>
    </row>
    <row r="1527" spans="1:8" x14ac:dyDescent="0.2">
      <c r="A1527" s="27" t="s">
        <v>293</v>
      </c>
      <c r="B1527" s="27" t="s">
        <v>24</v>
      </c>
      <c r="C1527" s="27">
        <v>1.2</v>
      </c>
      <c r="D1527" s="27" t="s">
        <v>4</v>
      </c>
      <c r="F1527" s="27" t="str">
        <f t="shared" si="694"/>
        <v>Yes</v>
      </c>
      <c r="G1527" s="27" t="s">
        <v>5</v>
      </c>
      <c r="H1527" s="27" t="s">
        <v>43</v>
      </c>
    </row>
    <row r="1528" spans="1:8" x14ac:dyDescent="0.2">
      <c r="A1528" s="27" t="s">
        <v>293</v>
      </c>
      <c r="B1528" s="27" t="s">
        <v>24</v>
      </c>
      <c r="C1528" s="27">
        <v>2.2999999999999998</v>
      </c>
      <c r="D1528" s="27" t="s">
        <v>4</v>
      </c>
      <c r="F1528" s="27" t="str">
        <f t="shared" si="694"/>
        <v>Yes</v>
      </c>
      <c r="G1528" s="27" t="s">
        <v>5</v>
      </c>
      <c r="H1528" s="27" t="s">
        <v>43</v>
      </c>
    </row>
    <row r="1529" spans="1:8" x14ac:dyDescent="0.2">
      <c r="A1529" s="27" t="s">
        <v>307</v>
      </c>
      <c r="B1529" s="27" t="s">
        <v>174</v>
      </c>
      <c r="C1529" s="27">
        <v>3.2</v>
      </c>
      <c r="D1529" s="27" t="s">
        <v>4</v>
      </c>
      <c r="F1529" s="27" t="str">
        <f t="shared" si="694"/>
        <v>Yes</v>
      </c>
      <c r="G1529" s="27" t="s">
        <v>5</v>
      </c>
      <c r="H1529" s="27" t="s">
        <v>43</v>
      </c>
    </row>
    <row r="1530" spans="1:8" x14ac:dyDescent="0.2">
      <c r="A1530" s="27" t="s">
        <v>307</v>
      </c>
      <c r="B1530" s="27" t="s">
        <v>10</v>
      </c>
      <c r="C1530" s="27">
        <v>2.5</v>
      </c>
      <c r="D1530" s="27" t="s">
        <v>4</v>
      </c>
      <c r="F1530" s="27" t="str">
        <f t="shared" si="694"/>
        <v>Yes</v>
      </c>
      <c r="G1530" s="27" t="s">
        <v>5</v>
      </c>
      <c r="H1530" s="27" t="s">
        <v>43</v>
      </c>
    </row>
    <row r="1531" spans="1:8" x14ac:dyDescent="0.2">
      <c r="A1531" s="27" t="s">
        <v>307</v>
      </c>
      <c r="B1531" s="27" t="s">
        <v>10</v>
      </c>
      <c r="C1531" s="27">
        <v>2.8</v>
      </c>
      <c r="D1531" s="27" t="s">
        <v>4</v>
      </c>
      <c r="F1531" s="27" t="str">
        <f t="shared" si="694"/>
        <v>Yes</v>
      </c>
      <c r="G1531" s="27" t="s">
        <v>5</v>
      </c>
      <c r="H1531" s="27" t="s">
        <v>43</v>
      </c>
    </row>
    <row r="1532" spans="1:8" x14ac:dyDescent="0.2">
      <c r="A1532" s="27" t="s">
        <v>307</v>
      </c>
      <c r="B1532" s="27" t="s">
        <v>77</v>
      </c>
      <c r="C1532" s="27">
        <v>2.4</v>
      </c>
      <c r="D1532" s="27" t="s">
        <v>4</v>
      </c>
      <c r="F1532" s="27" t="str">
        <f t="shared" si="694"/>
        <v>Yes</v>
      </c>
      <c r="G1532" s="27" t="s">
        <v>5</v>
      </c>
      <c r="H1532" s="27" t="s">
        <v>43</v>
      </c>
    </row>
    <row r="1533" spans="1:8" x14ac:dyDescent="0.2">
      <c r="A1533" s="27" t="s">
        <v>307</v>
      </c>
      <c r="B1533" s="27" t="s">
        <v>40</v>
      </c>
      <c r="C1533" s="27">
        <v>5.6</v>
      </c>
      <c r="D1533" s="27" t="s">
        <v>4</v>
      </c>
      <c r="F1533" s="27" t="str">
        <f t="shared" si="694"/>
        <v>Yes</v>
      </c>
      <c r="G1533" s="27" t="s">
        <v>5</v>
      </c>
      <c r="H1533" s="27" t="s">
        <v>43</v>
      </c>
    </row>
    <row r="1534" spans="1:8" x14ac:dyDescent="0.2">
      <c r="A1534" s="27" t="s">
        <v>307</v>
      </c>
      <c r="B1534" s="27" t="s">
        <v>40</v>
      </c>
      <c r="C1534" s="27">
        <v>5</v>
      </c>
      <c r="D1534" s="27" t="s">
        <v>4</v>
      </c>
      <c r="F1534" s="27" t="str">
        <f t="shared" si="694"/>
        <v>Yes</v>
      </c>
      <c r="G1534" s="27" t="s">
        <v>5</v>
      </c>
      <c r="H1534" s="27" t="s">
        <v>43</v>
      </c>
    </row>
    <row r="1535" spans="1:8" x14ac:dyDescent="0.2">
      <c r="A1535" s="27" t="s">
        <v>307</v>
      </c>
      <c r="B1535" s="27" t="s">
        <v>40</v>
      </c>
      <c r="C1535" s="27">
        <v>3.9</v>
      </c>
      <c r="D1535" s="27" t="s">
        <v>4</v>
      </c>
      <c r="F1535" s="27" t="str">
        <f t="shared" si="694"/>
        <v>Yes</v>
      </c>
      <c r="G1535" s="27" t="s">
        <v>5</v>
      </c>
      <c r="H1535" s="27" t="s">
        <v>43</v>
      </c>
    </row>
    <row r="1536" spans="1:8" x14ac:dyDescent="0.2">
      <c r="A1536" s="27" t="s">
        <v>307</v>
      </c>
      <c r="B1536" s="27" t="s">
        <v>24</v>
      </c>
      <c r="C1536" s="27">
        <v>2.1</v>
      </c>
      <c r="D1536" s="27" t="s">
        <v>4</v>
      </c>
      <c r="F1536" s="27" t="str">
        <f t="shared" si="694"/>
        <v>Yes</v>
      </c>
      <c r="G1536" s="27" t="s">
        <v>5</v>
      </c>
      <c r="H1536" s="27" t="s">
        <v>43</v>
      </c>
    </row>
    <row r="1537" spans="1:8" x14ac:dyDescent="0.2">
      <c r="A1537" s="27" t="s">
        <v>307</v>
      </c>
      <c r="B1537" s="27" t="s">
        <v>24</v>
      </c>
      <c r="C1537" s="27">
        <v>2</v>
      </c>
      <c r="D1537" s="27" t="s">
        <v>4</v>
      </c>
      <c r="F1537" s="27" t="str">
        <f t="shared" si="694"/>
        <v>Yes</v>
      </c>
      <c r="G1537" s="27" t="s">
        <v>5</v>
      </c>
      <c r="H1537" s="27" t="s">
        <v>43</v>
      </c>
    </row>
    <row r="1538" spans="1:8" x14ac:dyDescent="0.2">
      <c r="A1538" s="27" t="s">
        <v>307</v>
      </c>
      <c r="B1538" s="27" t="s">
        <v>24</v>
      </c>
      <c r="C1538" s="27">
        <v>2.1</v>
      </c>
      <c r="D1538" s="27" t="s">
        <v>4</v>
      </c>
      <c r="F1538" s="27" t="str">
        <f t="shared" si="694"/>
        <v>Yes</v>
      </c>
      <c r="G1538" s="27" t="s">
        <v>5</v>
      </c>
      <c r="H1538" s="27" t="s">
        <v>43</v>
      </c>
    </row>
    <row r="1539" spans="1:8" x14ac:dyDescent="0.2">
      <c r="A1539" s="27" t="s">
        <v>442</v>
      </c>
      <c r="B1539" s="27" t="s">
        <v>174</v>
      </c>
      <c r="C1539" s="27">
        <v>3.4</v>
      </c>
      <c r="D1539" s="27" t="s">
        <v>4</v>
      </c>
      <c r="F1539" s="27" t="str">
        <f t="shared" si="694"/>
        <v>Yes</v>
      </c>
      <c r="G1539" s="27" t="s">
        <v>5</v>
      </c>
      <c r="H1539" s="27" t="s">
        <v>43</v>
      </c>
    </row>
    <row r="1540" spans="1:8" x14ac:dyDescent="0.2">
      <c r="A1540" s="27" t="s">
        <v>442</v>
      </c>
      <c r="B1540" s="27" t="s">
        <v>77</v>
      </c>
      <c r="C1540" s="27">
        <v>1.8</v>
      </c>
      <c r="D1540" s="27" t="s">
        <v>4</v>
      </c>
      <c r="F1540" s="27" t="str">
        <f t="shared" si="694"/>
        <v>Yes</v>
      </c>
      <c r="G1540" s="27" t="s">
        <v>5</v>
      </c>
      <c r="H1540" s="27" t="s">
        <v>43</v>
      </c>
    </row>
    <row r="1541" spans="1:8" x14ac:dyDescent="0.2">
      <c r="A1541" s="27" t="s">
        <v>442</v>
      </c>
      <c r="B1541" s="27" t="s">
        <v>40</v>
      </c>
      <c r="C1541" s="27">
        <v>2.6</v>
      </c>
      <c r="D1541" s="27" t="s">
        <v>4</v>
      </c>
      <c r="F1541" s="27" t="str">
        <f t="shared" si="694"/>
        <v>Yes</v>
      </c>
      <c r="G1541" s="27" t="s">
        <v>5</v>
      </c>
      <c r="H1541" s="27" t="s">
        <v>43</v>
      </c>
    </row>
    <row r="1542" spans="1:8" x14ac:dyDescent="0.2">
      <c r="A1542" s="27" t="s">
        <v>442</v>
      </c>
      <c r="B1542" s="27" t="s">
        <v>40</v>
      </c>
      <c r="C1542" s="27">
        <v>4.4000000000000004</v>
      </c>
      <c r="D1542" s="27" t="s">
        <v>4</v>
      </c>
      <c r="F1542" s="27" t="str">
        <f t="shared" si="694"/>
        <v>Yes</v>
      </c>
      <c r="G1542" s="27" t="s">
        <v>5</v>
      </c>
      <c r="H1542" s="27" t="s">
        <v>43</v>
      </c>
    </row>
    <row r="1543" spans="1:8" x14ac:dyDescent="0.2">
      <c r="A1543" s="27" t="s">
        <v>442</v>
      </c>
      <c r="B1543" s="27" t="s">
        <v>40</v>
      </c>
      <c r="C1543" s="27">
        <v>4.4000000000000004</v>
      </c>
      <c r="D1543" s="27" t="s">
        <v>4</v>
      </c>
      <c r="F1543" s="27" t="str">
        <f t="shared" si="694"/>
        <v>Yes</v>
      </c>
      <c r="G1543" s="27" t="s">
        <v>5</v>
      </c>
      <c r="H1543" s="27" t="s">
        <v>43</v>
      </c>
    </row>
    <row r="1544" spans="1:8" x14ac:dyDescent="0.2">
      <c r="A1544" s="27" t="s">
        <v>442</v>
      </c>
      <c r="B1544" s="27" t="s">
        <v>24</v>
      </c>
      <c r="C1544" s="27">
        <v>1</v>
      </c>
      <c r="D1544" s="27" t="s">
        <v>4</v>
      </c>
      <c r="F1544" s="27" t="str">
        <f t="shared" si="694"/>
        <v>Yes</v>
      </c>
      <c r="G1544" s="27" t="s">
        <v>5</v>
      </c>
      <c r="H1544" s="27" t="s">
        <v>43</v>
      </c>
    </row>
    <row r="1545" spans="1:8" x14ac:dyDescent="0.2">
      <c r="A1545" s="27" t="s">
        <v>442</v>
      </c>
      <c r="B1545" s="27" t="s">
        <v>24</v>
      </c>
      <c r="C1545" s="27">
        <v>2</v>
      </c>
      <c r="D1545" s="27" t="s">
        <v>4</v>
      </c>
      <c r="F1545" s="27" t="str">
        <f t="shared" si="694"/>
        <v>Yes</v>
      </c>
      <c r="G1545" s="27" t="s">
        <v>5</v>
      </c>
      <c r="H1545" s="27" t="s">
        <v>43</v>
      </c>
    </row>
    <row r="1546" spans="1:8" x14ac:dyDescent="0.2">
      <c r="A1546" s="27" t="s">
        <v>442</v>
      </c>
      <c r="B1546" s="27" t="s">
        <v>24</v>
      </c>
      <c r="C1546" s="27">
        <v>2.2000000000000002</v>
      </c>
      <c r="D1546" s="27" t="s">
        <v>4</v>
      </c>
      <c r="F1546" s="27" t="str">
        <f t="shared" si="694"/>
        <v>Yes</v>
      </c>
      <c r="G1546" s="27" t="s">
        <v>5</v>
      </c>
      <c r="H1546" s="27" t="s">
        <v>43</v>
      </c>
    </row>
    <row r="1547" spans="1:8" x14ac:dyDescent="0.2">
      <c r="A1547" s="27" t="s">
        <v>158</v>
      </c>
      <c r="B1547" s="27" t="s">
        <v>40</v>
      </c>
      <c r="C1547" s="27">
        <v>15.6</v>
      </c>
      <c r="D1547" s="27" t="s">
        <v>4</v>
      </c>
      <c r="F1547" s="27" t="str">
        <f t="shared" si="694"/>
        <v>Yes</v>
      </c>
      <c r="G1547" s="27" t="s">
        <v>5</v>
      </c>
      <c r="H1547" s="27" t="s">
        <v>43</v>
      </c>
    </row>
    <row r="1548" spans="1:8" x14ac:dyDescent="0.2">
      <c r="A1548" s="27" t="s">
        <v>64</v>
      </c>
      <c r="B1548" s="27" t="s">
        <v>10</v>
      </c>
      <c r="C1548" s="27">
        <v>10</v>
      </c>
      <c r="D1548" s="27" t="s">
        <v>4</v>
      </c>
      <c r="F1548" s="27" t="str">
        <f t="shared" si="694"/>
        <v>Yes</v>
      </c>
      <c r="G1548" s="27" t="s">
        <v>5</v>
      </c>
      <c r="H1548" s="27" t="s">
        <v>43</v>
      </c>
    </row>
    <row r="1549" spans="1:8" x14ac:dyDescent="0.2">
      <c r="A1549" s="27" t="s">
        <v>64</v>
      </c>
      <c r="B1549" s="27" t="s">
        <v>77</v>
      </c>
      <c r="C1549" s="27">
        <v>5.8</v>
      </c>
      <c r="D1549" s="27" t="s">
        <v>4</v>
      </c>
      <c r="F1549" s="27" t="str">
        <f t="shared" si="694"/>
        <v>Yes</v>
      </c>
      <c r="G1549" s="27" t="s">
        <v>5</v>
      </c>
      <c r="H1549" s="27" t="s">
        <v>43</v>
      </c>
    </row>
    <row r="1550" spans="1:8" x14ac:dyDescent="0.2">
      <c r="A1550" s="27" t="s">
        <v>64</v>
      </c>
      <c r="B1550" s="27" t="s">
        <v>40</v>
      </c>
      <c r="C1550" s="27">
        <v>3.4</v>
      </c>
      <c r="D1550" s="27" t="s">
        <v>4</v>
      </c>
      <c r="F1550" s="27" t="str">
        <f t="shared" si="694"/>
        <v>Yes</v>
      </c>
      <c r="G1550" s="27" t="s">
        <v>5</v>
      </c>
      <c r="H1550" s="27" t="s">
        <v>43</v>
      </c>
    </row>
    <row r="1551" spans="1:8" x14ac:dyDescent="0.2">
      <c r="A1551" s="27" t="s">
        <v>64</v>
      </c>
      <c r="B1551" s="27" t="s">
        <v>40</v>
      </c>
      <c r="C1551" s="27">
        <v>11.8</v>
      </c>
      <c r="D1551" s="27" t="s">
        <v>4</v>
      </c>
      <c r="F1551" s="27" t="str">
        <f t="shared" si="694"/>
        <v>Yes</v>
      </c>
      <c r="G1551" s="27" t="s">
        <v>5</v>
      </c>
      <c r="H1551" s="27" t="s">
        <v>43</v>
      </c>
    </row>
    <row r="1552" spans="1:8" x14ac:dyDescent="0.2">
      <c r="A1552" s="27" t="s">
        <v>64</v>
      </c>
      <c r="B1552" s="27" t="s">
        <v>40</v>
      </c>
      <c r="C1552" s="27">
        <v>18.7</v>
      </c>
      <c r="D1552" s="27" t="s">
        <v>4</v>
      </c>
      <c r="F1552" s="27" t="str">
        <f t="shared" si="694"/>
        <v>Yes</v>
      </c>
      <c r="G1552" s="27" t="s">
        <v>5</v>
      </c>
      <c r="H1552" s="27" t="s">
        <v>43</v>
      </c>
    </row>
    <row r="1553" spans="1:8" x14ac:dyDescent="0.2">
      <c r="A1553" s="27" t="s">
        <v>64</v>
      </c>
      <c r="B1553" s="27" t="s">
        <v>40</v>
      </c>
      <c r="C1553" s="27">
        <v>4.5999999999999996</v>
      </c>
      <c r="D1553" s="27" t="s">
        <v>4</v>
      </c>
      <c r="F1553" s="27" t="str">
        <f t="shared" si="694"/>
        <v>Yes</v>
      </c>
      <c r="G1553" s="27" t="s">
        <v>5</v>
      </c>
      <c r="H1553" s="27" t="s">
        <v>43</v>
      </c>
    </row>
    <row r="1554" spans="1:8" x14ac:dyDescent="0.2">
      <c r="A1554" s="27" t="s">
        <v>64</v>
      </c>
      <c r="B1554" s="27" t="s">
        <v>40</v>
      </c>
      <c r="C1554" s="27">
        <v>16.7</v>
      </c>
      <c r="D1554" s="27" t="s">
        <v>4</v>
      </c>
      <c r="F1554" s="27" t="str">
        <f t="shared" si="694"/>
        <v>Yes</v>
      </c>
      <c r="G1554" s="27" t="s">
        <v>5</v>
      </c>
      <c r="H1554" s="27" t="s">
        <v>43</v>
      </c>
    </row>
    <row r="1555" spans="1:8" x14ac:dyDescent="0.2">
      <c r="A1555" s="27" t="s">
        <v>64</v>
      </c>
      <c r="B1555" s="27" t="s">
        <v>40</v>
      </c>
      <c r="C1555" s="27">
        <v>19.100000000000001</v>
      </c>
      <c r="D1555" s="27" t="s">
        <v>4</v>
      </c>
      <c r="F1555" s="27" t="str">
        <f t="shared" si="694"/>
        <v>Yes</v>
      </c>
      <c r="G1555" s="27" t="s">
        <v>5</v>
      </c>
      <c r="H1555" s="27" t="s">
        <v>43</v>
      </c>
    </row>
    <row r="1556" spans="1:8" x14ac:dyDescent="0.2">
      <c r="A1556" s="27" t="s">
        <v>64</v>
      </c>
      <c r="B1556" s="27" t="s">
        <v>40</v>
      </c>
      <c r="C1556" s="27">
        <v>38.1</v>
      </c>
      <c r="D1556" s="27" t="s">
        <v>4</v>
      </c>
      <c r="F1556" s="27" t="str">
        <f t="shared" si="694"/>
        <v>Yes</v>
      </c>
      <c r="G1556" s="27" t="s">
        <v>5</v>
      </c>
      <c r="H1556" s="27" t="s">
        <v>43</v>
      </c>
    </row>
    <row r="1557" spans="1:8" x14ac:dyDescent="0.2">
      <c r="A1557" s="27" t="s">
        <v>64</v>
      </c>
      <c r="B1557" s="27" t="s">
        <v>40</v>
      </c>
      <c r="C1557" s="27">
        <v>5</v>
      </c>
      <c r="D1557" s="27" t="s">
        <v>4</v>
      </c>
      <c r="F1557" s="27" t="str">
        <f t="shared" si="694"/>
        <v>Yes</v>
      </c>
      <c r="G1557" s="27" t="s">
        <v>5</v>
      </c>
      <c r="H1557" s="27" t="s">
        <v>43</v>
      </c>
    </row>
    <row r="1558" spans="1:8" x14ac:dyDescent="0.2">
      <c r="A1558" s="27" t="s">
        <v>64</v>
      </c>
      <c r="B1558" s="27" t="s">
        <v>40</v>
      </c>
      <c r="C1558" s="27">
        <v>19.5</v>
      </c>
      <c r="D1558" s="27" t="s">
        <v>4</v>
      </c>
      <c r="F1558" s="27" t="str">
        <f t="shared" si="694"/>
        <v>Yes</v>
      </c>
      <c r="G1558" s="27" t="s">
        <v>5</v>
      </c>
      <c r="H1558" s="27" t="s">
        <v>43</v>
      </c>
    </row>
    <row r="1559" spans="1:8" x14ac:dyDescent="0.2">
      <c r="A1559" s="27" t="s">
        <v>64</v>
      </c>
      <c r="B1559" s="27" t="s">
        <v>40</v>
      </c>
      <c r="C1559" s="27">
        <v>10.5</v>
      </c>
      <c r="D1559" s="27" t="s">
        <v>4</v>
      </c>
      <c r="F1559" s="27" t="str">
        <f t="shared" ref="F1559:F1566" si="700">IF(C1559&gt;=$W$2,"Yes","No")</f>
        <v>Yes</v>
      </c>
      <c r="G1559" s="27" t="s">
        <v>5</v>
      </c>
      <c r="H1559" s="27" t="s">
        <v>43</v>
      </c>
    </row>
    <row r="1560" spans="1:8" x14ac:dyDescent="0.2">
      <c r="A1560" s="27" t="s">
        <v>64</v>
      </c>
      <c r="B1560" s="27" t="s">
        <v>40</v>
      </c>
      <c r="C1560" s="27">
        <v>3.7</v>
      </c>
      <c r="D1560" s="27" t="s">
        <v>4</v>
      </c>
      <c r="F1560" s="27" t="str">
        <f t="shared" si="700"/>
        <v>Yes</v>
      </c>
      <c r="G1560" s="27" t="s">
        <v>5</v>
      </c>
      <c r="H1560" s="27" t="s">
        <v>43</v>
      </c>
    </row>
    <row r="1561" spans="1:8" x14ac:dyDescent="0.2">
      <c r="A1561" s="27" t="s">
        <v>64</v>
      </c>
      <c r="B1561" s="27" t="s">
        <v>40</v>
      </c>
      <c r="C1561" s="27">
        <v>3.3</v>
      </c>
      <c r="D1561" s="27" t="s">
        <v>4</v>
      </c>
      <c r="F1561" s="27" t="str">
        <f t="shared" si="700"/>
        <v>Yes</v>
      </c>
      <c r="G1561" s="27" t="s">
        <v>5</v>
      </c>
      <c r="H1561" s="27" t="s">
        <v>43</v>
      </c>
    </row>
    <row r="1562" spans="1:8" x14ac:dyDescent="0.2">
      <c r="A1562" s="27" t="s">
        <v>64</v>
      </c>
      <c r="B1562" s="27" t="s">
        <v>24</v>
      </c>
      <c r="C1562" s="27">
        <v>20.9</v>
      </c>
      <c r="D1562" s="27" t="s">
        <v>4</v>
      </c>
      <c r="F1562" s="27" t="str">
        <f t="shared" si="700"/>
        <v>Yes</v>
      </c>
      <c r="G1562" s="27" t="s">
        <v>5</v>
      </c>
      <c r="H1562" s="27" t="s">
        <v>43</v>
      </c>
    </row>
    <row r="1563" spans="1:8" x14ac:dyDescent="0.2">
      <c r="A1563" s="27" t="s">
        <v>64</v>
      </c>
      <c r="B1563" s="27" t="s">
        <v>24</v>
      </c>
      <c r="C1563" s="27">
        <v>5.0999999999999996</v>
      </c>
      <c r="D1563" s="27" t="s">
        <v>4</v>
      </c>
      <c r="F1563" s="27" t="str">
        <f t="shared" si="700"/>
        <v>Yes</v>
      </c>
      <c r="G1563" s="27" t="s">
        <v>5</v>
      </c>
      <c r="H1563" s="27" t="s">
        <v>43</v>
      </c>
    </row>
    <row r="1564" spans="1:8" x14ac:dyDescent="0.2">
      <c r="A1564" s="27" t="s">
        <v>64</v>
      </c>
      <c r="B1564" s="27" t="s">
        <v>24</v>
      </c>
      <c r="C1564" s="27">
        <v>20.100000000000001</v>
      </c>
      <c r="D1564" s="27" t="s">
        <v>4</v>
      </c>
      <c r="F1564" s="27" t="str">
        <f t="shared" si="700"/>
        <v>Yes</v>
      </c>
      <c r="G1564" s="27" t="s">
        <v>5</v>
      </c>
      <c r="H1564" s="27" t="s">
        <v>43</v>
      </c>
    </row>
    <row r="1565" spans="1:8" x14ac:dyDescent="0.2">
      <c r="A1565" s="27" t="s">
        <v>64</v>
      </c>
      <c r="B1565" s="27" t="s">
        <v>24</v>
      </c>
      <c r="C1565" s="27">
        <v>9.1</v>
      </c>
      <c r="D1565" s="27" t="s">
        <v>4</v>
      </c>
      <c r="F1565" s="27" t="str">
        <f t="shared" si="700"/>
        <v>Yes</v>
      </c>
      <c r="G1565" s="27" t="s">
        <v>5</v>
      </c>
      <c r="H1565" s="27" t="s">
        <v>43</v>
      </c>
    </row>
    <row r="1566" spans="1:8" x14ac:dyDescent="0.2">
      <c r="A1566" s="27" t="s">
        <v>247</v>
      </c>
      <c r="B1566" s="27" t="s">
        <v>40</v>
      </c>
      <c r="C1566" s="27">
        <v>1.2</v>
      </c>
      <c r="D1566" s="27" t="s">
        <v>4</v>
      </c>
      <c r="F1566" s="27" t="str">
        <f t="shared" si="700"/>
        <v>Yes</v>
      </c>
      <c r="G1566" s="27" t="s">
        <v>5</v>
      </c>
      <c r="H1566" s="27" t="s">
        <v>43</v>
      </c>
    </row>
    <row r="1567" spans="1:8" x14ac:dyDescent="0.2">
      <c r="A1567" s="27" t="s">
        <v>442</v>
      </c>
      <c r="B1567" s="27" t="s">
        <v>54</v>
      </c>
      <c r="C1567" s="27">
        <v>30</v>
      </c>
      <c r="D1567" s="27" t="s">
        <v>33</v>
      </c>
      <c r="F1567" s="27" t="str">
        <f t="shared" ref="F1567" si="701">IF(C1567&gt;$W$5,"Yes","No")</f>
        <v>No</v>
      </c>
      <c r="G1567" s="27" t="s">
        <v>9</v>
      </c>
    </row>
    <row r="1568" spans="1:8" x14ac:dyDescent="0.2">
      <c r="A1568" s="27" t="s">
        <v>71</v>
      </c>
      <c r="B1568" s="27" t="s">
        <v>32</v>
      </c>
      <c r="C1568" s="27">
        <v>5.6</v>
      </c>
      <c r="D1568" s="27" t="s">
        <v>33</v>
      </c>
      <c r="F1568" s="27" t="str">
        <f t="shared" ref="F1568" si="702">IF(C1568&gt;$W$6,"Yes","No")</f>
        <v>No</v>
      </c>
      <c r="G1568" s="27" t="s">
        <v>9</v>
      </c>
    </row>
    <row r="1569" spans="1:38" x14ac:dyDescent="0.2">
      <c r="A1569" s="27" t="s">
        <v>71</v>
      </c>
      <c r="B1569" s="27" t="s">
        <v>32</v>
      </c>
      <c r="C1569" s="27">
        <v>10</v>
      </c>
      <c r="D1569" s="27" t="s">
        <v>33</v>
      </c>
      <c r="F1569" s="27" t="str">
        <f>IF(C1569&gt;=$W$6,"Yes","No")</f>
        <v>Yes</v>
      </c>
      <c r="G1569" s="27" t="s">
        <v>5</v>
      </c>
    </row>
    <row r="1572" spans="1:38" x14ac:dyDescent="0.2">
      <c r="A1572" s="27">
        <v>981</v>
      </c>
      <c r="B1572" s="27" t="s">
        <v>319</v>
      </c>
      <c r="C1572" s="27">
        <v>101</v>
      </c>
    </row>
    <row r="1573" spans="1:38" x14ac:dyDescent="0.2">
      <c r="A1573" s="59" t="s">
        <v>0</v>
      </c>
      <c r="E1573" s="27" t="s">
        <v>274</v>
      </c>
      <c r="F1573" s="27" t="s">
        <v>275</v>
      </c>
      <c r="G1573" s="27" t="s">
        <v>119</v>
      </c>
      <c r="J1573" s="59" t="s">
        <v>1</v>
      </c>
      <c r="N1573" s="27" t="s">
        <v>277</v>
      </c>
      <c r="O1573" s="27" t="s">
        <v>278</v>
      </c>
      <c r="Q1573" s="59" t="s">
        <v>115</v>
      </c>
      <c r="R1573" s="59" t="s">
        <v>0</v>
      </c>
      <c r="S1573" s="59" t="s">
        <v>1</v>
      </c>
      <c r="U1573" s="59" t="s">
        <v>115</v>
      </c>
      <c r="V1573" s="59" t="s">
        <v>0</v>
      </c>
      <c r="W1573" s="59" t="s">
        <v>1</v>
      </c>
      <c r="X1573" s="59" t="s">
        <v>122</v>
      </c>
      <c r="AA1573" s="27" t="str">
        <f>IF(R1574="Yes","LRA-Soil","")</f>
        <v/>
      </c>
      <c r="AB1573" s="27" t="str">
        <f>IF(R1575="Yes","LRA-Paint","")</f>
        <v>LRA-Paint</v>
      </c>
      <c r="AC1573" s="27" t="str">
        <f>IF(R1576="Yes","LRA-Dust","")</f>
        <v/>
      </c>
      <c r="AD1573" s="27" t="str">
        <f>IF(S1574="Yes","LSK-Soil","")</f>
        <v/>
      </c>
      <c r="AE1573" s="27" t="str">
        <f>IF(S1575="Yes","LSK-Paint","")</f>
        <v>LSK-Paint</v>
      </c>
      <c r="AF1573" s="27" t="str">
        <f>IF(S1576="Yes","LSK-Dust","")</f>
        <v/>
      </c>
      <c r="AI1573" s="27" t="s">
        <v>46</v>
      </c>
      <c r="AJ1573" s="27" t="s">
        <v>43</v>
      </c>
      <c r="AK1573" s="27" t="s">
        <v>116</v>
      </c>
      <c r="AL1573" s="27" t="s">
        <v>117</v>
      </c>
    </row>
    <row r="1574" spans="1:38" x14ac:dyDescent="0.2">
      <c r="A1574" s="27" t="s">
        <v>63</v>
      </c>
      <c r="B1574" s="27" t="s">
        <v>24</v>
      </c>
      <c r="C1574" s="27">
        <v>1.1000000000000001</v>
      </c>
      <c r="D1574" s="27" t="s">
        <v>4</v>
      </c>
      <c r="F1574" s="27" t="str">
        <f t="shared" ref="F1574:F1582" si="703">IF(C1574&gt;=$W$2,"Yes","No")</f>
        <v>Yes</v>
      </c>
      <c r="G1574" s="27" t="s">
        <v>5</v>
      </c>
      <c r="H1574" s="27" t="s">
        <v>46</v>
      </c>
      <c r="J1574" s="27" t="s">
        <v>6</v>
      </c>
      <c r="K1574" s="27">
        <v>26</v>
      </c>
      <c r="L1574" s="27" t="s">
        <v>12</v>
      </c>
      <c r="M1574" s="27" t="s">
        <v>36</v>
      </c>
      <c r="N1574" s="27" t="str">
        <f>IF(K1574="N/A","No", IF(K1574&gt;1200,"Yes","No"))</f>
        <v>No</v>
      </c>
      <c r="O1574" s="27" t="str">
        <f>IF(K1574="Not","No",IF(K1574="n/a","N/A",IF(K1574&gt;=$Y$3,"Yes","No")))</f>
        <v>No</v>
      </c>
      <c r="Q1574" s="27" t="s">
        <v>116</v>
      </c>
      <c r="R1574" s="27" t="str">
        <f>_xlfn.XLOOKUP("ppm",D1574:D1583,F1574:F1583,"N/A")</f>
        <v>No</v>
      </c>
      <c r="S1574" s="27" t="str">
        <f>IF(COUNTIF(O1574:O1576,"Yes"),"Yes","No")</f>
        <v>No</v>
      </c>
      <c r="U1574" s="27" t="s">
        <v>92</v>
      </c>
      <c r="V1574" s="27" t="s">
        <v>120</v>
      </c>
      <c r="W1574" s="27" t="s">
        <v>120</v>
      </c>
      <c r="X1574" s="27" t="str">
        <f>IF(V1574="N/A","N/A",IF(W1574="N/A", "N/A", IF(V1574=W1574, "Yes","No")))</f>
        <v>N/A</v>
      </c>
      <c r="AI1574" s="27">
        <f>COUNTIF(H1574:H1583,"Exterior")</f>
        <v>1</v>
      </c>
      <c r="AJ1574" s="27">
        <f>COUNTIF(H1574:H1583, "Interior")</f>
        <v>7</v>
      </c>
      <c r="AK1574" s="27">
        <f>COUNTIFS(D1574:D1583,"ppm")+COUNTIFS(D1574:D1583,"mg/Kg")</f>
        <v>1</v>
      </c>
      <c r="AL1574" s="27">
        <f>COUNTIF(D1574:D1583,"ug/ft2")</f>
        <v>1</v>
      </c>
    </row>
    <row r="1575" spans="1:38" x14ac:dyDescent="0.2">
      <c r="A1575" s="27" t="s">
        <v>161</v>
      </c>
      <c r="B1575" s="27" t="s">
        <v>69</v>
      </c>
      <c r="C1575" s="27">
        <v>40</v>
      </c>
      <c r="D1575" s="27" t="s">
        <v>12</v>
      </c>
      <c r="F1575" s="27" t="str">
        <f t="shared" ref="F1575" si="704">IF(C1575&gt;=$W$3,"Yes","No")</f>
        <v>No</v>
      </c>
      <c r="G1575" s="27" t="s">
        <v>9</v>
      </c>
      <c r="J1575" s="27" t="s">
        <v>11</v>
      </c>
      <c r="K1575" s="27">
        <v>19</v>
      </c>
      <c r="L1575" s="27" t="s">
        <v>12</v>
      </c>
      <c r="M1575" s="27" t="s">
        <v>176</v>
      </c>
      <c r="N1575" s="27" t="str">
        <f t="shared" ref="N1575:N1576" si="705">IF(K1575="N/A","No", IF(K1575&gt;1200,"Yes","No"))</f>
        <v>No</v>
      </c>
      <c r="O1575" s="27" t="str">
        <f t="shared" ref="O1575:O1576" si="706">IF(K1575="Not","No",IF(K1575="n/a","N/A",IF(K1575&gt;$Y$3,"Yes","No")))</f>
        <v>No</v>
      </c>
      <c r="Q1575" s="27" t="s">
        <v>98</v>
      </c>
      <c r="R1575" s="27" t="str">
        <f>IF(COUNTIFS(D1574:D1583,"mg/cm2",G1574:G1583,"Yes")&gt;=1, "Yes","No")</f>
        <v>Yes</v>
      </c>
      <c r="S1575" s="27" t="str">
        <f>IF(COUNTIF(O1577:O1578,"Yes"),"Yes","No")</f>
        <v>Yes</v>
      </c>
      <c r="U1575" s="27" t="s">
        <v>95</v>
      </c>
      <c r="V1575" s="27" t="str">
        <f>R1574</f>
        <v>No</v>
      </c>
      <c r="W1575" s="27" t="str">
        <f>S1574</f>
        <v>No</v>
      </c>
      <c r="X1575" s="27" t="str">
        <f t="shared" ref="X1575:X1578" si="707">IF(V1575="N/A","N/A",IF(W1575="N/A", "N/A", IF(V1575=W1575, "Yes","No")))</f>
        <v>Yes</v>
      </c>
    </row>
    <row r="1576" spans="1:38" x14ac:dyDescent="0.2">
      <c r="A1576" s="27" t="s">
        <v>245</v>
      </c>
      <c r="B1576" s="27" t="s">
        <v>40</v>
      </c>
      <c r="C1576" s="27">
        <v>0</v>
      </c>
      <c r="D1576" s="27" t="s">
        <v>4</v>
      </c>
      <c r="F1576" s="27" t="str">
        <f t="shared" si="703"/>
        <v>No</v>
      </c>
      <c r="G1576" s="27" t="s">
        <v>9</v>
      </c>
      <c r="H1576" s="27" t="s">
        <v>43</v>
      </c>
      <c r="J1576" s="27" t="s">
        <v>15</v>
      </c>
      <c r="K1576" s="27">
        <v>10</v>
      </c>
      <c r="L1576" s="27" t="s">
        <v>12</v>
      </c>
      <c r="M1576" s="27" t="s">
        <v>41</v>
      </c>
      <c r="N1576" s="27" t="str">
        <f t="shared" si="705"/>
        <v>No</v>
      </c>
      <c r="O1576" s="27" t="str">
        <f t="shared" si="706"/>
        <v>No</v>
      </c>
      <c r="Q1576" s="27" t="s">
        <v>117</v>
      </c>
      <c r="R1576" s="27" t="str">
        <f>_xlfn.XLOOKUP("ug/ft2",D1574:D1583,F1574:F1583,"N/A")</f>
        <v>No</v>
      </c>
      <c r="S1576" s="27" t="str">
        <f>IF(COUNTIF(O1579:O1582,"Yes"),"Yes","No")</f>
        <v>No</v>
      </c>
      <c r="U1576" s="27" t="s">
        <v>163</v>
      </c>
      <c r="V1576" s="27" t="s">
        <v>9</v>
      </c>
      <c r="W1576" s="27" t="s">
        <v>9</v>
      </c>
      <c r="X1576" s="27" t="str">
        <f t="shared" si="707"/>
        <v>Yes</v>
      </c>
    </row>
    <row r="1577" spans="1:38" x14ac:dyDescent="0.2">
      <c r="A1577" s="27" t="s">
        <v>113</v>
      </c>
      <c r="B1577" s="27" t="s">
        <v>40</v>
      </c>
      <c r="C1577" s="27">
        <v>0.09</v>
      </c>
      <c r="D1577" s="27" t="s">
        <v>4</v>
      </c>
      <c r="F1577" s="27" t="str">
        <f t="shared" si="703"/>
        <v>No</v>
      </c>
      <c r="G1577" s="27" t="s">
        <v>9</v>
      </c>
      <c r="H1577" s="27" t="s">
        <v>43</v>
      </c>
      <c r="J1577" s="27" t="s">
        <v>19</v>
      </c>
      <c r="K1577" s="27">
        <v>857</v>
      </c>
      <c r="L1577" s="27" t="s">
        <v>12</v>
      </c>
      <c r="M1577" s="27" t="s">
        <v>70</v>
      </c>
      <c r="N1577" s="27" t="str">
        <f>IF(K1577="N/A","No", IF(K1577&gt;5000,"Yes","No"))</f>
        <v>No</v>
      </c>
      <c r="O1577" s="27" t="str">
        <f>IF(K1577="Not","No",IF(K1577="n/a","N/A",IF(K1577&gt;$Y$2,"Yes","No")))</f>
        <v>No</v>
      </c>
      <c r="Q1577" s="27" t="s">
        <v>118</v>
      </c>
      <c r="R1577" s="27" t="str">
        <f>IF(COUNTIF(R1574:R1576,"Yes"),"Yes","No")</f>
        <v>Yes</v>
      </c>
      <c r="S1577" s="27" t="str">
        <f>IF(COUNTIF(S1574:S1576,"Yes"),"Yes","No")</f>
        <v>Yes</v>
      </c>
      <c r="U1577" s="27" t="s">
        <v>164</v>
      </c>
      <c r="V1577" s="27" t="s">
        <v>5</v>
      </c>
      <c r="W1577" s="27" t="s">
        <v>5</v>
      </c>
      <c r="X1577" s="27" t="str">
        <f t="shared" si="707"/>
        <v>Yes</v>
      </c>
    </row>
    <row r="1578" spans="1:38" x14ac:dyDescent="0.2">
      <c r="A1578" s="27" t="s">
        <v>427</v>
      </c>
      <c r="B1578" s="27" t="s">
        <v>174</v>
      </c>
      <c r="C1578" s="27">
        <v>0</v>
      </c>
      <c r="D1578" s="27" t="s">
        <v>4</v>
      </c>
      <c r="F1578" s="27" t="str">
        <f t="shared" si="703"/>
        <v>No</v>
      </c>
      <c r="G1578" s="27" t="s">
        <v>9</v>
      </c>
      <c r="H1578" s="27" t="s">
        <v>43</v>
      </c>
      <c r="J1578" s="27" t="s">
        <v>22</v>
      </c>
      <c r="K1578" s="27">
        <v>27525</v>
      </c>
      <c r="L1578" s="27" t="s">
        <v>12</v>
      </c>
      <c r="M1578" s="27" t="s">
        <v>402</v>
      </c>
      <c r="N1578" s="27" t="str">
        <f>IF(K1578="N/A","No", IF(K1578&gt;5000,"Yes","No"))</f>
        <v>Yes</v>
      </c>
      <c r="O1578" s="27" t="str">
        <f>IF(K1578="Not","No",IF(K1578="n/a","N/A",IF(K1578&gt;$Y$2,"Yes","No")))</f>
        <v>Yes</v>
      </c>
      <c r="U1578" s="27" t="s">
        <v>162</v>
      </c>
      <c r="V1578" s="27" t="str">
        <f>R1575</f>
        <v>Yes</v>
      </c>
      <c r="W1578" s="27" t="str">
        <f>S1575</f>
        <v>Yes</v>
      </c>
      <c r="X1578" s="27" t="str">
        <f t="shared" si="707"/>
        <v>Yes</v>
      </c>
    </row>
    <row r="1579" spans="1:38" x14ac:dyDescent="0.2">
      <c r="A1579" s="27" t="s">
        <v>71</v>
      </c>
      <c r="B1579" s="27" t="s">
        <v>40</v>
      </c>
      <c r="C1579" s="27">
        <v>0</v>
      </c>
      <c r="D1579" s="27" t="s">
        <v>4</v>
      </c>
      <c r="F1579" s="27" t="str">
        <f t="shared" si="703"/>
        <v>No</v>
      </c>
      <c r="G1579" s="27" t="s">
        <v>9</v>
      </c>
      <c r="H1579" s="27" t="s">
        <v>43</v>
      </c>
      <c r="J1579" s="27" t="s">
        <v>25</v>
      </c>
      <c r="K1579" s="27">
        <v>0</v>
      </c>
      <c r="L1579" s="27" t="s">
        <v>12</v>
      </c>
      <c r="M1579" s="27" t="s">
        <v>394</v>
      </c>
      <c r="N1579" s="27" t="str">
        <f>IF(K1579="N/A","No", IF(K1579&gt;=20,"Yes","No"))</f>
        <v>No</v>
      </c>
      <c r="O1579" s="27" t="str">
        <f>IF(K1579="Not","No",IF(K1579="n/a","N/A",IF(K1579&gt;=$Y$5,"Yes","No")))</f>
        <v>No</v>
      </c>
      <c r="U1579" s="27" t="s">
        <v>101</v>
      </c>
      <c r="V1579" s="27" t="s">
        <v>120</v>
      </c>
      <c r="W1579" s="27" t="s">
        <v>9</v>
      </c>
      <c r="X1579" s="27" t="str">
        <f>IF(V1579="N/A","N/A",IF(W1579="N/A", "N/A", IF(V1579=W1579, "Yes","No")))</f>
        <v>N/A</v>
      </c>
    </row>
    <row r="1580" spans="1:38" x14ac:dyDescent="0.2">
      <c r="A1580" s="27" t="s">
        <v>322</v>
      </c>
      <c r="B1580" s="27" t="s">
        <v>40</v>
      </c>
      <c r="C1580" s="27">
        <v>0</v>
      </c>
      <c r="D1580" s="27" t="s">
        <v>4</v>
      </c>
      <c r="F1580" s="27" t="str">
        <f t="shared" si="703"/>
        <v>No</v>
      </c>
      <c r="G1580" s="27" t="s">
        <v>9</v>
      </c>
      <c r="H1580" s="27" t="s">
        <v>43</v>
      </c>
      <c r="J1580" s="27" t="s">
        <v>29</v>
      </c>
      <c r="K1580" s="27">
        <v>0</v>
      </c>
      <c r="L1580" s="27" t="s">
        <v>12</v>
      </c>
      <c r="M1580" s="27" t="s">
        <v>72</v>
      </c>
      <c r="N1580" s="27" t="str">
        <f>IF(K1580="N/A","No", IF(K1580&gt;20,"Yes","No"))</f>
        <v>No</v>
      </c>
      <c r="O1580" s="27" t="str">
        <f t="shared" ref="O1580" si="708">IF(K1580="Not","No",IF(K1580="n/a","N/A",IF(K1580&gt;$Y$6,"Yes","No")))</f>
        <v>No</v>
      </c>
      <c r="U1580" s="27" t="s">
        <v>104</v>
      </c>
      <c r="V1580" s="27" t="s">
        <v>9</v>
      </c>
      <c r="W1580" s="27" t="s">
        <v>9</v>
      </c>
      <c r="X1580" s="27" t="str">
        <f>IF(V1580="N/A","N/A",IF(W1580="N/A", "N/A", IF(V1580=W1580, "Yes","No")))</f>
        <v>Yes</v>
      </c>
    </row>
    <row r="1581" spans="1:38" x14ac:dyDescent="0.2">
      <c r="A1581" s="27" t="s">
        <v>70</v>
      </c>
      <c r="B1581" s="27" t="s">
        <v>40</v>
      </c>
      <c r="C1581" s="27">
        <v>0.06</v>
      </c>
      <c r="D1581" s="27" t="s">
        <v>4</v>
      </c>
      <c r="F1581" s="27" t="str">
        <f t="shared" si="703"/>
        <v>No</v>
      </c>
      <c r="G1581" s="27" t="s">
        <v>9</v>
      </c>
      <c r="H1581" s="27" t="s">
        <v>43</v>
      </c>
      <c r="J1581" s="27" t="s">
        <v>34</v>
      </c>
      <c r="K1581" s="27">
        <v>0</v>
      </c>
      <c r="L1581" s="27" t="s">
        <v>12</v>
      </c>
      <c r="M1581" s="27" t="s">
        <v>445</v>
      </c>
      <c r="N1581" s="27" t="str">
        <f>IF(K1581="N/A","No", IF(K1581&gt;230,"Yes","No"))</f>
        <v>No</v>
      </c>
      <c r="O1581" s="27" t="str">
        <f>IF(K1581="Not","No",IF(K1581="n/a","N/A",IF(K1581&gt;$Y$6,"Yes","No")))</f>
        <v>No</v>
      </c>
      <c r="U1581" s="27" t="s">
        <v>106</v>
      </c>
      <c r="V1581" s="27" t="str">
        <f>R1576</f>
        <v>No</v>
      </c>
      <c r="W1581" s="27" t="str">
        <f>S1576</f>
        <v>No</v>
      </c>
      <c r="X1581" s="27" t="str">
        <f>IF(V1581="N/A","N/A",IF(W1581="N/A", "N/A", IF(V1581=W1581, "Yes","No")))</f>
        <v>Yes</v>
      </c>
    </row>
    <row r="1582" spans="1:38" x14ac:dyDescent="0.2">
      <c r="A1582" s="27" t="s">
        <v>158</v>
      </c>
      <c r="B1582" s="27" t="s">
        <v>40</v>
      </c>
      <c r="C1582" s="27">
        <v>0.01</v>
      </c>
      <c r="D1582" s="27" t="s">
        <v>4</v>
      </c>
      <c r="F1582" s="27" t="str">
        <f t="shared" si="703"/>
        <v>No</v>
      </c>
      <c r="G1582" s="27" t="s">
        <v>9</v>
      </c>
      <c r="H1582" s="27" t="s">
        <v>43</v>
      </c>
      <c r="U1582" s="27" t="s">
        <v>121</v>
      </c>
      <c r="V1582" s="27" t="str">
        <f>R1577</f>
        <v>Yes</v>
      </c>
      <c r="W1582" s="27" t="str">
        <f>S1577</f>
        <v>Yes</v>
      </c>
      <c r="X1582" s="27" t="str">
        <f>IF(V1582="N/A","N/A",IF(W1582="N/A", "N/A", IF(V1582=W1582, "Yes","No")))</f>
        <v>Yes</v>
      </c>
    </row>
    <row r="1583" spans="1:38" x14ac:dyDescent="0.2">
      <c r="A1583" s="27" t="s">
        <v>245</v>
      </c>
      <c r="B1583" s="27" t="s">
        <v>210</v>
      </c>
      <c r="C1583" s="27">
        <v>32</v>
      </c>
      <c r="D1583" s="27" t="s">
        <v>33</v>
      </c>
      <c r="F1583" s="27" t="str">
        <f t="shared" ref="F1583" si="709">IF(C1583&gt;$W$5,"Yes","No")</f>
        <v>No</v>
      </c>
      <c r="G1583" s="27" t="s">
        <v>9</v>
      </c>
    </row>
    <row r="1586" spans="1:38" x14ac:dyDescent="0.2">
      <c r="A1586" s="57">
        <v>1524</v>
      </c>
      <c r="B1586" s="27" t="s">
        <v>319</v>
      </c>
      <c r="C1586" s="27">
        <v>102</v>
      </c>
    </row>
    <row r="1587" spans="1:38" x14ac:dyDescent="0.2">
      <c r="A1587" s="59" t="s">
        <v>0</v>
      </c>
      <c r="E1587" s="27" t="s">
        <v>274</v>
      </c>
      <c r="F1587" s="27" t="s">
        <v>275</v>
      </c>
      <c r="G1587" s="27" t="s">
        <v>119</v>
      </c>
      <c r="J1587" s="59" t="s">
        <v>1</v>
      </c>
      <c r="N1587" s="27" t="s">
        <v>277</v>
      </c>
      <c r="O1587" s="27" t="s">
        <v>278</v>
      </c>
      <c r="Q1587" s="59" t="s">
        <v>115</v>
      </c>
      <c r="R1587" s="59" t="s">
        <v>0</v>
      </c>
      <c r="S1587" s="59" t="s">
        <v>1</v>
      </c>
      <c r="U1587" s="59" t="s">
        <v>115</v>
      </c>
      <c r="V1587" s="59" t="s">
        <v>0</v>
      </c>
      <c r="W1587" s="59" t="s">
        <v>1</v>
      </c>
      <c r="X1587" s="59" t="s">
        <v>122</v>
      </c>
      <c r="AA1587" s="27" t="str">
        <f>IF(R1588="Yes","LRA-Soil","")</f>
        <v/>
      </c>
      <c r="AB1587" s="27" t="str">
        <f>IF(R1589="Yes","LRA-Paint","")</f>
        <v>LRA-Paint</v>
      </c>
      <c r="AC1587" s="27" t="str">
        <f>IF(R1590="Yes","LRA-Dust","")</f>
        <v/>
      </c>
      <c r="AD1587" s="27" t="str">
        <f>IF(S1588="Yes","LSK-Soil","")</f>
        <v/>
      </c>
      <c r="AE1587" s="27" t="str">
        <f>IF(S1589="Yes","LSK-Paint","")</f>
        <v/>
      </c>
      <c r="AF1587" s="27" t="str">
        <f>IF(S1590="Yes","LSK-Dust","")</f>
        <v/>
      </c>
      <c r="AI1587" s="27" t="s">
        <v>46</v>
      </c>
      <c r="AJ1587" s="27" t="s">
        <v>43</v>
      </c>
      <c r="AK1587" s="27" t="s">
        <v>116</v>
      </c>
      <c r="AL1587" s="27" t="s">
        <v>117</v>
      </c>
    </row>
    <row r="1588" spans="1:38" x14ac:dyDescent="0.2">
      <c r="A1588" s="27" t="s">
        <v>63</v>
      </c>
      <c r="B1588" s="27" t="s">
        <v>10</v>
      </c>
      <c r="C1588" s="27">
        <v>7.4</v>
      </c>
      <c r="D1588" s="27" t="s">
        <v>4</v>
      </c>
      <c r="F1588" s="27" t="str">
        <f t="shared" ref="F1588:F1589" si="710">IF(C1588&gt;=$W$2,"Yes","No")</f>
        <v>Yes</v>
      </c>
      <c r="G1588" s="27" t="s">
        <v>5</v>
      </c>
      <c r="H1588" s="27" t="s">
        <v>46</v>
      </c>
      <c r="J1588" s="27" t="s">
        <v>6</v>
      </c>
      <c r="K1588" s="27" t="s">
        <v>120</v>
      </c>
      <c r="L1588" s="27" t="s">
        <v>12</v>
      </c>
      <c r="M1588" s="27" t="s">
        <v>66</v>
      </c>
      <c r="N1588" s="27" t="str">
        <f>IF(K1588="N/A","No", IF(K1588&gt;1200,"Yes","No"))</f>
        <v>No</v>
      </c>
      <c r="O1588" s="27" t="str">
        <f>IF(K1588="Not","No",IF(K1588="n/a","N/A",IF(K1588&gt;=$Y$3,"Yes","No")))</f>
        <v>N/A</v>
      </c>
      <c r="Q1588" s="27" t="s">
        <v>116</v>
      </c>
      <c r="R1588" s="27" t="str">
        <f>_xlfn.XLOOKUP("ppm",D1588:D1597,F1588:F1597,"N/A")</f>
        <v>N/A</v>
      </c>
      <c r="S1588" s="27" t="s">
        <v>120</v>
      </c>
      <c r="U1588" s="27" t="s">
        <v>92</v>
      </c>
      <c r="V1588" s="27" t="s">
        <v>120</v>
      </c>
      <c r="W1588" s="27" t="s">
        <v>120</v>
      </c>
      <c r="X1588" s="27" t="str">
        <f>IF(V1588="N/A","N/A",IF(W1588="N/A", "N/A", IF(V1588=W1588, "Yes","No")))</f>
        <v>N/A</v>
      </c>
      <c r="AI1588" s="27">
        <f>COUNTIF(H1588:H1595,"Exterior")</f>
        <v>3</v>
      </c>
      <c r="AJ1588" s="27">
        <f>COUNTIF(H1588:H1595, "Interior")</f>
        <v>3</v>
      </c>
      <c r="AK1588" s="27">
        <f>COUNTIFS(D1588:D1595,"ppm")+COUNTIFS(D1588:D1595,"mg/Kg")</f>
        <v>0</v>
      </c>
      <c r="AL1588" s="27">
        <f>COUNTIF(D1588:D1595,"ug/ft2")</f>
        <v>2</v>
      </c>
    </row>
    <row r="1589" spans="1:38" x14ac:dyDescent="0.2">
      <c r="A1589" s="27" t="s">
        <v>63</v>
      </c>
      <c r="B1589" s="27" t="s">
        <v>203</v>
      </c>
      <c r="C1589" s="27">
        <v>25.2</v>
      </c>
      <c r="D1589" s="27" t="s">
        <v>4</v>
      </c>
      <c r="F1589" s="27" t="str">
        <f t="shared" si="710"/>
        <v>Yes</v>
      </c>
      <c r="G1589" s="27" t="s">
        <v>5</v>
      </c>
      <c r="H1589" s="27" t="s">
        <v>46</v>
      </c>
      <c r="J1589" s="27" t="s">
        <v>11</v>
      </c>
      <c r="K1589" s="27" t="s">
        <v>120</v>
      </c>
      <c r="L1589" s="27" t="s">
        <v>12</v>
      </c>
      <c r="M1589" s="27" t="s">
        <v>66</v>
      </c>
      <c r="N1589" s="27" t="str">
        <f t="shared" ref="N1589:N1590" si="711">IF(K1589="N/A","No", IF(K1589&gt;1200,"Yes","No"))</f>
        <v>No</v>
      </c>
      <c r="O1589" s="27" t="str">
        <f t="shared" ref="O1589:O1590" si="712">IF(K1589="Not","No",IF(K1589="n/a","N/A",IF(K1589&gt;$Y$3,"Yes","No")))</f>
        <v>N/A</v>
      </c>
      <c r="Q1589" s="27" t="s">
        <v>98</v>
      </c>
      <c r="R1589" s="27" t="str">
        <f>IF(COUNTIFS(D1588:D1597,"mg/cm2",G1588:G1597,"Yes")&gt;=1, "Yes","No")</f>
        <v>Yes</v>
      </c>
      <c r="S1589" s="27" t="str">
        <f>IF(COUNTIF(O1591:O1592,"Yes"),"Yes","No")</f>
        <v>No</v>
      </c>
      <c r="U1589" s="27" t="s">
        <v>95</v>
      </c>
      <c r="V1589" s="27" t="str">
        <f>R1588</f>
        <v>N/A</v>
      </c>
      <c r="W1589" s="27" t="str">
        <f>S1588</f>
        <v>N/A</v>
      </c>
      <c r="X1589" s="27" t="str">
        <f t="shared" ref="X1589:X1592" si="713">IF(V1589="N/A","N/A",IF(W1589="N/A", "N/A", IF(V1589=W1589, "Yes","No")))</f>
        <v>N/A</v>
      </c>
    </row>
    <row r="1590" spans="1:38" x14ac:dyDescent="0.2">
      <c r="A1590" s="27" t="s">
        <v>63</v>
      </c>
      <c r="B1590" s="27" t="s">
        <v>18</v>
      </c>
      <c r="C1590" s="27">
        <v>18.2</v>
      </c>
      <c r="D1590" s="27" t="s">
        <v>4</v>
      </c>
      <c r="F1590" s="27" t="str">
        <f t="shared" ref="F1590:F1593" si="714">IF(C1590&gt;=$W$2,"Yes","No")</f>
        <v>Yes</v>
      </c>
      <c r="G1590" s="27" t="s">
        <v>5</v>
      </c>
      <c r="H1590" s="27" t="s">
        <v>46</v>
      </c>
      <c r="J1590" s="27" t="s">
        <v>15</v>
      </c>
      <c r="K1590" s="27" t="s">
        <v>120</v>
      </c>
      <c r="L1590" s="27" t="s">
        <v>12</v>
      </c>
      <c r="M1590" s="27" t="s">
        <v>66</v>
      </c>
      <c r="N1590" s="27" t="str">
        <f t="shared" si="711"/>
        <v>No</v>
      </c>
      <c r="O1590" s="27" t="str">
        <f t="shared" si="712"/>
        <v>N/A</v>
      </c>
      <c r="Q1590" s="27" t="s">
        <v>117</v>
      </c>
      <c r="R1590" s="27" t="str">
        <f>_xlfn.XLOOKUP("ug/ft2",D1588:D1597,F1588:F1597,"N/A")</f>
        <v>No</v>
      </c>
      <c r="S1590" s="27" t="str">
        <f>IF(COUNTIF(O1593:O1596,"Yes"),"Yes","No")</f>
        <v>No</v>
      </c>
      <c r="U1590" s="27" t="s">
        <v>163</v>
      </c>
      <c r="V1590" s="27" t="s">
        <v>5</v>
      </c>
      <c r="W1590" s="27" t="s">
        <v>9</v>
      </c>
      <c r="X1590" s="27" t="str">
        <f t="shared" si="713"/>
        <v>No</v>
      </c>
    </row>
    <row r="1591" spans="1:38" x14ac:dyDescent="0.2">
      <c r="A1591" s="27" t="s">
        <v>64</v>
      </c>
      <c r="B1591" s="27" t="s">
        <v>40</v>
      </c>
      <c r="C1591" s="27">
        <v>1.9</v>
      </c>
      <c r="D1591" s="27" t="s">
        <v>4</v>
      </c>
      <c r="F1591" s="27" t="str">
        <f t="shared" si="714"/>
        <v>Yes</v>
      </c>
      <c r="G1591" s="27" t="s">
        <v>5</v>
      </c>
      <c r="H1591" s="27" t="s">
        <v>43</v>
      </c>
      <c r="J1591" s="27" t="s">
        <v>19</v>
      </c>
      <c r="K1591" s="27">
        <v>2337</v>
      </c>
      <c r="L1591" s="27" t="s">
        <v>12</v>
      </c>
      <c r="M1591" s="27" t="s">
        <v>446</v>
      </c>
      <c r="N1591" s="27" t="str">
        <f>IF(K1591="N/A","No", IF(K1591&gt;5000,"Yes","No"))</f>
        <v>No</v>
      </c>
      <c r="O1591" s="27" t="str">
        <f>IF(K1591="Not","No",IF(K1591="n/a","N/A",IF(K1591&gt;$Y$2,"Yes","No")))</f>
        <v>No</v>
      </c>
      <c r="Q1591" s="27" t="s">
        <v>118</v>
      </c>
      <c r="R1591" s="27" t="str">
        <f>IF(COUNTIF(R1588:R1590,"Yes"),"Yes","No")</f>
        <v>Yes</v>
      </c>
      <c r="S1591" s="27" t="str">
        <f>IF(COUNTIF(S1588:S1590,"Yes"),"Yes","No")</f>
        <v>No</v>
      </c>
      <c r="U1591" s="27" t="s">
        <v>164</v>
      </c>
      <c r="V1591" s="27" t="s">
        <v>5</v>
      </c>
      <c r="W1591" s="27" t="s">
        <v>120</v>
      </c>
      <c r="X1591" s="27" t="str">
        <f t="shared" si="713"/>
        <v>N/A</v>
      </c>
    </row>
    <row r="1592" spans="1:38" x14ac:dyDescent="0.2">
      <c r="A1592" s="27" t="s">
        <v>64</v>
      </c>
      <c r="B1592" s="27" t="s">
        <v>40</v>
      </c>
      <c r="C1592" s="27">
        <v>29.9</v>
      </c>
      <c r="D1592" s="27" t="s">
        <v>4</v>
      </c>
      <c r="F1592" s="27" t="str">
        <f t="shared" si="714"/>
        <v>Yes</v>
      </c>
      <c r="G1592" s="27" t="s">
        <v>5</v>
      </c>
      <c r="H1592" s="27" t="s">
        <v>43</v>
      </c>
      <c r="J1592" s="27" t="s">
        <v>22</v>
      </c>
      <c r="K1592" s="27" t="s">
        <v>120</v>
      </c>
      <c r="L1592" s="27" t="s">
        <v>12</v>
      </c>
      <c r="M1592" s="27" t="s">
        <v>120</v>
      </c>
      <c r="N1592" s="27" t="str">
        <f>IF(K1592="N/A","No", IF(K1592&gt;5000,"Yes","No"))</f>
        <v>No</v>
      </c>
      <c r="O1592" s="27" t="str">
        <f>IF(K1592="Not","No",IF(K1592="n/a","N/A",IF(K1592&gt;$Y$2,"Yes","No")))</f>
        <v>N/A</v>
      </c>
      <c r="U1592" s="27" t="s">
        <v>162</v>
      </c>
      <c r="V1592" s="27" t="str">
        <f>R1589</f>
        <v>Yes</v>
      </c>
      <c r="W1592" s="27" t="str">
        <f>S1589</f>
        <v>No</v>
      </c>
      <c r="X1592" s="27" t="str">
        <f t="shared" si="713"/>
        <v>No</v>
      </c>
    </row>
    <row r="1593" spans="1:38" x14ac:dyDescent="0.2">
      <c r="A1593" s="27" t="s">
        <v>64</v>
      </c>
      <c r="B1593" s="27" t="s">
        <v>40</v>
      </c>
      <c r="C1593" s="27">
        <v>2.4</v>
      </c>
      <c r="D1593" s="27" t="s">
        <v>4</v>
      </c>
      <c r="F1593" s="27" t="str">
        <f t="shared" si="714"/>
        <v>Yes</v>
      </c>
      <c r="G1593" s="27" t="s">
        <v>5</v>
      </c>
      <c r="H1593" s="27" t="s">
        <v>43</v>
      </c>
      <c r="J1593" s="27" t="s">
        <v>25</v>
      </c>
      <c r="K1593" s="27">
        <v>17</v>
      </c>
      <c r="L1593" s="27" t="s">
        <v>12</v>
      </c>
      <c r="M1593" s="27" t="s">
        <v>48</v>
      </c>
      <c r="N1593" s="27" t="str">
        <f>IF(K1593="N/A","No", IF(K1593&gt;=20,"Yes","No"))</f>
        <v>No</v>
      </c>
      <c r="O1593" s="27" t="str">
        <f>IF(K1593="Not","No",IF(K1593="n/a","N/A",IF(K1593&gt;=$Y$5,"Yes","No")))</f>
        <v>No</v>
      </c>
      <c r="U1593" s="27" t="s">
        <v>101</v>
      </c>
      <c r="V1593" s="27" t="s">
        <v>9</v>
      </c>
      <c r="W1593" s="27" t="s">
        <v>9</v>
      </c>
      <c r="X1593" s="27" t="str">
        <f>IF(V1593="N/A","N/A",IF(W1593="N/A", "N/A", IF(V1593=W1593, "Yes","No")))</f>
        <v>Yes</v>
      </c>
    </row>
    <row r="1594" spans="1:38" x14ac:dyDescent="0.2">
      <c r="A1594" s="27" t="s">
        <v>109</v>
      </c>
      <c r="B1594" s="27" t="s">
        <v>54</v>
      </c>
      <c r="C1594" s="27">
        <v>14</v>
      </c>
      <c r="D1594" s="27" t="s">
        <v>33</v>
      </c>
      <c r="F1594" s="27" t="str">
        <f>IF(C1594&gt;$W$5,"Yes","No")</f>
        <v>No</v>
      </c>
      <c r="G1594" s="27" t="s">
        <v>9</v>
      </c>
      <c r="J1594" s="27" t="s">
        <v>29</v>
      </c>
      <c r="K1594" s="27">
        <v>0</v>
      </c>
      <c r="L1594" s="27" t="s">
        <v>12</v>
      </c>
      <c r="M1594" s="27" t="s">
        <v>72</v>
      </c>
      <c r="N1594" s="27" t="str">
        <f>IF(K1594="N/A","No", IF(K1594&gt;20,"Yes","No"))</f>
        <v>No</v>
      </c>
      <c r="O1594" s="27" t="str">
        <f t="shared" ref="O1594" si="715">IF(K1594="Not","No",IF(K1594="n/a","N/A",IF(K1594&gt;$Y$6,"Yes","No")))</f>
        <v>No</v>
      </c>
      <c r="U1594" s="27" t="s">
        <v>104</v>
      </c>
      <c r="V1594" s="27" t="s">
        <v>9</v>
      </c>
      <c r="W1594" s="27" t="s">
        <v>9</v>
      </c>
      <c r="X1594" s="27" t="str">
        <f>IF(V1594="N/A","N/A",IF(W1594="N/A", "N/A", IF(V1594=W1594, "Yes","No")))</f>
        <v>Yes</v>
      </c>
    </row>
    <row r="1595" spans="1:38" x14ac:dyDescent="0.2">
      <c r="A1595" s="27" t="s">
        <v>71</v>
      </c>
      <c r="B1595" s="27" t="s">
        <v>32</v>
      </c>
      <c r="C1595" s="27">
        <v>4.5999999999999996</v>
      </c>
      <c r="D1595" s="27" t="s">
        <v>33</v>
      </c>
      <c r="F1595" s="27" t="str">
        <f>IF(C1595&gt;$W$6,"Yes","No")</f>
        <v>No</v>
      </c>
      <c r="G1595" s="27" t="s">
        <v>9</v>
      </c>
      <c r="J1595" s="27" t="s">
        <v>34</v>
      </c>
      <c r="K1595" s="27">
        <v>0</v>
      </c>
      <c r="L1595" s="27" t="s">
        <v>12</v>
      </c>
      <c r="M1595" s="27" t="s">
        <v>447</v>
      </c>
      <c r="N1595" s="27" t="str">
        <f>IF(K1595="N/A","No", IF(K1595&gt;230,"Yes","No"))</f>
        <v>No</v>
      </c>
      <c r="O1595" s="27" t="str">
        <f>IF(K1595="Not","No",IF(K1595="n/a","N/A",IF(K1595&gt;$Y$6,"Yes","No")))</f>
        <v>No</v>
      </c>
      <c r="U1595" s="27" t="s">
        <v>106</v>
      </c>
      <c r="V1595" s="27" t="str">
        <f>R1590</f>
        <v>No</v>
      </c>
      <c r="W1595" s="27" t="str">
        <f>S1590</f>
        <v>No</v>
      </c>
      <c r="X1595" s="27" t="str">
        <f>IF(V1595="N/A","N/A",IF(W1595="N/A", "N/A", IF(V1595=W1595, "Yes","No")))</f>
        <v>Yes</v>
      </c>
    </row>
    <row r="1596" spans="1:38" x14ac:dyDescent="0.2">
      <c r="U1596" s="27" t="s">
        <v>121</v>
      </c>
      <c r="V1596" s="27" t="str">
        <f>R1591</f>
        <v>Yes</v>
      </c>
      <c r="W1596" s="27" t="str">
        <f>S1591</f>
        <v>No</v>
      </c>
      <c r="X1596" s="27" t="str">
        <f>IF(V1596="N/A","N/A",IF(W1596="N/A", "N/A", IF(V1596=W1596, "Yes","No")))</f>
        <v>No</v>
      </c>
    </row>
    <row r="1598" spans="1:38" x14ac:dyDescent="0.2">
      <c r="A1598" s="27">
        <v>1525</v>
      </c>
      <c r="B1598" s="27" t="s">
        <v>319</v>
      </c>
      <c r="C1598" s="27">
        <v>103</v>
      </c>
    </row>
    <row r="1599" spans="1:38" x14ac:dyDescent="0.2">
      <c r="A1599" s="59" t="s">
        <v>0</v>
      </c>
      <c r="E1599" s="27" t="s">
        <v>274</v>
      </c>
      <c r="F1599" s="27" t="s">
        <v>275</v>
      </c>
      <c r="G1599" s="27" t="s">
        <v>119</v>
      </c>
      <c r="J1599" s="59" t="s">
        <v>1</v>
      </c>
      <c r="N1599" s="27" t="s">
        <v>277</v>
      </c>
      <c r="O1599" s="27" t="s">
        <v>278</v>
      </c>
      <c r="Q1599" s="59" t="s">
        <v>115</v>
      </c>
      <c r="R1599" s="59" t="s">
        <v>0</v>
      </c>
      <c r="S1599" s="59" t="s">
        <v>1</v>
      </c>
      <c r="U1599" s="59" t="s">
        <v>115</v>
      </c>
      <c r="V1599" s="59" t="s">
        <v>0</v>
      </c>
      <c r="W1599" s="59" t="s">
        <v>1</v>
      </c>
      <c r="X1599" s="59" t="s">
        <v>122</v>
      </c>
      <c r="AA1599" s="27" t="str">
        <f>IF(R1600="Yes","LRA-Soil","")</f>
        <v/>
      </c>
      <c r="AB1599" s="27" t="str">
        <f>IF(R1601="Yes","LRA-Paint","")</f>
        <v/>
      </c>
      <c r="AC1599" s="27" t="str">
        <f>IF(R1602="Yes","LRA-Dust","")</f>
        <v/>
      </c>
      <c r="AD1599" s="27" t="str">
        <f>IF(S1600="Yes","LSK-Soil","")</f>
        <v/>
      </c>
      <c r="AE1599" s="27" t="str">
        <f>IF(S1601="Yes","LSK-Paint","")</f>
        <v/>
      </c>
      <c r="AF1599" s="27" t="str">
        <f>IF(S1602="Yes","LSK-Dust","")</f>
        <v/>
      </c>
      <c r="AI1599" s="27" t="s">
        <v>46</v>
      </c>
      <c r="AJ1599" s="27" t="s">
        <v>43</v>
      </c>
      <c r="AK1599" s="27" t="s">
        <v>116</v>
      </c>
      <c r="AL1599" s="27" t="s">
        <v>117</v>
      </c>
    </row>
    <row r="1600" spans="1:38" x14ac:dyDescent="0.2">
      <c r="A1600" s="27" t="s">
        <v>63</v>
      </c>
      <c r="B1600" s="27" t="s">
        <v>18</v>
      </c>
      <c r="C1600" s="27">
        <v>0</v>
      </c>
      <c r="D1600" s="27" t="s">
        <v>4</v>
      </c>
      <c r="F1600" s="27" t="str">
        <f t="shared" ref="F1600:F1603" si="716">IF(C1600&gt;=$W$2,"Yes","No")</f>
        <v>No</v>
      </c>
      <c r="G1600" s="27" t="s">
        <v>9</v>
      </c>
      <c r="H1600" s="27" t="s">
        <v>46</v>
      </c>
      <c r="J1600" s="27" t="s">
        <v>6</v>
      </c>
      <c r="K1600" s="27">
        <v>113</v>
      </c>
      <c r="L1600" s="27" t="s">
        <v>12</v>
      </c>
      <c r="M1600" s="27" t="s">
        <v>36</v>
      </c>
      <c r="N1600" s="27" t="str">
        <f>IF(K1600="N/A","No", IF(K1600&gt;1200,"Yes","No"))</f>
        <v>No</v>
      </c>
      <c r="O1600" s="27" t="str">
        <f>IF(K1600="Not","No",IF(K1600="n/a","N/A",IF(K1600&gt;=$Y$3,"Yes","No")))</f>
        <v>No</v>
      </c>
      <c r="Q1600" s="27" t="s">
        <v>116</v>
      </c>
      <c r="R1600" s="27" t="str">
        <f>_xlfn.XLOOKUP("ppm",D1600:D1605,F1600:F1605,"N/A")</f>
        <v>No</v>
      </c>
      <c r="S1600" s="27" t="str">
        <f>IF(COUNTIF(O1600:O1602,"Yes"),"Yes","No")</f>
        <v>No</v>
      </c>
      <c r="U1600" s="27" t="s">
        <v>92</v>
      </c>
      <c r="V1600" s="27" t="s">
        <v>120</v>
      </c>
      <c r="W1600" s="27" t="s">
        <v>120</v>
      </c>
      <c r="X1600" s="27" t="str">
        <f>IF(V1600="N/A","N/A",IF(W1600="N/A", "N/A", IF(V1600=W1600, "Yes","No")))</f>
        <v>N/A</v>
      </c>
      <c r="AI1600" s="27">
        <f>COUNTIF(H1600:H1607,"Exterior")</f>
        <v>1</v>
      </c>
      <c r="AJ1600" s="27">
        <f>COUNTIF(H1600:H1607, "Interior")</f>
        <v>1</v>
      </c>
      <c r="AK1600" s="27">
        <f>COUNTIFS(D1600:D1607,"ppm")+COUNTIFS(D1600:D1607,"mg/Kg")</f>
        <v>2</v>
      </c>
      <c r="AL1600" s="27">
        <f>COUNTIF(D1600:D1607,"ug/ft2")</f>
        <v>2</v>
      </c>
    </row>
    <row r="1601" spans="1:38" x14ac:dyDescent="0.2">
      <c r="A1601" s="27" t="s">
        <v>75</v>
      </c>
      <c r="B1601" s="27" t="s">
        <v>301</v>
      </c>
      <c r="C1601" s="27">
        <v>200</v>
      </c>
      <c r="D1601" s="27" t="s">
        <v>12</v>
      </c>
      <c r="F1601" s="27" t="str">
        <f t="shared" ref="F1601" si="717">IF(C1601&gt;=$W$3,"Yes","No")</f>
        <v>No</v>
      </c>
      <c r="G1601" s="27" t="s">
        <v>9</v>
      </c>
      <c r="J1601" s="27" t="s">
        <v>11</v>
      </c>
      <c r="K1601" s="27">
        <v>0</v>
      </c>
      <c r="L1601" s="27" t="s">
        <v>12</v>
      </c>
      <c r="M1601" s="27" t="s">
        <v>176</v>
      </c>
      <c r="N1601" s="27" t="str">
        <f t="shared" ref="N1601:N1602" si="718">IF(K1601="N/A","No", IF(K1601&gt;1200,"Yes","No"))</f>
        <v>No</v>
      </c>
      <c r="O1601" s="27" t="str">
        <f t="shared" ref="O1601:O1602" si="719">IF(K1601="Not","No",IF(K1601="n/a","N/A",IF(K1601&gt;$Y$3,"Yes","No")))</f>
        <v>No</v>
      </c>
      <c r="Q1601" s="27" t="s">
        <v>98</v>
      </c>
      <c r="R1601" s="27" t="str">
        <f>IF(COUNTIFS(D1600:D1605,"mg/cm2",G1600:G1605,"Yes")&gt;=1, "Yes","No")</f>
        <v>No</v>
      </c>
      <c r="S1601" s="27" t="str">
        <f>IF(COUNTIF(O1603:O1604,"Yes"),"Yes","No")</f>
        <v>No</v>
      </c>
      <c r="U1601" s="27" t="s">
        <v>95</v>
      </c>
      <c r="V1601" s="27" t="str">
        <f>R1600</f>
        <v>No</v>
      </c>
      <c r="W1601" s="27" t="str">
        <f>S1600</f>
        <v>No</v>
      </c>
      <c r="X1601" s="27" t="str">
        <f t="shared" ref="X1601:X1604" si="720">IF(V1601="N/A","N/A",IF(W1601="N/A", "N/A", IF(V1601=W1601, "Yes","No")))</f>
        <v>Yes</v>
      </c>
    </row>
    <row r="1602" spans="1:38" x14ac:dyDescent="0.2">
      <c r="A1602" s="27" t="s">
        <v>161</v>
      </c>
      <c r="B1602" s="27" t="s">
        <v>28</v>
      </c>
      <c r="C1602" s="27" t="s">
        <v>397</v>
      </c>
      <c r="D1602" s="27" t="s">
        <v>12</v>
      </c>
      <c r="F1602" s="27" t="s">
        <v>9</v>
      </c>
      <c r="G1602" s="27" t="s">
        <v>9</v>
      </c>
      <c r="J1602" s="27" t="s">
        <v>15</v>
      </c>
      <c r="K1602" s="27">
        <v>33</v>
      </c>
      <c r="L1602" s="27" t="s">
        <v>12</v>
      </c>
      <c r="M1602" s="27" t="s">
        <v>41</v>
      </c>
      <c r="N1602" s="27" t="str">
        <f t="shared" si="718"/>
        <v>No</v>
      </c>
      <c r="O1602" s="27" t="str">
        <f t="shared" si="719"/>
        <v>No</v>
      </c>
      <c r="Q1602" s="27" t="s">
        <v>117</v>
      </c>
      <c r="R1602" s="27" t="str">
        <f>_xlfn.XLOOKUP("ug/ft2",D1600:D1605,F1600:F1605,"N/A")</f>
        <v>No</v>
      </c>
      <c r="S1602" s="27" t="str">
        <f>IF(COUNTIF(O1605:O1608,"Yes"),"Yes","No")</f>
        <v>No</v>
      </c>
      <c r="U1602" s="27" t="s">
        <v>163</v>
      </c>
      <c r="V1602" s="27" t="s">
        <v>9</v>
      </c>
      <c r="W1602" s="27" t="s">
        <v>9</v>
      </c>
      <c r="X1602" s="27" t="str">
        <f t="shared" si="720"/>
        <v>Yes</v>
      </c>
    </row>
    <row r="1603" spans="1:38" x14ac:dyDescent="0.2">
      <c r="A1603" s="27" t="s">
        <v>71</v>
      </c>
      <c r="B1603" s="27" t="s">
        <v>40</v>
      </c>
      <c r="C1603" s="27">
        <v>0</v>
      </c>
      <c r="D1603" s="27" t="s">
        <v>4</v>
      </c>
      <c r="F1603" s="27" t="str">
        <f t="shared" si="716"/>
        <v>No</v>
      </c>
      <c r="G1603" s="27" t="s">
        <v>9</v>
      </c>
      <c r="H1603" s="27" t="s">
        <v>43</v>
      </c>
      <c r="J1603" s="27" t="s">
        <v>19</v>
      </c>
      <c r="K1603" s="27">
        <v>18</v>
      </c>
      <c r="L1603" s="27" t="s">
        <v>12</v>
      </c>
      <c r="M1603" s="27" t="s">
        <v>444</v>
      </c>
      <c r="N1603" s="27" t="str">
        <f>IF(K1603="N/A","No", IF(K1603&gt;5000,"Yes","No"))</f>
        <v>No</v>
      </c>
      <c r="O1603" s="27" t="str">
        <f>IF(K1603="Not","No",IF(K1603="n/a","N/A",IF(K1603&gt;$Y$2,"Yes","No")))</f>
        <v>No</v>
      </c>
      <c r="Q1603" s="27" t="s">
        <v>118</v>
      </c>
      <c r="R1603" s="27" t="str">
        <f>IF(COUNTIF(R1600:R1602,"Yes"),"Yes","No")</f>
        <v>No</v>
      </c>
      <c r="S1603" s="27" t="str">
        <f>IF(COUNTIF(S1600:S1602,"Yes"),"Yes","No")</f>
        <v>No</v>
      </c>
      <c r="U1603" s="27" t="s">
        <v>164</v>
      </c>
      <c r="V1603" s="27" t="s">
        <v>9</v>
      </c>
      <c r="W1603" s="27" t="s">
        <v>9</v>
      </c>
      <c r="X1603" s="27" t="str">
        <f t="shared" si="720"/>
        <v>Yes</v>
      </c>
    </row>
    <row r="1604" spans="1:38" x14ac:dyDescent="0.2">
      <c r="A1604" s="27" t="s">
        <v>109</v>
      </c>
      <c r="B1604" s="27" t="s">
        <v>32</v>
      </c>
      <c r="C1604" s="27">
        <v>3</v>
      </c>
      <c r="D1604" s="27" t="s">
        <v>33</v>
      </c>
      <c r="F1604" s="27" t="str">
        <f>IF(C1604&gt;$W$6,"Yes","No")</f>
        <v>No</v>
      </c>
      <c r="G1604" s="27" t="s">
        <v>9</v>
      </c>
      <c r="J1604" s="27" t="s">
        <v>22</v>
      </c>
      <c r="K1604" s="27">
        <v>13</v>
      </c>
      <c r="L1604" s="27" t="s">
        <v>12</v>
      </c>
      <c r="M1604" s="27" t="s">
        <v>402</v>
      </c>
      <c r="N1604" s="27" t="str">
        <f>IF(K1604="N/A","No", IF(K1604&gt;5000,"Yes","No"))</f>
        <v>No</v>
      </c>
      <c r="O1604" s="27" t="str">
        <f>IF(K1604="Not","No",IF(K1604="n/a","N/A",IF(K1604&gt;$Y$2,"Yes","No")))</f>
        <v>No</v>
      </c>
      <c r="U1604" s="27" t="s">
        <v>162</v>
      </c>
      <c r="V1604" s="27" t="str">
        <f>R1601</f>
        <v>No</v>
      </c>
      <c r="W1604" s="27" t="str">
        <f>S1601</f>
        <v>No</v>
      </c>
      <c r="X1604" s="27" t="str">
        <f t="shared" si="720"/>
        <v>Yes</v>
      </c>
    </row>
    <row r="1605" spans="1:38" x14ac:dyDescent="0.2">
      <c r="A1605" s="27" t="s">
        <v>293</v>
      </c>
      <c r="B1605" s="27" t="s">
        <v>54</v>
      </c>
      <c r="C1605" s="27">
        <v>16</v>
      </c>
      <c r="D1605" s="27" t="s">
        <v>33</v>
      </c>
      <c r="F1605" s="27" t="str">
        <f>IF(C1605&gt;$W$5,"Yes","No")</f>
        <v>No</v>
      </c>
      <c r="G1605" s="27" t="s">
        <v>9</v>
      </c>
      <c r="J1605" s="27" t="s">
        <v>25</v>
      </c>
      <c r="K1605" s="27">
        <v>0</v>
      </c>
      <c r="L1605" s="27" t="s">
        <v>12</v>
      </c>
      <c r="M1605" s="27" t="s">
        <v>448</v>
      </c>
      <c r="N1605" s="27" t="str">
        <f>IF(K1605="N/A","No", IF(K1605&gt;=20,"Yes","No"))</f>
        <v>No</v>
      </c>
      <c r="O1605" s="27" t="str">
        <f>IF(K1605="Not","No",IF(K1605="n/a","N/A",IF(K1605&gt;=$Y$5,"Yes","No")))</f>
        <v>No</v>
      </c>
      <c r="U1605" s="27" t="s">
        <v>101</v>
      </c>
      <c r="V1605" s="27" t="s">
        <v>9</v>
      </c>
      <c r="W1605" s="27" t="s">
        <v>9</v>
      </c>
      <c r="X1605" s="27" t="str">
        <f>IF(V1605="N/A","N/A",IF(W1605="N/A", "N/A", IF(V1605=W1605, "Yes","No")))</f>
        <v>Yes</v>
      </c>
    </row>
    <row r="1606" spans="1:38" x14ac:dyDescent="0.2">
      <c r="J1606" s="27" t="s">
        <v>29</v>
      </c>
      <c r="K1606" s="27">
        <v>0</v>
      </c>
      <c r="L1606" s="27" t="s">
        <v>12</v>
      </c>
      <c r="M1606" s="27" t="s">
        <v>72</v>
      </c>
      <c r="N1606" s="27" t="str">
        <f>IF(K1606="N/A","No", IF(K1606&gt;20,"Yes","No"))</f>
        <v>No</v>
      </c>
      <c r="O1606" s="27" t="str">
        <f t="shared" ref="O1606" si="721">IF(K1606="Not","No",IF(K1606="n/a","N/A",IF(K1606&gt;$Y$6,"Yes","No")))</f>
        <v>No</v>
      </c>
      <c r="U1606" s="27" t="s">
        <v>104</v>
      </c>
      <c r="V1606" s="27" t="s">
        <v>9</v>
      </c>
      <c r="W1606" s="27" t="s">
        <v>9</v>
      </c>
      <c r="X1606" s="27" t="str">
        <f>IF(V1606="N/A","N/A",IF(W1606="N/A", "N/A", IF(V1606=W1606, "Yes","No")))</f>
        <v>Yes</v>
      </c>
    </row>
    <row r="1607" spans="1:38" x14ac:dyDescent="0.2">
      <c r="J1607" s="27" t="s">
        <v>34</v>
      </c>
      <c r="K1607" s="27">
        <v>0</v>
      </c>
      <c r="L1607" s="27" t="s">
        <v>12</v>
      </c>
      <c r="M1607" s="27" t="s">
        <v>74</v>
      </c>
      <c r="N1607" s="27" t="str">
        <f>IF(K1607="N/A","No", IF(K1607&gt;230,"Yes","No"))</f>
        <v>No</v>
      </c>
      <c r="O1607" s="27" t="str">
        <f>IF(K1607="Not","No",IF(K1607="n/a","N/A",IF(K1607&gt;$Y$6,"Yes","No")))</f>
        <v>No</v>
      </c>
      <c r="U1607" s="27" t="s">
        <v>106</v>
      </c>
      <c r="V1607" s="27" t="str">
        <f>R1602</f>
        <v>No</v>
      </c>
      <c r="W1607" s="27" t="str">
        <f>S1602</f>
        <v>No</v>
      </c>
      <c r="X1607" s="27" t="str">
        <f>IF(V1607="N/A","N/A",IF(W1607="N/A", "N/A", IF(V1607=W1607, "Yes","No")))</f>
        <v>Yes</v>
      </c>
    </row>
    <row r="1608" spans="1:38" x14ac:dyDescent="0.2">
      <c r="U1608" s="27" t="s">
        <v>121</v>
      </c>
      <c r="V1608" s="27" t="str">
        <f>R1603</f>
        <v>No</v>
      </c>
      <c r="W1608" s="27" t="str">
        <f>S1603</f>
        <v>No</v>
      </c>
      <c r="X1608" s="27" t="str">
        <f>IF(V1608="N/A","N/A",IF(W1608="N/A", "N/A", IF(V1608=W1608, "Yes","No")))</f>
        <v>Yes</v>
      </c>
    </row>
    <row r="1610" spans="1:38" x14ac:dyDescent="0.2">
      <c r="A1610" s="57">
        <v>1529</v>
      </c>
      <c r="B1610" s="27" t="s">
        <v>319</v>
      </c>
      <c r="C1610" s="27">
        <v>104</v>
      </c>
    </row>
    <row r="1611" spans="1:38" x14ac:dyDescent="0.2">
      <c r="A1611" s="59" t="s">
        <v>0</v>
      </c>
      <c r="E1611" s="27" t="s">
        <v>274</v>
      </c>
      <c r="F1611" s="27" t="s">
        <v>275</v>
      </c>
      <c r="G1611" s="27" t="s">
        <v>119</v>
      </c>
      <c r="J1611" s="59" t="s">
        <v>1</v>
      </c>
      <c r="N1611" s="27" t="s">
        <v>277</v>
      </c>
      <c r="O1611" s="27" t="s">
        <v>278</v>
      </c>
      <c r="Q1611" s="59" t="s">
        <v>115</v>
      </c>
      <c r="R1611" s="59" t="s">
        <v>0</v>
      </c>
      <c r="S1611" s="59" t="s">
        <v>1</v>
      </c>
      <c r="U1611" s="59" t="s">
        <v>115</v>
      </c>
      <c r="V1611" s="59" t="s">
        <v>0</v>
      </c>
      <c r="W1611" s="59" t="s">
        <v>1</v>
      </c>
      <c r="X1611" s="59" t="s">
        <v>122</v>
      </c>
      <c r="AA1611" s="27" t="str">
        <f>IF(R1612="Yes","LRA-Soil","")</f>
        <v/>
      </c>
      <c r="AB1611" s="27" t="str">
        <f>IF(R1613="Yes","LRA-Paint","")</f>
        <v/>
      </c>
      <c r="AC1611" s="27" t="str">
        <f>IF(R1614="Yes","LRA-Dust","")</f>
        <v/>
      </c>
      <c r="AD1611" s="27" t="str">
        <f>IF(S1612="Yes","LSK-Soil","")</f>
        <v/>
      </c>
      <c r="AE1611" s="27" t="str">
        <f>IF(S1613="Yes","LSK-Paint","")</f>
        <v/>
      </c>
      <c r="AF1611" s="27" t="str">
        <f>IF(S1614="Yes","LSK-Dust","")</f>
        <v>LSK-Dust</v>
      </c>
      <c r="AI1611" s="27" t="s">
        <v>46</v>
      </c>
      <c r="AJ1611" s="27" t="s">
        <v>43</v>
      </c>
      <c r="AK1611" s="27" t="s">
        <v>116</v>
      </c>
      <c r="AL1611" s="27" t="s">
        <v>117</v>
      </c>
    </row>
    <row r="1612" spans="1:38" x14ac:dyDescent="0.2">
      <c r="A1612" s="27" t="s">
        <v>63</v>
      </c>
      <c r="B1612" s="27" t="s">
        <v>450</v>
      </c>
      <c r="C1612" s="27">
        <v>0</v>
      </c>
      <c r="D1612" s="27" t="s">
        <v>4</v>
      </c>
      <c r="F1612" s="27" t="str">
        <f t="shared" ref="F1612:F1613" si="722">IF(C1612&gt;=$W$2,"Yes","No")</f>
        <v>No</v>
      </c>
      <c r="G1612" s="27" t="s">
        <v>9</v>
      </c>
      <c r="H1612" s="27" t="s">
        <v>46</v>
      </c>
      <c r="J1612" s="27" t="s">
        <v>6</v>
      </c>
      <c r="K1612" s="27" t="s">
        <v>120</v>
      </c>
      <c r="L1612" s="27" t="s">
        <v>12</v>
      </c>
      <c r="M1612" s="27" t="s">
        <v>66</v>
      </c>
      <c r="N1612" s="27" t="str">
        <f>IF(K1612="N/A","No", IF(K1612&gt;1200,"Yes","No"))</f>
        <v>No</v>
      </c>
      <c r="O1612" s="27" t="str">
        <f>IF(K1612="Not","No",IF(K1612="n/a","N/A",IF(K1612&gt;=$Y$3,"Yes","No")))</f>
        <v>N/A</v>
      </c>
      <c r="Q1612" s="27" t="s">
        <v>116</v>
      </c>
      <c r="R1612" s="27" t="str">
        <f>_xlfn.XLOOKUP("ppm",D1612:D1615,F1612:F1615,"N/A")</f>
        <v>N/A</v>
      </c>
      <c r="S1612" s="27" t="s">
        <v>120</v>
      </c>
      <c r="U1612" s="27" t="s">
        <v>92</v>
      </c>
      <c r="V1612" s="27" t="s">
        <v>120</v>
      </c>
      <c r="W1612" s="27" t="s">
        <v>120</v>
      </c>
      <c r="X1612" s="27" t="str">
        <f>IF(V1612="N/A","N/A",IF(W1612="N/A", "N/A", IF(V1612=W1612, "Yes","No")))</f>
        <v>N/A</v>
      </c>
      <c r="AI1612" s="27">
        <f>COUNTIF(H1612:H1615,"Exterior")</f>
        <v>1</v>
      </c>
      <c r="AJ1612" s="27">
        <f>COUNTIF(H1612:H1615, "Interior")</f>
        <v>1</v>
      </c>
      <c r="AK1612" s="27">
        <f>COUNTIFS(D1612:D1615,"ppm")+COUNTIFS(D1612:D1615,"mg/Kg")</f>
        <v>0</v>
      </c>
      <c r="AL1612" s="27">
        <f>COUNTIF(D1612:D1615,"ug/ft2")</f>
        <v>2</v>
      </c>
    </row>
    <row r="1613" spans="1:38" x14ac:dyDescent="0.2">
      <c r="A1613" s="27" t="s">
        <v>109</v>
      </c>
      <c r="B1613" s="27" t="s">
        <v>40</v>
      </c>
      <c r="C1613" s="27">
        <v>0.24</v>
      </c>
      <c r="D1613" s="27" t="s">
        <v>4</v>
      </c>
      <c r="F1613" s="27" t="str">
        <f t="shared" si="722"/>
        <v>No</v>
      </c>
      <c r="G1613" s="27" t="s">
        <v>9</v>
      </c>
      <c r="H1613" s="27" t="s">
        <v>43</v>
      </c>
      <c r="J1613" s="27" t="s">
        <v>11</v>
      </c>
      <c r="K1613" s="27" t="s">
        <v>120</v>
      </c>
      <c r="L1613" s="27" t="s">
        <v>12</v>
      </c>
      <c r="M1613" s="27" t="s">
        <v>66</v>
      </c>
      <c r="N1613" s="27" t="str">
        <f t="shared" ref="N1613:N1614" si="723">IF(K1613="N/A","No", IF(K1613&gt;1200,"Yes","No"))</f>
        <v>No</v>
      </c>
      <c r="O1613" s="27" t="str">
        <f t="shared" ref="O1613:O1614" si="724">IF(K1613="Not","No",IF(K1613="n/a","N/A",IF(K1613&gt;$Y$3,"Yes","No")))</f>
        <v>N/A</v>
      </c>
      <c r="Q1613" s="27" t="s">
        <v>98</v>
      </c>
      <c r="R1613" s="27" t="str">
        <f>IF(COUNTIFS(D1612:D1615,"mg/cm2",G1612:G1615,"Yes")&gt;=1, "Yes","No")</f>
        <v>No</v>
      </c>
      <c r="S1613" s="27" t="str">
        <f>IF(COUNTIF(O1615:O1616,"Yes"),"Yes","No")</f>
        <v>No</v>
      </c>
      <c r="U1613" s="27" t="s">
        <v>95</v>
      </c>
      <c r="V1613" s="27" t="str">
        <f>R1612</f>
        <v>N/A</v>
      </c>
      <c r="W1613" s="27" t="s">
        <v>120</v>
      </c>
      <c r="X1613" s="27" t="str">
        <f t="shared" ref="X1613:X1616" si="725">IF(V1613="N/A","N/A",IF(W1613="N/A", "N/A", IF(V1613=W1613, "Yes","No")))</f>
        <v>N/A</v>
      </c>
    </row>
    <row r="1614" spans="1:38" x14ac:dyDescent="0.2">
      <c r="A1614" s="27" t="s">
        <v>109</v>
      </c>
      <c r="B1614" s="27" t="s">
        <v>54</v>
      </c>
      <c r="C1614" s="27">
        <v>24</v>
      </c>
      <c r="D1614" s="27" t="s">
        <v>33</v>
      </c>
      <c r="F1614" s="27" t="str">
        <f>IF(C1614&gt;$W$5,"Yes","No")</f>
        <v>No</v>
      </c>
      <c r="G1614" s="27" t="s">
        <v>9</v>
      </c>
      <c r="J1614" s="27" t="s">
        <v>15</v>
      </c>
      <c r="K1614" s="27" t="s">
        <v>120</v>
      </c>
      <c r="L1614" s="27" t="s">
        <v>12</v>
      </c>
      <c r="M1614" s="27" t="s">
        <v>66</v>
      </c>
      <c r="N1614" s="27" t="str">
        <f t="shared" si="723"/>
        <v>No</v>
      </c>
      <c r="O1614" s="27" t="str">
        <f t="shared" si="724"/>
        <v>N/A</v>
      </c>
      <c r="Q1614" s="27" t="s">
        <v>117</v>
      </c>
      <c r="R1614" s="27" t="str">
        <f>_xlfn.XLOOKUP("ug/ft2",D1612:D1615,F1612:F1615,"N/A")</f>
        <v>No</v>
      </c>
      <c r="S1614" s="27" t="str">
        <f>IF(COUNTIF(O1617:O1620,"Yes"),"Yes","No")</f>
        <v>Yes</v>
      </c>
      <c r="U1614" s="27" t="s">
        <v>163</v>
      </c>
      <c r="V1614" s="27" t="s">
        <v>9</v>
      </c>
      <c r="W1614" s="27" t="s">
        <v>9</v>
      </c>
      <c r="X1614" s="27" t="str">
        <f t="shared" si="725"/>
        <v>Yes</v>
      </c>
    </row>
    <row r="1615" spans="1:38" x14ac:dyDescent="0.2">
      <c r="A1615" s="27" t="s">
        <v>71</v>
      </c>
      <c r="B1615" s="27" t="s">
        <v>32</v>
      </c>
      <c r="C1615" s="27">
        <v>5.2</v>
      </c>
      <c r="D1615" s="27" t="s">
        <v>33</v>
      </c>
      <c r="F1615" s="27" t="str">
        <f>IF(C1615&gt;$W$6,"Yes","No")</f>
        <v>No</v>
      </c>
      <c r="G1615" s="27" t="s">
        <v>9</v>
      </c>
      <c r="J1615" s="27" t="s">
        <v>19</v>
      </c>
      <c r="K1615" s="27">
        <v>0</v>
      </c>
      <c r="L1615" s="27" t="s">
        <v>12</v>
      </c>
      <c r="M1615" s="27" t="s">
        <v>449</v>
      </c>
      <c r="N1615" s="27" t="str">
        <f>IF(K1615="N/A","No", IF(K1615&gt;5000,"Yes","No"))</f>
        <v>No</v>
      </c>
      <c r="O1615" s="27" t="str">
        <f>IF(K1615="Not","No",IF(K1615="n/a","N/A",IF(K1615&gt;$Y$2,"Yes","No")))</f>
        <v>No</v>
      </c>
      <c r="Q1615" s="27" t="s">
        <v>118</v>
      </c>
      <c r="R1615" s="27" t="str">
        <f>IF(COUNTIF(R1612:R1614,"Yes"),"Yes","No")</f>
        <v>No</v>
      </c>
      <c r="S1615" s="27" t="str">
        <f>IF(COUNTIF(S1612:S1614,"Yes"),"Yes","No")</f>
        <v>Yes</v>
      </c>
      <c r="U1615" s="27" t="s">
        <v>164</v>
      </c>
      <c r="V1615" s="27" t="s">
        <v>9</v>
      </c>
      <c r="W1615" s="27" t="s">
        <v>9</v>
      </c>
      <c r="X1615" s="27" t="str">
        <f t="shared" si="725"/>
        <v>Yes</v>
      </c>
    </row>
    <row r="1616" spans="1:38" x14ac:dyDescent="0.2">
      <c r="J1616" s="27" t="s">
        <v>22</v>
      </c>
      <c r="K1616" s="27">
        <v>0</v>
      </c>
      <c r="L1616" s="27" t="s">
        <v>12</v>
      </c>
      <c r="M1616" s="27" t="s">
        <v>402</v>
      </c>
      <c r="N1616" s="27" t="str">
        <f>IF(K1616="N/A","No", IF(K1616&gt;5000,"Yes","No"))</f>
        <v>No</v>
      </c>
      <c r="O1616" s="27" t="str">
        <f>IF(K1616="Not","No",IF(K1616="n/a","N/A",IF(K1616&gt;$Y$2,"Yes","No")))</f>
        <v>No</v>
      </c>
      <c r="U1616" s="27" t="s">
        <v>162</v>
      </c>
      <c r="V1616" s="27" t="str">
        <f>R1613</f>
        <v>No</v>
      </c>
      <c r="W1616" s="27" t="str">
        <f>S1613</f>
        <v>No</v>
      </c>
      <c r="X1616" s="27" t="str">
        <f t="shared" si="725"/>
        <v>Yes</v>
      </c>
    </row>
    <row r="1617" spans="1:38" x14ac:dyDescent="0.2">
      <c r="J1617" s="27" t="s">
        <v>25</v>
      </c>
      <c r="K1617" s="27">
        <v>9</v>
      </c>
      <c r="L1617" s="27" t="s">
        <v>12</v>
      </c>
      <c r="M1617" s="27" t="s">
        <v>59</v>
      </c>
      <c r="N1617" s="27" t="str">
        <f>IF(K1617="N/A","No", IF(K1617&gt;=20,"Yes","No"))</f>
        <v>No</v>
      </c>
      <c r="O1617" s="27" t="str">
        <f>IF(K1617="Not","No",IF(K1617="n/a","N/A",IF(K1617&gt;=$Y$5,"Yes","No")))</f>
        <v>No</v>
      </c>
      <c r="U1617" s="27" t="s">
        <v>101</v>
      </c>
      <c r="V1617" s="27" t="s">
        <v>9</v>
      </c>
      <c r="W1617" s="27" t="s">
        <v>5</v>
      </c>
      <c r="X1617" s="27" t="str">
        <f>IF(V1617="N/A","N/A",IF(W1617="N/A", "N/A", IF(V1617=W1617, "Yes","No")))</f>
        <v>No</v>
      </c>
    </row>
    <row r="1618" spans="1:38" x14ac:dyDescent="0.2">
      <c r="J1618" s="27" t="s">
        <v>29</v>
      </c>
      <c r="K1618" s="27">
        <v>27</v>
      </c>
      <c r="L1618" s="27" t="s">
        <v>12</v>
      </c>
      <c r="M1618" s="27" t="s">
        <v>72</v>
      </c>
      <c r="N1618" s="27" t="str">
        <f>IF(K1618="N/A","No", IF(K1618&gt;20,"Yes","No"))</f>
        <v>Yes</v>
      </c>
      <c r="O1618" s="27" t="str">
        <f t="shared" ref="O1618" si="726">IF(K1618="Not","No",IF(K1618="n/a","N/A",IF(K1618&gt;$Y$6,"Yes","No")))</f>
        <v>Yes</v>
      </c>
      <c r="U1618" s="27" t="s">
        <v>104</v>
      </c>
      <c r="V1618" s="27" t="s">
        <v>9</v>
      </c>
      <c r="W1618" s="27" t="s">
        <v>9</v>
      </c>
      <c r="X1618" s="27" t="str">
        <f>IF(V1618="N/A","N/A",IF(W1618="N/A", "N/A", IF(V1618=W1618, "Yes","No")))</f>
        <v>Yes</v>
      </c>
    </row>
    <row r="1619" spans="1:38" x14ac:dyDescent="0.2">
      <c r="J1619" s="27" t="s">
        <v>34</v>
      </c>
      <c r="K1619" s="27">
        <v>12</v>
      </c>
      <c r="L1619" s="27" t="s">
        <v>12</v>
      </c>
      <c r="M1619" s="27" t="s">
        <v>74</v>
      </c>
      <c r="N1619" s="27" t="str">
        <f>IF(K1619="N/A","No", IF(K1619&gt;230,"Yes","No"))</f>
        <v>No</v>
      </c>
      <c r="O1619" s="27" t="str">
        <f>IF(K1619="Not","No",IF(K1619="n/a","N/A",IF(K1619&gt;$Y$6,"Yes","No")))</f>
        <v>No</v>
      </c>
      <c r="U1619" s="27" t="s">
        <v>106</v>
      </c>
      <c r="V1619" s="27" t="str">
        <f>R1614</f>
        <v>No</v>
      </c>
      <c r="W1619" s="27" t="str">
        <f>S1614</f>
        <v>Yes</v>
      </c>
      <c r="X1619" s="27" t="str">
        <f>IF(V1619="N/A","N/A",IF(W1619="N/A", "N/A", IF(V1619=W1619, "Yes","No")))</f>
        <v>No</v>
      </c>
    </row>
    <row r="1620" spans="1:38" x14ac:dyDescent="0.2">
      <c r="U1620" s="27" t="s">
        <v>121</v>
      </c>
      <c r="V1620" s="27" t="str">
        <f>R1615</f>
        <v>No</v>
      </c>
      <c r="W1620" s="27" t="str">
        <f>S1615</f>
        <v>Yes</v>
      </c>
      <c r="X1620" s="27" t="str">
        <f>IF(V1620="N/A","N/A",IF(W1620="N/A", "N/A", IF(V1620=W1620, "Yes","No")))</f>
        <v>No</v>
      </c>
    </row>
    <row r="1621" spans="1:38" x14ac:dyDescent="0.2">
      <c r="A1621" s="27">
        <v>1533</v>
      </c>
      <c r="B1621" s="27" t="s">
        <v>319</v>
      </c>
      <c r="C1621" s="27">
        <v>105</v>
      </c>
    </row>
    <row r="1622" spans="1:38" x14ac:dyDescent="0.2">
      <c r="A1622" s="59" t="s">
        <v>0</v>
      </c>
      <c r="E1622" s="27" t="s">
        <v>274</v>
      </c>
      <c r="F1622" s="27" t="s">
        <v>275</v>
      </c>
      <c r="G1622" s="27" t="s">
        <v>119</v>
      </c>
      <c r="J1622" s="59" t="s">
        <v>1</v>
      </c>
      <c r="N1622" s="27" t="s">
        <v>277</v>
      </c>
      <c r="O1622" s="27" t="s">
        <v>278</v>
      </c>
      <c r="Q1622" s="59" t="s">
        <v>115</v>
      </c>
      <c r="R1622" s="59" t="s">
        <v>0</v>
      </c>
      <c r="S1622" s="59" t="s">
        <v>1</v>
      </c>
      <c r="U1622" s="59" t="s">
        <v>115</v>
      </c>
      <c r="V1622" s="59" t="s">
        <v>0</v>
      </c>
      <c r="W1622" s="59" t="s">
        <v>1</v>
      </c>
      <c r="X1622" s="59" t="s">
        <v>122</v>
      </c>
      <c r="AA1622" s="27" t="str">
        <f>IF(R1623="Yes","LRA-Soil","")</f>
        <v/>
      </c>
      <c r="AB1622" s="27" t="str">
        <f>IF(R1624="Yes","LRA-Paint","")</f>
        <v>LRA-Paint</v>
      </c>
      <c r="AC1622" s="27" t="str">
        <f>IF(R1625="Yes","LRA-Dust","")</f>
        <v/>
      </c>
      <c r="AD1622" s="27" t="str">
        <f>IF(S1623="Yes","LSK-Soil","")</f>
        <v/>
      </c>
      <c r="AE1622" s="27" t="str">
        <f>IF(S1624="Yes","LSK-Paint","")</f>
        <v/>
      </c>
      <c r="AF1622" s="27" t="str">
        <f>IF(S1625="Yes","LSK-Dust","")</f>
        <v>LSK-Dust</v>
      </c>
      <c r="AI1622" s="27" t="s">
        <v>46</v>
      </c>
      <c r="AJ1622" s="27" t="s">
        <v>43</v>
      </c>
      <c r="AK1622" s="27" t="s">
        <v>116</v>
      </c>
      <c r="AL1622" s="27" t="s">
        <v>117</v>
      </c>
    </row>
    <row r="1623" spans="1:38" x14ac:dyDescent="0.2">
      <c r="A1623" s="27" t="s">
        <v>63</v>
      </c>
      <c r="B1623" s="27" t="s">
        <v>18</v>
      </c>
      <c r="C1623" s="27">
        <v>0</v>
      </c>
      <c r="D1623" s="27" t="s">
        <v>4</v>
      </c>
      <c r="F1623" s="27" t="str">
        <f t="shared" ref="F1623:F1630" si="727">IF(C1623&gt;=$W$2,"Yes","No")</f>
        <v>No</v>
      </c>
      <c r="G1623" s="27" t="s">
        <v>9</v>
      </c>
      <c r="H1623" s="27" t="s">
        <v>46</v>
      </c>
      <c r="J1623" s="27" t="s">
        <v>6</v>
      </c>
      <c r="K1623" s="27">
        <v>374</v>
      </c>
      <c r="L1623" s="27" t="s">
        <v>12</v>
      </c>
      <c r="M1623" s="27" t="s">
        <v>36</v>
      </c>
      <c r="N1623" s="27" t="str">
        <f>IF(K1623="N/A","No", IF(K1623&gt;1200,"Yes","No"))</f>
        <v>No</v>
      </c>
      <c r="O1623" s="27" t="str">
        <f>IF(K1623="Not","No",IF(K1623="n/a","N/A",IF(K1623&gt;=$Y$3,"Yes","No")))</f>
        <v>No</v>
      </c>
      <c r="Q1623" s="27" t="s">
        <v>116</v>
      </c>
      <c r="R1623" s="27" t="str">
        <f>_xlfn.XLOOKUP("ppm",D1623:D1632,F1623:F1632,"N/A")</f>
        <v>No</v>
      </c>
      <c r="S1623" s="27" t="str">
        <f>IF(COUNTIF(O1623:O1625,"Yes"),"Yes","No")</f>
        <v>No</v>
      </c>
      <c r="U1623" s="27" t="s">
        <v>92</v>
      </c>
      <c r="V1623" s="27" t="s">
        <v>120</v>
      </c>
      <c r="W1623" s="27" t="s">
        <v>120</v>
      </c>
      <c r="X1623" s="27" t="str">
        <f>IF(V1623="N/A","N/A",IF(W1623="N/A", "N/A", IF(V1623=W1623, "Yes","No")))</f>
        <v>N/A</v>
      </c>
      <c r="AI1623" s="27">
        <f>COUNTIF(H1623:H1632,"Exterior")</f>
        <v>1</v>
      </c>
      <c r="AJ1623" s="27">
        <f>COUNTIF(H1623:H1632, "Interior")</f>
        <v>5</v>
      </c>
      <c r="AK1623" s="27">
        <f>COUNTIFS(D1623:D1632,"ppm")+COUNTIFS(D1623:D1632,"mg/Kg")</f>
        <v>2</v>
      </c>
      <c r="AL1623" s="27">
        <f>COUNTIF(D1623:D1632,"ug/ft2")</f>
        <v>2</v>
      </c>
    </row>
    <row r="1624" spans="1:38" x14ac:dyDescent="0.2">
      <c r="A1624" s="27" t="s">
        <v>75</v>
      </c>
      <c r="B1624" s="27" t="s">
        <v>69</v>
      </c>
      <c r="C1624" s="27">
        <v>200</v>
      </c>
      <c r="D1624" s="27" t="s">
        <v>12</v>
      </c>
      <c r="F1624" s="27" t="str">
        <f t="shared" ref="F1624:F1625" si="728">IF(C1624&gt;=$W$3,"Yes","No")</f>
        <v>No</v>
      </c>
      <c r="G1624" s="27" t="s">
        <v>9</v>
      </c>
      <c r="J1624" s="27" t="s">
        <v>11</v>
      </c>
      <c r="K1624" s="27">
        <v>60</v>
      </c>
      <c r="L1624" s="27" t="s">
        <v>12</v>
      </c>
      <c r="M1624" s="27" t="s">
        <v>38</v>
      </c>
      <c r="N1624" s="27" t="str">
        <f t="shared" ref="N1624:N1625" si="729">IF(K1624="N/A","No", IF(K1624&gt;1200,"Yes","No"))</f>
        <v>No</v>
      </c>
      <c r="O1624" s="27" t="str">
        <f t="shared" ref="O1624:O1625" si="730">IF(K1624="Not","No",IF(K1624="n/a","N/A",IF(K1624&gt;$Y$3,"Yes","No")))</f>
        <v>No</v>
      </c>
      <c r="Q1624" s="27" t="s">
        <v>98</v>
      </c>
      <c r="R1624" s="27" t="str">
        <f>IF(COUNTIFS(D1623:D1632,"mg/cm2",G1623:G1632,"Yes")&gt;=1, "Yes","No")</f>
        <v>Yes</v>
      </c>
      <c r="S1624" s="27" t="str">
        <f>IF(COUNTIF(O1626:O1627,"Yes"),"Yes","No")</f>
        <v>No</v>
      </c>
      <c r="U1624" s="27" t="s">
        <v>95</v>
      </c>
      <c r="V1624" s="27" t="str">
        <f>R1623</f>
        <v>No</v>
      </c>
      <c r="W1624" s="27" t="str">
        <f>S1623</f>
        <v>No</v>
      </c>
      <c r="X1624" s="27" t="str">
        <f t="shared" ref="X1624:X1627" si="731">IF(V1624="N/A","N/A",IF(W1624="N/A", "N/A", IF(V1624=W1624, "Yes","No")))</f>
        <v>Yes</v>
      </c>
    </row>
    <row r="1625" spans="1:38" x14ac:dyDescent="0.2">
      <c r="A1625" s="27" t="s">
        <v>75</v>
      </c>
      <c r="B1625" s="27" t="s">
        <v>301</v>
      </c>
      <c r="C1625" s="27">
        <v>390</v>
      </c>
      <c r="D1625" s="27" t="s">
        <v>12</v>
      </c>
      <c r="F1625" s="27" t="str">
        <f t="shared" si="728"/>
        <v>No</v>
      </c>
      <c r="G1625" s="27" t="s">
        <v>9</v>
      </c>
      <c r="J1625" s="27" t="s">
        <v>15</v>
      </c>
      <c r="K1625" s="27">
        <v>97</v>
      </c>
      <c r="L1625" s="27" t="s">
        <v>12</v>
      </c>
      <c r="M1625" s="27" t="s">
        <v>41</v>
      </c>
      <c r="N1625" s="27" t="str">
        <f t="shared" si="729"/>
        <v>No</v>
      </c>
      <c r="O1625" s="27" t="str">
        <f t="shared" si="730"/>
        <v>No</v>
      </c>
      <c r="Q1625" s="27" t="s">
        <v>117</v>
      </c>
      <c r="R1625" s="27" t="str">
        <f>_xlfn.XLOOKUP("ug/ft2",D1623:D1632,F1623:F1632,"N/A")</f>
        <v>No</v>
      </c>
      <c r="S1625" s="27" t="str">
        <f>IF(COUNTIF(O1628:O1631,"Yes"),"Yes","No")</f>
        <v>Yes</v>
      </c>
      <c r="U1625" s="27" t="s">
        <v>163</v>
      </c>
      <c r="V1625" s="27" t="s">
        <v>5</v>
      </c>
      <c r="W1625" s="27" t="s">
        <v>9</v>
      </c>
      <c r="X1625" s="27" t="str">
        <f t="shared" si="731"/>
        <v>No</v>
      </c>
    </row>
    <row r="1626" spans="1:38" x14ac:dyDescent="0.2">
      <c r="A1626" s="27" t="s">
        <v>245</v>
      </c>
      <c r="B1626" s="27" t="s">
        <v>10</v>
      </c>
      <c r="C1626" s="27">
        <v>6</v>
      </c>
      <c r="D1626" s="27" t="s">
        <v>4</v>
      </c>
      <c r="F1626" s="27" t="str">
        <f t="shared" si="727"/>
        <v>Yes</v>
      </c>
      <c r="G1626" s="27" t="s">
        <v>5</v>
      </c>
      <c r="H1626" s="27" t="s">
        <v>43</v>
      </c>
      <c r="J1626" s="27" t="s">
        <v>19</v>
      </c>
      <c r="K1626" s="27">
        <v>282</v>
      </c>
      <c r="L1626" s="27" t="s">
        <v>12</v>
      </c>
      <c r="M1626" s="27" t="s">
        <v>444</v>
      </c>
      <c r="N1626" s="27" t="str">
        <f>IF(K1626="N/A","No", IF(K1626&gt;5000,"Yes","No"))</f>
        <v>No</v>
      </c>
      <c r="O1626" s="27" t="str">
        <f>IF(K1626="Not","No",IF(K1626="n/a","N/A",IF(K1626&gt;$Y$2,"Yes","No")))</f>
        <v>No</v>
      </c>
      <c r="Q1626" s="27" t="s">
        <v>118</v>
      </c>
      <c r="R1626" s="27" t="str">
        <f>IF(COUNTIF(R1623:R1625,"Yes"),"Yes","No")</f>
        <v>Yes</v>
      </c>
      <c r="S1626" s="27" t="str">
        <f>IF(COUNTIF(S1623:S1625,"Yes"),"Yes","No")</f>
        <v>Yes</v>
      </c>
      <c r="U1626" s="27" t="s">
        <v>164</v>
      </c>
      <c r="V1626" s="27" t="s">
        <v>9</v>
      </c>
      <c r="W1626" s="27" t="s">
        <v>9</v>
      </c>
      <c r="X1626" s="27" t="str">
        <f t="shared" si="731"/>
        <v>Yes</v>
      </c>
    </row>
    <row r="1627" spans="1:38" x14ac:dyDescent="0.2">
      <c r="A1627" s="27" t="s">
        <v>64</v>
      </c>
      <c r="B1627" s="27" t="s">
        <v>10</v>
      </c>
      <c r="C1627" s="27">
        <v>1.3</v>
      </c>
      <c r="D1627" s="27" t="s">
        <v>4</v>
      </c>
      <c r="F1627" s="27" t="str">
        <f t="shared" si="727"/>
        <v>Yes</v>
      </c>
      <c r="G1627" s="27" t="s">
        <v>5</v>
      </c>
      <c r="H1627" s="27" t="s">
        <v>43</v>
      </c>
      <c r="J1627" s="27" t="s">
        <v>22</v>
      </c>
      <c r="K1627" s="27">
        <v>2</v>
      </c>
      <c r="L1627" s="27" t="s">
        <v>12</v>
      </c>
      <c r="M1627" s="27" t="s">
        <v>36</v>
      </c>
      <c r="N1627" s="27" t="str">
        <f>IF(K1627="N/A","No", IF(K1627&gt;5000,"Yes","No"))</f>
        <v>No</v>
      </c>
      <c r="O1627" s="27" t="str">
        <f>IF(K1627="Not","No",IF(K1627="n/a","N/A",IF(K1627&gt;$Y$2,"Yes","No")))</f>
        <v>No</v>
      </c>
      <c r="U1627" s="27" t="s">
        <v>162</v>
      </c>
      <c r="V1627" s="27" t="str">
        <f>R1624</f>
        <v>Yes</v>
      </c>
      <c r="W1627" s="27" t="str">
        <f>S1624</f>
        <v>No</v>
      </c>
      <c r="X1627" s="27" t="str">
        <f t="shared" si="731"/>
        <v>No</v>
      </c>
    </row>
    <row r="1628" spans="1:38" x14ac:dyDescent="0.2">
      <c r="A1628" s="27" t="s">
        <v>64</v>
      </c>
      <c r="B1628" s="27" t="s">
        <v>10</v>
      </c>
      <c r="C1628" s="27">
        <v>1.8</v>
      </c>
      <c r="D1628" s="27" t="s">
        <v>4</v>
      </c>
      <c r="F1628" s="27" t="str">
        <f t="shared" si="727"/>
        <v>Yes</v>
      </c>
      <c r="G1628" s="27" t="s">
        <v>5</v>
      </c>
      <c r="H1628" s="27" t="s">
        <v>43</v>
      </c>
      <c r="J1628" s="27" t="s">
        <v>25</v>
      </c>
      <c r="K1628" s="27">
        <v>7</v>
      </c>
      <c r="L1628" s="27" t="s">
        <v>12</v>
      </c>
      <c r="M1628" s="27" t="s">
        <v>48</v>
      </c>
      <c r="N1628" s="27" t="str">
        <f>IF(K1628="N/A","No", IF(K1628&gt;=20,"Yes","No"))</f>
        <v>No</v>
      </c>
      <c r="O1628" s="27" t="str">
        <f>IF(K1628="Not","No",IF(K1628="n/a","N/A",IF(K1628&gt;=$Y$5,"Yes","No")))</f>
        <v>No</v>
      </c>
      <c r="U1628" s="27" t="s">
        <v>101</v>
      </c>
      <c r="V1628" s="27" t="s">
        <v>9</v>
      </c>
      <c r="W1628" s="27" t="s">
        <v>5</v>
      </c>
      <c r="X1628" s="27" t="str">
        <f>IF(V1628="N/A","N/A",IF(W1628="N/A", "N/A", IF(V1628=W1628, "Yes","No")))</f>
        <v>No</v>
      </c>
    </row>
    <row r="1629" spans="1:38" x14ac:dyDescent="0.2">
      <c r="A1629" s="27" t="s">
        <v>64</v>
      </c>
      <c r="B1629" s="27" t="s">
        <v>40</v>
      </c>
      <c r="C1629" s="27">
        <v>1.9</v>
      </c>
      <c r="D1629" s="27" t="s">
        <v>4</v>
      </c>
      <c r="F1629" s="27" t="str">
        <f t="shared" si="727"/>
        <v>Yes</v>
      </c>
      <c r="G1629" s="27" t="s">
        <v>5</v>
      </c>
      <c r="H1629" s="27" t="s">
        <v>43</v>
      </c>
      <c r="J1629" s="27" t="s">
        <v>29</v>
      </c>
      <c r="K1629" s="27">
        <v>0</v>
      </c>
      <c r="L1629" s="27" t="s">
        <v>12</v>
      </c>
      <c r="M1629" s="27" t="s">
        <v>72</v>
      </c>
      <c r="N1629" s="27" t="str">
        <f>IF(K1629="N/A","No", IF(K1629&gt;20,"Yes","No"))</f>
        <v>No</v>
      </c>
      <c r="O1629" s="27" t="str">
        <f t="shared" ref="O1629" si="732">IF(K1629="Not","No",IF(K1629="n/a","N/A",IF(K1629&gt;$Y$6,"Yes","No")))</f>
        <v>No</v>
      </c>
      <c r="U1629" s="27" t="s">
        <v>104</v>
      </c>
      <c r="V1629" s="27" t="s">
        <v>9</v>
      </c>
      <c r="W1629" s="27" t="s">
        <v>9</v>
      </c>
      <c r="X1629" s="27" t="str">
        <f>IF(V1629="N/A","N/A",IF(W1629="N/A", "N/A", IF(V1629=W1629, "Yes","No")))</f>
        <v>Yes</v>
      </c>
    </row>
    <row r="1630" spans="1:38" x14ac:dyDescent="0.2">
      <c r="A1630" s="27" t="s">
        <v>64</v>
      </c>
      <c r="B1630" s="27" t="s">
        <v>40</v>
      </c>
      <c r="C1630" s="27">
        <v>3.2</v>
      </c>
      <c r="D1630" s="27" t="s">
        <v>4</v>
      </c>
      <c r="F1630" s="27" t="str">
        <f t="shared" si="727"/>
        <v>Yes</v>
      </c>
      <c r="G1630" s="27" t="s">
        <v>5</v>
      </c>
      <c r="H1630" s="27" t="s">
        <v>43</v>
      </c>
      <c r="J1630" s="27" t="s">
        <v>34</v>
      </c>
      <c r="K1630" s="27">
        <v>125</v>
      </c>
      <c r="L1630" s="27" t="s">
        <v>12</v>
      </c>
      <c r="M1630" s="27" t="s">
        <v>451</v>
      </c>
      <c r="N1630" s="27" t="str">
        <f>IF(K1630="N/A","No", IF(K1630&gt;230,"Yes","No"))</f>
        <v>No</v>
      </c>
      <c r="O1630" s="27" t="str">
        <f>IF(K1630="Not","No",IF(K1630="n/a","N/A",IF(K1630&gt;$Y$6,"Yes","No")))</f>
        <v>Yes</v>
      </c>
      <c r="U1630" s="27" t="s">
        <v>106</v>
      </c>
      <c r="V1630" s="27" t="str">
        <f>R1625</f>
        <v>No</v>
      </c>
      <c r="W1630" s="27" t="str">
        <f>S1625</f>
        <v>Yes</v>
      </c>
      <c r="X1630" s="27" t="str">
        <f>IF(V1630="N/A","N/A",IF(W1630="N/A", "N/A", IF(V1630=W1630, "Yes","No")))</f>
        <v>No</v>
      </c>
    </row>
    <row r="1631" spans="1:38" x14ac:dyDescent="0.2">
      <c r="A1631" s="27" t="s">
        <v>71</v>
      </c>
      <c r="B1631" s="27" t="s">
        <v>32</v>
      </c>
      <c r="C1631" s="27">
        <v>4.7</v>
      </c>
      <c r="D1631" s="27" t="s">
        <v>33</v>
      </c>
      <c r="F1631" s="27" t="str">
        <f>IF(C1631&gt;$W$6,"Yes","No")</f>
        <v>No</v>
      </c>
      <c r="G1631" s="27" t="s">
        <v>9</v>
      </c>
      <c r="U1631" s="27" t="s">
        <v>121</v>
      </c>
      <c r="V1631" s="27" t="str">
        <f>R1626</f>
        <v>Yes</v>
      </c>
      <c r="W1631" s="27" t="str">
        <f>S1626</f>
        <v>Yes</v>
      </c>
      <c r="X1631" s="27" t="str">
        <f>IF(V1631="N/A","N/A",IF(W1631="N/A", "N/A", IF(V1631=W1631, "Yes","No")))</f>
        <v>Yes</v>
      </c>
    </row>
    <row r="1632" spans="1:38" x14ac:dyDescent="0.2">
      <c r="A1632" s="27" t="s">
        <v>158</v>
      </c>
      <c r="B1632" s="27" t="s">
        <v>54</v>
      </c>
      <c r="C1632" s="27">
        <v>18</v>
      </c>
      <c r="D1632" s="27" t="s">
        <v>33</v>
      </c>
      <c r="F1632" s="27" t="str">
        <f>IF(C1632&gt;$W$5,"Yes","No")</f>
        <v>No</v>
      </c>
      <c r="G1632" s="27" t="s">
        <v>9</v>
      </c>
    </row>
    <row r="1635" spans="1:38" x14ac:dyDescent="0.2">
      <c r="A1635" s="27">
        <v>1532</v>
      </c>
      <c r="B1635" s="27" t="s">
        <v>319</v>
      </c>
      <c r="C1635" s="27">
        <v>106</v>
      </c>
    </row>
    <row r="1636" spans="1:38" x14ac:dyDescent="0.2">
      <c r="A1636" s="59" t="s">
        <v>0</v>
      </c>
      <c r="E1636" s="27" t="s">
        <v>274</v>
      </c>
      <c r="F1636" s="27" t="s">
        <v>275</v>
      </c>
      <c r="G1636" s="27" t="s">
        <v>119</v>
      </c>
      <c r="J1636" s="59" t="s">
        <v>1</v>
      </c>
      <c r="N1636" s="27" t="s">
        <v>277</v>
      </c>
      <c r="O1636" s="27" t="s">
        <v>278</v>
      </c>
      <c r="Q1636" s="59" t="s">
        <v>115</v>
      </c>
      <c r="R1636" s="59" t="s">
        <v>0</v>
      </c>
      <c r="S1636" s="59" t="s">
        <v>1</v>
      </c>
      <c r="U1636" s="59" t="s">
        <v>115</v>
      </c>
      <c r="V1636" s="59" t="s">
        <v>0</v>
      </c>
      <c r="W1636" s="59" t="s">
        <v>1</v>
      </c>
      <c r="X1636" s="59" t="s">
        <v>122</v>
      </c>
      <c r="AA1636" s="27" t="str">
        <f>IF(R1637="Yes","LRA-Soil","")</f>
        <v/>
      </c>
      <c r="AB1636" s="27" t="str">
        <f>IF(R1638="Yes","LRA-Paint","")</f>
        <v>LRA-Paint</v>
      </c>
      <c r="AC1636" s="27" t="str">
        <f>IF(R1639="Yes","LRA-Dust","")</f>
        <v/>
      </c>
      <c r="AD1636" s="27" t="str">
        <f>IF(S1637="Yes","LSK-Soil","")</f>
        <v/>
      </c>
      <c r="AE1636" s="27" t="str">
        <f>IF(S1638="Yes","LSK-Paint","")</f>
        <v>LSK-Paint</v>
      </c>
      <c r="AF1636" s="27" t="str">
        <f>IF(S1639="Yes","LSK-Dust","")</f>
        <v>LSK-Dust</v>
      </c>
      <c r="AI1636" s="27" t="s">
        <v>46</v>
      </c>
      <c r="AJ1636" s="27" t="s">
        <v>43</v>
      </c>
      <c r="AK1636" s="27" t="s">
        <v>116</v>
      </c>
      <c r="AL1636" s="27" t="s">
        <v>117</v>
      </c>
    </row>
    <row r="1637" spans="1:38" x14ac:dyDescent="0.2">
      <c r="A1637" s="27" t="s">
        <v>62</v>
      </c>
      <c r="B1637" s="27" t="s">
        <v>10</v>
      </c>
      <c r="C1637" s="27">
        <v>7.7</v>
      </c>
      <c r="D1637" s="27" t="s">
        <v>4</v>
      </c>
      <c r="F1637" s="27" t="str">
        <f t="shared" ref="F1637:F1646" si="733">IF(C1637&gt;=$W$2,"Yes","No")</f>
        <v>Yes</v>
      </c>
      <c r="G1637" s="27" t="s">
        <v>5</v>
      </c>
      <c r="H1637" s="27" t="s">
        <v>46</v>
      </c>
      <c r="J1637" s="27" t="s">
        <v>6</v>
      </c>
      <c r="K1637" s="27" t="s">
        <v>120</v>
      </c>
      <c r="L1637" s="27" t="s">
        <v>12</v>
      </c>
      <c r="M1637" s="27" t="s">
        <v>66</v>
      </c>
      <c r="N1637" s="27" t="str">
        <f>IF(K1637="N/A","No", IF(K1637&gt;1200,"Yes","No"))</f>
        <v>No</v>
      </c>
      <c r="O1637" s="27" t="str">
        <f>IF(K1637="Not","No",IF(K1637="n/a","N/A",IF(K1637&gt;=$Y$3,"Yes","No")))</f>
        <v>N/A</v>
      </c>
      <c r="Q1637" s="27" t="s">
        <v>116</v>
      </c>
      <c r="R1637" s="27" t="str">
        <f>_xlfn.XLOOKUP("ppm",D1637:D1646,F1637:F1646,"N/A")</f>
        <v>N/A</v>
      </c>
      <c r="S1637" s="27" t="s">
        <v>120</v>
      </c>
      <c r="U1637" s="27" t="s">
        <v>92</v>
      </c>
      <c r="V1637" s="27" t="s">
        <v>120</v>
      </c>
      <c r="W1637" s="27" t="s">
        <v>120</v>
      </c>
      <c r="X1637" s="27" t="str">
        <f>IF(V1637="N/A","N/A",IF(W1637="N/A", "N/A", IF(V1637=W1637, "Yes","No")))</f>
        <v>N/A</v>
      </c>
      <c r="AI1637" s="27">
        <f>COUNTIF(H1637:H1648,"Exterior")</f>
        <v>6</v>
      </c>
      <c r="AJ1637" s="27">
        <f>COUNTIF(H1637:H1648, "Interior")</f>
        <v>4</v>
      </c>
      <c r="AK1637" s="27">
        <f>COUNTIFS(D1637:D1648,"ppm")+COUNTIFS(D1637:D1648,"mg/Kg")</f>
        <v>0</v>
      </c>
      <c r="AL1637" s="27">
        <f>COUNTIF(D1637:D1648,"ug/ft2")</f>
        <v>2</v>
      </c>
    </row>
    <row r="1638" spans="1:38" x14ac:dyDescent="0.2">
      <c r="A1638" s="27" t="s">
        <v>62</v>
      </c>
      <c r="B1638" s="27" t="s">
        <v>77</v>
      </c>
      <c r="C1638" s="27">
        <v>9</v>
      </c>
      <c r="D1638" s="27" t="s">
        <v>4</v>
      </c>
      <c r="F1638" s="27" t="str">
        <f t="shared" si="733"/>
        <v>Yes</v>
      </c>
      <c r="G1638" s="27" t="s">
        <v>5</v>
      </c>
      <c r="H1638" s="27" t="s">
        <v>46</v>
      </c>
      <c r="J1638" s="27" t="s">
        <v>11</v>
      </c>
      <c r="K1638" s="27" t="s">
        <v>120</v>
      </c>
      <c r="L1638" s="27" t="s">
        <v>12</v>
      </c>
      <c r="M1638" s="27" t="s">
        <v>66</v>
      </c>
      <c r="N1638" s="27" t="str">
        <f t="shared" ref="N1638:N1639" si="734">IF(K1638="N/A","No", IF(K1638&gt;1200,"Yes","No"))</f>
        <v>No</v>
      </c>
      <c r="O1638" s="27" t="str">
        <f t="shared" ref="O1638:O1639" si="735">IF(K1638="Not","No",IF(K1638="n/a","N/A",IF(K1638&gt;$Y$3,"Yes","No")))</f>
        <v>N/A</v>
      </c>
      <c r="Q1638" s="27" t="s">
        <v>98</v>
      </c>
      <c r="R1638" s="27" t="str">
        <f>IF(COUNTIFS(D1637:D1648,"mg/cm2",G1637:G1648,"Yes")&gt;=1, "Yes","No")</f>
        <v>Yes</v>
      </c>
      <c r="S1638" s="27" t="str">
        <f>IF(COUNTIF(O1640:O1641,"Yes"),"Yes","No")</f>
        <v>Yes</v>
      </c>
      <c r="U1638" s="27" t="s">
        <v>95</v>
      </c>
      <c r="V1638" s="27" t="str">
        <f>R1637</f>
        <v>N/A</v>
      </c>
      <c r="W1638" s="27" t="s">
        <v>120</v>
      </c>
      <c r="X1638" s="27" t="str">
        <f t="shared" ref="X1638:X1641" si="736">IF(V1638="N/A","N/A",IF(W1638="N/A", "N/A", IF(V1638=W1638, "Yes","No")))</f>
        <v>N/A</v>
      </c>
    </row>
    <row r="1639" spans="1:38" x14ac:dyDescent="0.2">
      <c r="A1639" s="27" t="s">
        <v>62</v>
      </c>
      <c r="B1639" s="27" t="s">
        <v>18</v>
      </c>
      <c r="C1639" s="27">
        <v>3.9</v>
      </c>
      <c r="D1639" s="27" t="s">
        <v>4</v>
      </c>
      <c r="F1639" s="27" t="str">
        <f t="shared" si="733"/>
        <v>Yes</v>
      </c>
      <c r="G1639" s="27" t="s">
        <v>5</v>
      </c>
      <c r="H1639" s="27" t="s">
        <v>46</v>
      </c>
      <c r="J1639" s="27" t="s">
        <v>15</v>
      </c>
      <c r="K1639" s="27" t="s">
        <v>120</v>
      </c>
      <c r="L1639" s="27" t="s">
        <v>12</v>
      </c>
      <c r="M1639" s="27" t="s">
        <v>66</v>
      </c>
      <c r="N1639" s="27" t="str">
        <f t="shared" si="734"/>
        <v>No</v>
      </c>
      <c r="O1639" s="27" t="str">
        <f t="shared" si="735"/>
        <v>N/A</v>
      </c>
      <c r="Q1639" s="27" t="s">
        <v>117</v>
      </c>
      <c r="R1639" s="27" t="str">
        <f>_xlfn.XLOOKUP("ug/ft2",D1637:D1648,F1637:F1648,"N/A")</f>
        <v>No</v>
      </c>
      <c r="S1639" s="27" t="str">
        <f>IF(COUNTIF(O1642:O1645,"Yes"),"Yes","No")</f>
        <v>Yes</v>
      </c>
      <c r="U1639" s="27" t="s">
        <v>163</v>
      </c>
      <c r="V1639" s="27" t="s">
        <v>5</v>
      </c>
      <c r="W1639" s="27" t="s">
        <v>9</v>
      </c>
      <c r="X1639" s="27" t="str">
        <f t="shared" si="736"/>
        <v>No</v>
      </c>
    </row>
    <row r="1640" spans="1:38" x14ac:dyDescent="0.2">
      <c r="A1640" s="27" t="s">
        <v>62</v>
      </c>
      <c r="B1640" s="27" t="s">
        <v>24</v>
      </c>
      <c r="C1640" s="27">
        <v>1.6</v>
      </c>
      <c r="D1640" s="27" t="s">
        <v>4</v>
      </c>
      <c r="F1640" s="27" t="str">
        <f t="shared" si="733"/>
        <v>Yes</v>
      </c>
      <c r="G1640" s="27" t="s">
        <v>5</v>
      </c>
      <c r="H1640" s="27" t="s">
        <v>46</v>
      </c>
      <c r="J1640" s="27" t="s">
        <v>19</v>
      </c>
      <c r="K1640" s="27">
        <v>4031</v>
      </c>
      <c r="L1640" s="27" t="s">
        <v>12</v>
      </c>
      <c r="M1640" s="27" t="s">
        <v>444</v>
      </c>
      <c r="N1640" s="27" t="str">
        <f>IF(K1640="N/A","No", IF(K1640&gt;5000,"Yes","No"))</f>
        <v>No</v>
      </c>
      <c r="O1640" s="27" t="str">
        <f>IF(K1640="Not","No",IF(K1640="n/a","N/A",IF(K1640&gt;$Y$2,"Yes","No")))</f>
        <v>No</v>
      </c>
      <c r="Q1640" s="27" t="s">
        <v>118</v>
      </c>
      <c r="R1640" s="27" t="str">
        <f>IF(COUNTIF(R1637:R1639,"Yes"),"Yes","No")</f>
        <v>Yes</v>
      </c>
      <c r="S1640" s="27" t="str">
        <f>IF(COUNTIF(S1637:S1639,"Yes"),"Yes","No")</f>
        <v>Yes</v>
      </c>
      <c r="U1640" s="27" t="s">
        <v>164</v>
      </c>
      <c r="V1640" s="27" t="s">
        <v>5</v>
      </c>
      <c r="W1640" s="27" t="s">
        <v>5</v>
      </c>
      <c r="X1640" s="27" t="str">
        <f t="shared" si="736"/>
        <v>Yes</v>
      </c>
    </row>
    <row r="1641" spans="1:38" x14ac:dyDescent="0.2">
      <c r="A1641" s="27" t="s">
        <v>62</v>
      </c>
      <c r="B1641" s="27" t="s">
        <v>24</v>
      </c>
      <c r="C1641" s="27">
        <v>8.5</v>
      </c>
      <c r="D1641" s="27" t="s">
        <v>4</v>
      </c>
      <c r="F1641" s="27" t="str">
        <f t="shared" si="733"/>
        <v>Yes</v>
      </c>
      <c r="G1641" s="27" t="s">
        <v>5</v>
      </c>
      <c r="H1641" s="27" t="s">
        <v>46</v>
      </c>
      <c r="J1641" s="27" t="s">
        <v>22</v>
      </c>
      <c r="K1641" s="27">
        <v>65600</v>
      </c>
      <c r="L1641" s="27" t="s">
        <v>12</v>
      </c>
      <c r="M1641" s="27" t="s">
        <v>402</v>
      </c>
      <c r="N1641" s="27" t="str">
        <f>IF(K1641="N/A","No", IF(K1641&gt;5000,"Yes","No"))</f>
        <v>Yes</v>
      </c>
      <c r="O1641" s="27" t="str">
        <f>IF(K1641="Not","No",IF(K1641="n/a","N/A",IF(K1641&gt;$Y$2,"Yes","No")))</f>
        <v>Yes</v>
      </c>
      <c r="U1641" s="27" t="s">
        <v>162</v>
      </c>
      <c r="V1641" s="27" t="str">
        <f>R1638</f>
        <v>Yes</v>
      </c>
      <c r="W1641" s="27" t="str">
        <f>S1638</f>
        <v>Yes</v>
      </c>
      <c r="X1641" s="27" t="str">
        <f t="shared" si="736"/>
        <v>Yes</v>
      </c>
    </row>
    <row r="1642" spans="1:38" x14ac:dyDescent="0.2">
      <c r="A1642" s="27" t="s">
        <v>62</v>
      </c>
      <c r="B1642" s="27" t="s">
        <v>24</v>
      </c>
      <c r="C1642" s="27">
        <v>10.3</v>
      </c>
      <c r="D1642" s="27" t="s">
        <v>4</v>
      </c>
      <c r="F1642" s="27" t="str">
        <f t="shared" si="733"/>
        <v>Yes</v>
      </c>
      <c r="G1642" s="27" t="s">
        <v>5</v>
      </c>
      <c r="H1642" s="27" t="s">
        <v>46</v>
      </c>
      <c r="J1642" s="27" t="s">
        <v>25</v>
      </c>
      <c r="K1642" s="27">
        <v>9</v>
      </c>
      <c r="L1642" s="27" t="s">
        <v>12</v>
      </c>
      <c r="M1642" s="27" t="s">
        <v>59</v>
      </c>
      <c r="N1642" s="27" t="str">
        <f>IF(K1642="N/A","No", IF(K1642&gt;=20,"Yes","No"))</f>
        <v>No</v>
      </c>
      <c r="O1642" s="27" t="str">
        <f>IF(K1642="Not","No",IF(K1642="n/a","N/A",IF(K1642&gt;=$Y$5,"Yes","No")))</f>
        <v>No</v>
      </c>
      <c r="U1642" s="27" t="s">
        <v>101</v>
      </c>
      <c r="V1642" s="27" t="s">
        <v>9</v>
      </c>
      <c r="W1642" s="27" t="s">
        <v>5</v>
      </c>
      <c r="X1642" s="27" t="str">
        <f>IF(V1642="N/A","N/A",IF(W1642="N/A", "N/A", IF(V1642=W1642, "Yes","No")))</f>
        <v>No</v>
      </c>
    </row>
    <row r="1643" spans="1:38" x14ac:dyDescent="0.2">
      <c r="A1643" s="27" t="s">
        <v>245</v>
      </c>
      <c r="B1643" s="27" t="s">
        <v>64</v>
      </c>
      <c r="C1643" s="27">
        <v>2</v>
      </c>
      <c r="D1643" s="27" t="s">
        <v>4</v>
      </c>
      <c r="F1643" s="27" t="str">
        <f t="shared" si="733"/>
        <v>Yes</v>
      </c>
      <c r="G1643" s="27" t="s">
        <v>5</v>
      </c>
      <c r="H1643" s="27" t="s">
        <v>43</v>
      </c>
      <c r="J1643" s="27" t="s">
        <v>29</v>
      </c>
      <c r="K1643" s="27">
        <v>0</v>
      </c>
      <c r="L1643" s="27" t="s">
        <v>12</v>
      </c>
      <c r="M1643" s="27" t="s">
        <v>72</v>
      </c>
      <c r="N1643" s="27" t="str">
        <f>IF(K1643="N/A","No", IF(K1643&gt;20,"Yes","No"))</f>
        <v>No</v>
      </c>
      <c r="O1643" s="27" t="str">
        <f t="shared" ref="O1643" si="737">IF(K1643="Not","No",IF(K1643="n/a","N/A",IF(K1643&gt;$Y$6,"Yes","No")))</f>
        <v>No</v>
      </c>
      <c r="U1643" s="27" t="s">
        <v>104</v>
      </c>
      <c r="V1643" s="27" t="s">
        <v>9</v>
      </c>
      <c r="W1643" s="27" t="s">
        <v>9</v>
      </c>
      <c r="X1643" s="27" t="str">
        <f>IF(V1643="N/A","N/A",IF(W1643="N/A", "N/A", IF(V1643=W1643, "Yes","No")))</f>
        <v>Yes</v>
      </c>
    </row>
    <row r="1644" spans="1:38" x14ac:dyDescent="0.2">
      <c r="A1644" s="27" t="s">
        <v>113</v>
      </c>
      <c r="B1644" s="27" t="s">
        <v>40</v>
      </c>
      <c r="C1644" s="27">
        <v>5.7</v>
      </c>
      <c r="D1644" s="27" t="s">
        <v>4</v>
      </c>
      <c r="F1644" s="27" t="str">
        <f t="shared" si="733"/>
        <v>Yes</v>
      </c>
      <c r="G1644" s="27" t="s">
        <v>5</v>
      </c>
      <c r="H1644" s="27" t="s">
        <v>43</v>
      </c>
      <c r="J1644" s="27" t="s">
        <v>34</v>
      </c>
      <c r="K1644" s="27">
        <v>371</v>
      </c>
      <c r="L1644" s="27" t="s">
        <v>12</v>
      </c>
      <c r="M1644" s="27" t="s">
        <v>74</v>
      </c>
      <c r="N1644" s="27" t="str">
        <f>IF(K1644="N/A","No", IF(K1644&gt;230,"Yes","No"))</f>
        <v>Yes</v>
      </c>
      <c r="O1644" s="27" t="str">
        <f>IF(K1644="Not","No",IF(K1644="n/a","N/A",IF(K1644&gt;$Y$6,"Yes","No")))</f>
        <v>Yes</v>
      </c>
      <c r="U1644" s="27" t="s">
        <v>106</v>
      </c>
      <c r="V1644" s="27" t="str">
        <f>R1639</f>
        <v>No</v>
      </c>
      <c r="W1644" s="27" t="str">
        <f>S1639</f>
        <v>Yes</v>
      </c>
      <c r="X1644" s="27" t="str">
        <f>IF(V1644="N/A","N/A",IF(W1644="N/A", "N/A", IF(V1644=W1644, "Yes","No")))</f>
        <v>No</v>
      </c>
    </row>
    <row r="1645" spans="1:38" x14ac:dyDescent="0.2">
      <c r="A1645" s="27" t="s">
        <v>71</v>
      </c>
      <c r="B1645" s="27" t="s">
        <v>10</v>
      </c>
      <c r="C1645" s="27">
        <v>5.0999999999999996</v>
      </c>
      <c r="D1645" s="27" t="s">
        <v>4</v>
      </c>
      <c r="F1645" s="27" t="str">
        <f t="shared" si="733"/>
        <v>Yes</v>
      </c>
      <c r="G1645" s="27" t="s">
        <v>5</v>
      </c>
      <c r="H1645" s="27" t="s">
        <v>43</v>
      </c>
      <c r="U1645" s="27" t="s">
        <v>121</v>
      </c>
      <c r="V1645" s="27" t="str">
        <f>R1640</f>
        <v>Yes</v>
      </c>
      <c r="W1645" s="27" t="str">
        <f>S1640</f>
        <v>Yes</v>
      </c>
      <c r="X1645" s="27" t="str">
        <f>IF(V1645="N/A","N/A",IF(W1645="N/A", "N/A", IF(V1645=W1645, "Yes","No")))</f>
        <v>Yes</v>
      </c>
    </row>
    <row r="1646" spans="1:38" x14ac:dyDescent="0.2">
      <c r="A1646" s="27" t="s">
        <v>70</v>
      </c>
      <c r="B1646" s="27" t="s">
        <v>40</v>
      </c>
      <c r="C1646" s="27">
        <v>4.2</v>
      </c>
      <c r="D1646" s="27" t="s">
        <v>4</v>
      </c>
      <c r="F1646" s="27" t="str">
        <f t="shared" si="733"/>
        <v>Yes</v>
      </c>
      <c r="G1646" s="27" t="s">
        <v>5</v>
      </c>
      <c r="H1646" s="27" t="s">
        <v>43</v>
      </c>
    </row>
    <row r="1647" spans="1:38" x14ac:dyDescent="0.2">
      <c r="A1647" s="27" t="s">
        <v>109</v>
      </c>
      <c r="B1647" s="27" t="s">
        <v>32</v>
      </c>
      <c r="C1647" s="27">
        <v>3</v>
      </c>
      <c r="D1647" s="27" t="s">
        <v>33</v>
      </c>
      <c r="F1647" s="27" t="str">
        <f>IF(C1647&gt;$W$6,"Yes","No")</f>
        <v>No</v>
      </c>
      <c r="G1647" s="27" t="s">
        <v>9</v>
      </c>
    </row>
    <row r="1648" spans="1:38" x14ac:dyDescent="0.2">
      <c r="A1648" s="27" t="s">
        <v>109</v>
      </c>
      <c r="B1648" s="27" t="s">
        <v>54</v>
      </c>
      <c r="C1648" s="27">
        <v>18</v>
      </c>
      <c r="D1648" s="27" t="s">
        <v>33</v>
      </c>
      <c r="F1648" s="27" t="str">
        <f>IF(C1648&gt;$W$5,"Yes","No")</f>
        <v>No</v>
      </c>
      <c r="G1648" s="27" t="s">
        <v>9</v>
      </c>
    </row>
    <row r="1651" spans="1:38" x14ac:dyDescent="0.2">
      <c r="A1651" s="27">
        <v>9445</v>
      </c>
      <c r="B1651" s="27" t="s">
        <v>111</v>
      </c>
      <c r="C1651" s="27">
        <v>107</v>
      </c>
    </row>
    <row r="1652" spans="1:38" x14ac:dyDescent="0.2">
      <c r="A1652" s="59" t="s">
        <v>0</v>
      </c>
      <c r="E1652" s="27" t="s">
        <v>274</v>
      </c>
      <c r="F1652" s="27" t="s">
        <v>275</v>
      </c>
      <c r="G1652" s="27" t="s">
        <v>119</v>
      </c>
      <c r="J1652" s="59" t="s">
        <v>1</v>
      </c>
      <c r="N1652" s="27" t="s">
        <v>277</v>
      </c>
      <c r="O1652" s="27" t="s">
        <v>278</v>
      </c>
      <c r="Q1652" s="59" t="s">
        <v>115</v>
      </c>
      <c r="R1652" s="59" t="s">
        <v>0</v>
      </c>
      <c r="S1652" s="59" t="s">
        <v>1</v>
      </c>
      <c r="U1652" s="59" t="s">
        <v>115</v>
      </c>
      <c r="V1652" s="59" t="s">
        <v>0</v>
      </c>
      <c r="W1652" s="59" t="s">
        <v>1</v>
      </c>
      <c r="X1652" s="59" t="s">
        <v>122</v>
      </c>
      <c r="AI1652" s="27" t="s">
        <v>46</v>
      </c>
      <c r="AJ1652" s="27" t="s">
        <v>43</v>
      </c>
      <c r="AK1652" s="27" t="s">
        <v>116</v>
      </c>
      <c r="AL1652" s="27" t="s">
        <v>117</v>
      </c>
    </row>
    <row r="1653" spans="1:38" x14ac:dyDescent="0.2">
      <c r="A1653" s="27" t="s">
        <v>63</v>
      </c>
      <c r="B1653" s="27" t="s">
        <v>18</v>
      </c>
      <c r="C1653" s="27">
        <v>0</v>
      </c>
      <c r="D1653" s="27" t="s">
        <v>4</v>
      </c>
      <c r="F1653" s="27" t="str">
        <f t="shared" ref="F1653:F1655" si="738">IF(C1653&gt;=$W$2,"Yes","No")</f>
        <v>No</v>
      </c>
      <c r="G1653" s="27" t="s">
        <v>9</v>
      </c>
      <c r="H1653" s="27" t="s">
        <v>46</v>
      </c>
      <c r="J1653" s="27" t="s">
        <v>6</v>
      </c>
      <c r="K1653" s="27">
        <v>15.9</v>
      </c>
      <c r="L1653" s="27" t="s">
        <v>12</v>
      </c>
      <c r="M1653" s="27" t="s">
        <v>114</v>
      </c>
      <c r="N1653" s="27" t="str">
        <f>IF(K1653="N/A","No", IF(K1653&gt;1200,"Yes","No"))</f>
        <v>No</v>
      </c>
      <c r="O1653" s="27" t="str">
        <f>IF(K1653="Not","No",IF(K1653="n/a","N/A",IF(K1653&gt;=$Y$3,"Yes","No")))</f>
        <v>No</v>
      </c>
      <c r="Q1653" s="27" t="s">
        <v>116</v>
      </c>
      <c r="R1653" s="27" t="str">
        <f>_xlfn.XLOOKUP("ppm",D1653:D1663,F1653:F1663,"N/A")</f>
        <v>No</v>
      </c>
      <c r="S1653" s="27" t="str">
        <f>IF(COUNTIF(O1653:O1655,"Yes"),"Yes","No")</f>
        <v>No</v>
      </c>
      <c r="U1653" s="27" t="s">
        <v>92</v>
      </c>
      <c r="V1653" s="27" t="s">
        <v>9</v>
      </c>
      <c r="W1653" s="27" t="s">
        <v>120</v>
      </c>
      <c r="X1653" s="27" t="str">
        <f>IF(V1653="N/A","N/A",IF(W1653="N/A", "N/A", IF(V1653=W1653, "Yes","No")))</f>
        <v>N/A</v>
      </c>
      <c r="AI1653" s="27">
        <f>COUNTIF(H1653:H1657,"Exterior")</f>
        <v>1</v>
      </c>
      <c r="AJ1653" s="27">
        <f>COUNTIF(H1653:H1657, "Interior")</f>
        <v>1</v>
      </c>
      <c r="AK1653" s="27">
        <f>COUNTIFS(D1653:D1657,"ppm")+COUNTIFS(D1653:D1657,"mg/Kg")</f>
        <v>1</v>
      </c>
      <c r="AL1653" s="27">
        <f>COUNTIF(D1653:D1657,"ug/ft2")</f>
        <v>2</v>
      </c>
    </row>
    <row r="1654" spans="1:38" x14ac:dyDescent="0.2">
      <c r="A1654" s="27" t="s">
        <v>161</v>
      </c>
      <c r="B1654" s="27" t="s">
        <v>28</v>
      </c>
      <c r="C1654" s="27">
        <v>39</v>
      </c>
      <c r="D1654" s="27" t="s">
        <v>12</v>
      </c>
      <c r="F1654" s="27" t="str">
        <f t="shared" ref="F1654" si="739">IF(C1654&gt;=$W$3,"Yes","No")</f>
        <v>No</v>
      </c>
      <c r="G1654" s="27" t="s">
        <v>9</v>
      </c>
      <c r="J1654" s="27" t="s">
        <v>11</v>
      </c>
      <c r="K1654" s="27">
        <v>17.3</v>
      </c>
      <c r="L1654" s="27" t="s">
        <v>12</v>
      </c>
      <c r="M1654" s="27" t="s">
        <v>67</v>
      </c>
      <c r="N1654" s="27" t="str">
        <f t="shared" ref="N1654:N1655" si="740">IF(K1654="N/A","No", IF(K1654&gt;1200,"Yes","No"))</f>
        <v>No</v>
      </c>
      <c r="O1654" s="27" t="str">
        <f t="shared" ref="O1654:O1655" si="741">IF(K1654="Not","No",IF(K1654="n/a","N/A",IF(K1654&gt;$Y$3,"Yes","No")))</f>
        <v>No</v>
      </c>
      <c r="Q1654" s="27" t="s">
        <v>98</v>
      </c>
      <c r="R1654" s="27" t="str">
        <f>IF(COUNTIFS(D1653:D1664,"mg/cm2",G1653:G1664,"Yes")&gt;=1, "Yes","No")</f>
        <v>No</v>
      </c>
      <c r="S1654" s="27" t="str">
        <f>IF(COUNTIF(O1656:O1657,"Yes"),"Yes","No")</f>
        <v>No</v>
      </c>
      <c r="U1654" s="27" t="s">
        <v>95</v>
      </c>
      <c r="V1654" s="27" t="str">
        <f>R1653</f>
        <v>No</v>
      </c>
      <c r="W1654" s="27" t="str">
        <f>S1653</f>
        <v>No</v>
      </c>
      <c r="X1654" s="27" t="str">
        <f t="shared" ref="X1654:X1657" si="742">IF(V1654="N/A","N/A",IF(W1654="N/A", "N/A", IF(V1654=W1654, "Yes","No")))</f>
        <v>Yes</v>
      </c>
    </row>
    <row r="1655" spans="1:38" x14ac:dyDescent="0.2">
      <c r="A1655" s="27" t="s">
        <v>158</v>
      </c>
      <c r="B1655" s="27" t="s">
        <v>40</v>
      </c>
      <c r="C1655" s="27">
        <v>0</v>
      </c>
      <c r="D1655" s="27" t="s">
        <v>4</v>
      </c>
      <c r="F1655" s="27" t="str">
        <f t="shared" si="738"/>
        <v>No</v>
      </c>
      <c r="G1655" s="27" t="s">
        <v>9</v>
      </c>
      <c r="H1655" s="27" t="s">
        <v>43</v>
      </c>
      <c r="J1655" s="27" t="s">
        <v>15</v>
      </c>
      <c r="K1655" s="27">
        <v>61</v>
      </c>
      <c r="L1655" s="27" t="s">
        <v>12</v>
      </c>
      <c r="M1655" s="27" t="s">
        <v>112</v>
      </c>
      <c r="N1655" s="27" t="str">
        <f t="shared" si="740"/>
        <v>No</v>
      </c>
      <c r="O1655" s="27" t="str">
        <f t="shared" si="741"/>
        <v>No</v>
      </c>
      <c r="Q1655" s="27" t="s">
        <v>117</v>
      </c>
      <c r="R1655" s="27" t="str">
        <f>_xlfn.XLOOKUP("ug/ft2",D1653:D1663,F1653:F1663,"N/A")</f>
        <v>No</v>
      </c>
      <c r="S1655" s="27" t="str">
        <f>IF(COUNTIF(O1658:O1661,"Yes"),"Yes","No")</f>
        <v>No</v>
      </c>
      <c r="U1655" s="27" t="s">
        <v>163</v>
      </c>
      <c r="V1655" s="27" t="s">
        <v>9</v>
      </c>
      <c r="W1655" s="27" t="str">
        <f>O1657</f>
        <v>No</v>
      </c>
      <c r="X1655" s="27" t="str">
        <f t="shared" si="742"/>
        <v>Yes</v>
      </c>
    </row>
    <row r="1656" spans="1:38" x14ac:dyDescent="0.2">
      <c r="A1656" s="27" t="s">
        <v>64</v>
      </c>
      <c r="B1656" s="27" t="s">
        <v>32</v>
      </c>
      <c r="C1656" s="27">
        <v>3</v>
      </c>
      <c r="D1656" s="27" t="s">
        <v>33</v>
      </c>
      <c r="F1656" s="27" t="str">
        <f>IF(C1656&gt;$W$6,"Yes","No")</f>
        <v>No</v>
      </c>
      <c r="G1656" s="27" t="s">
        <v>9</v>
      </c>
      <c r="J1656" s="27" t="s">
        <v>19</v>
      </c>
      <c r="K1656" s="27">
        <v>2.5</v>
      </c>
      <c r="L1656" s="27" t="s">
        <v>12</v>
      </c>
      <c r="M1656" s="27" t="s">
        <v>46</v>
      </c>
      <c r="N1656" s="27" t="str">
        <f>IF(K1656="N/A","No", IF(K1656&gt;5000,"Yes","No"))</f>
        <v>No</v>
      </c>
      <c r="O1656" s="27" t="str">
        <f>IF(K1656="Not","No",IF(K1656="n/a","N/A",IF(K1656&gt;$Y$2,"Yes","No")))</f>
        <v>No</v>
      </c>
      <c r="Q1656" s="27" t="s">
        <v>118</v>
      </c>
      <c r="R1656" s="27" t="str">
        <f>IF(COUNTIF(R1653:R1655,"Yes"),"Yes","No")</f>
        <v>No</v>
      </c>
      <c r="S1656" s="27" t="str">
        <f>IF(COUNTIF(S1653:S1655,"Yes"),"Yes","No")</f>
        <v>No</v>
      </c>
      <c r="U1656" s="27" t="s">
        <v>164</v>
      </c>
      <c r="V1656" s="27" t="s">
        <v>9</v>
      </c>
      <c r="W1656" s="27" t="str">
        <f>O1656</f>
        <v>No</v>
      </c>
      <c r="X1656" s="27" t="str">
        <f t="shared" si="742"/>
        <v>Yes</v>
      </c>
    </row>
    <row r="1657" spans="1:38" x14ac:dyDescent="0.2">
      <c r="A1657" s="27" t="s">
        <v>64</v>
      </c>
      <c r="B1657" s="27" t="s">
        <v>210</v>
      </c>
      <c r="C1657" s="27">
        <v>21</v>
      </c>
      <c r="D1657" s="27" t="s">
        <v>33</v>
      </c>
      <c r="F1657" s="27" t="str">
        <f>IF(C1657&gt;$W$5,"Yes","No")</f>
        <v>No</v>
      </c>
      <c r="G1657" s="27" t="s">
        <v>9</v>
      </c>
      <c r="J1657" s="27" t="s">
        <v>22</v>
      </c>
      <c r="K1657" s="27">
        <v>2.5</v>
      </c>
      <c r="L1657" s="27" t="s">
        <v>12</v>
      </c>
      <c r="M1657" s="27" t="s">
        <v>43</v>
      </c>
      <c r="N1657" s="27" t="str">
        <f>IF(K1657="N/A","No", IF(K1657&gt;5000,"Yes","No"))</f>
        <v>No</v>
      </c>
      <c r="O1657" s="27" t="str">
        <f>IF(K1657="Not","No",IF(K1657="n/a","N/A",IF(K1657&gt;$Y$2,"Yes","No")))</f>
        <v>No</v>
      </c>
      <c r="U1657" s="27" t="s">
        <v>162</v>
      </c>
      <c r="V1657" s="27" t="str">
        <f>R1654</f>
        <v>No</v>
      </c>
      <c r="W1657" s="27" t="str">
        <f>S1654</f>
        <v>No</v>
      </c>
      <c r="X1657" s="27" t="str">
        <f t="shared" si="742"/>
        <v>Yes</v>
      </c>
    </row>
    <row r="1658" spans="1:38" x14ac:dyDescent="0.2">
      <c r="J1658" s="27" t="s">
        <v>25</v>
      </c>
      <c r="K1658" s="27">
        <v>2.5</v>
      </c>
      <c r="L1658" s="27" t="s">
        <v>12</v>
      </c>
      <c r="M1658" s="27" t="s">
        <v>126</v>
      </c>
      <c r="N1658" s="27" t="str">
        <f>IF(K1658="N/A","No", IF(K1658&gt;20,"Yes","No"))</f>
        <v>No</v>
      </c>
      <c r="O1658" s="27" t="str">
        <f t="shared" ref="O1658:O1659" si="743">IF(K1658="Not","No",IF(K1658="n/a","N/A",IF(K1658&gt;$Y$6,"Yes","No")))</f>
        <v>No</v>
      </c>
      <c r="U1658" s="27" t="s">
        <v>101</v>
      </c>
      <c r="V1658" s="27" t="s">
        <v>9</v>
      </c>
      <c r="W1658" s="27" t="s">
        <v>9</v>
      </c>
      <c r="X1658" s="27" t="str">
        <f>IF(V1658="N/A","N/A",IF(W1658="N/A", "N/A", IF(V1658=W1658, "Yes","No")))</f>
        <v>Yes</v>
      </c>
    </row>
    <row r="1659" spans="1:38" x14ac:dyDescent="0.2">
      <c r="J1659" s="27" t="s">
        <v>29</v>
      </c>
      <c r="K1659" s="27">
        <v>2.5</v>
      </c>
      <c r="L1659" s="27" t="s">
        <v>12</v>
      </c>
      <c r="M1659" s="27" t="s">
        <v>222</v>
      </c>
      <c r="N1659" s="27" t="str">
        <f>IF(K1659="N/A","No", IF(K1659&gt;20,"Yes","No"))</f>
        <v>No</v>
      </c>
      <c r="O1659" s="27" t="str">
        <f t="shared" si="743"/>
        <v>No</v>
      </c>
      <c r="U1659" s="27" t="s">
        <v>104</v>
      </c>
      <c r="V1659" s="27" t="s">
        <v>9</v>
      </c>
      <c r="W1659" s="27" t="str">
        <f>O1660</f>
        <v>No</v>
      </c>
      <c r="X1659" s="27" t="str">
        <f>IF(V1659="N/A","N/A",IF(W1659="N/A", "N/A", IF(V1659=W1659, "Yes","No")))</f>
        <v>Yes</v>
      </c>
    </row>
    <row r="1660" spans="1:38" x14ac:dyDescent="0.2">
      <c r="J1660" s="27" t="s">
        <v>34</v>
      </c>
      <c r="K1660" s="27">
        <v>2.5</v>
      </c>
      <c r="L1660" s="27" t="s">
        <v>12</v>
      </c>
      <c r="M1660" s="27" t="s">
        <v>210</v>
      </c>
      <c r="N1660" s="27" t="str">
        <f>IF(K1660="N/A","No", IF(K1660&gt;230,"Yes","No"))</f>
        <v>No</v>
      </c>
      <c r="O1660" s="27" t="str">
        <f>IF(K1660="Not","No",IF(K1660="n/a","N/A",IF(K1660&gt;$Y$5,"Yes","No")))</f>
        <v>No</v>
      </c>
      <c r="U1660" s="27" t="s">
        <v>106</v>
      </c>
      <c r="V1660" s="27" t="str">
        <f>R1655</f>
        <v>No</v>
      </c>
      <c r="W1660" s="27" t="str">
        <f>S1655</f>
        <v>No</v>
      </c>
      <c r="X1660" s="27" t="str">
        <f>IF(V1660="N/A","N/A",IF(W1660="N/A", "N/A", IF(V1660=W1660, "Yes","No")))</f>
        <v>Yes</v>
      </c>
    </row>
    <row r="1661" spans="1:38" x14ac:dyDescent="0.2">
      <c r="J1661" s="27" t="s">
        <v>208</v>
      </c>
      <c r="K1661" s="27">
        <v>2.5</v>
      </c>
      <c r="L1661" s="27" t="s">
        <v>12</v>
      </c>
      <c r="M1661" s="27" t="s">
        <v>223</v>
      </c>
      <c r="N1661" s="27" t="str">
        <f>IF(K1661="N/A","No", IF(K1661&gt;20,"Yes","No"))</f>
        <v>No</v>
      </c>
      <c r="O1661" s="27" t="str">
        <f>IF(K1661="Not","No",IF(K1661="n/a","N/A",IF(K1661&gt;$Y$7,"Yes","No")))</f>
        <v>No</v>
      </c>
      <c r="U1661" s="27" t="s">
        <v>121</v>
      </c>
      <c r="V1661" s="27" t="str">
        <f>R1656</f>
        <v>No</v>
      </c>
      <c r="W1661" s="27" t="str">
        <f>S1656</f>
        <v>No</v>
      </c>
      <c r="X1661" s="27" t="str">
        <f>IF(V1661="N/A","N/A",IF(W1661="N/A", "N/A", IF(V1661=W1661, "Yes","No")))</f>
        <v>Yes</v>
      </c>
    </row>
  </sheetData>
  <mergeCells count="2">
    <mergeCell ref="B2:D2"/>
    <mergeCell ref="H2:J2"/>
  </mergeCells>
  <phoneticPr fontId="13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A180-5244-8048-9782-4E4CBAB0F02D}">
  <sheetPr codeName="Sheet4"/>
  <dimension ref="A1:BD921"/>
  <sheetViews>
    <sheetView topLeftCell="A956" workbookViewId="0">
      <selection activeCell="A908" sqref="A908"/>
    </sheetView>
  </sheetViews>
  <sheetFormatPr baseColWidth="10" defaultRowHeight="16" x14ac:dyDescent="0.2"/>
  <cols>
    <col min="1" max="1" width="28.83203125" bestFit="1" customWidth="1"/>
    <col min="2" max="2" width="23.33203125" bestFit="1" customWidth="1"/>
    <col min="13" max="13" width="34.33203125" bestFit="1" customWidth="1"/>
    <col min="21" max="21" width="23.83203125" bestFit="1" customWidth="1"/>
    <col min="22" max="22" width="17.5" bestFit="1" customWidth="1"/>
    <col min="24" max="24" width="13.1640625" customWidth="1"/>
    <col min="34" max="34" width="17.5" bestFit="1" customWidth="1"/>
    <col min="37" max="37" width="16.5" customWidth="1"/>
    <col min="45" max="45" width="11.83203125" customWidth="1"/>
  </cols>
  <sheetData>
    <row r="1" spans="1:47" x14ac:dyDescent="0.2">
      <c r="A1" t="s">
        <v>252</v>
      </c>
      <c r="W1" t="s">
        <v>0</v>
      </c>
      <c r="Y1" t="s">
        <v>1</v>
      </c>
    </row>
    <row r="2" spans="1:47" x14ac:dyDescent="0.2">
      <c r="B2" s="45" t="s">
        <v>260</v>
      </c>
      <c r="C2" s="45"/>
      <c r="D2" s="45"/>
      <c r="E2" s="20"/>
      <c r="F2" s="20"/>
      <c r="G2" s="20"/>
      <c r="H2" s="45" t="s">
        <v>261</v>
      </c>
      <c r="I2" s="45"/>
      <c r="J2" s="45"/>
      <c r="K2" t="s">
        <v>120</v>
      </c>
      <c r="M2" t="s">
        <v>265</v>
      </c>
      <c r="N2" t="s">
        <v>267</v>
      </c>
      <c r="P2" t="s">
        <v>266</v>
      </c>
      <c r="V2" t="s">
        <v>98</v>
      </c>
      <c r="W2">
        <v>1</v>
      </c>
      <c r="X2" t="s">
        <v>4</v>
      </c>
      <c r="Y2">
        <v>5000</v>
      </c>
      <c r="Z2" t="s">
        <v>12</v>
      </c>
    </row>
    <row r="3" spans="1:47" x14ac:dyDescent="0.2">
      <c r="B3" s="20" t="s">
        <v>255</v>
      </c>
      <c r="C3" s="20" t="s">
        <v>256</v>
      </c>
      <c r="D3" s="20" t="s">
        <v>257</v>
      </c>
      <c r="E3" s="20"/>
      <c r="F3" s="20"/>
      <c r="G3" s="20"/>
      <c r="H3" s="20" t="s">
        <v>258</v>
      </c>
      <c r="I3" s="20" t="s">
        <v>259</v>
      </c>
      <c r="J3" s="20" t="s">
        <v>257</v>
      </c>
      <c r="M3" s="20"/>
      <c r="V3" t="s">
        <v>92</v>
      </c>
      <c r="W3">
        <v>400</v>
      </c>
      <c r="X3" t="s">
        <v>12</v>
      </c>
      <c r="Y3">
        <v>400</v>
      </c>
      <c r="Z3" t="s">
        <v>12</v>
      </c>
    </row>
    <row r="4" spans="1:47" x14ac:dyDescent="0.2">
      <c r="A4" t="s">
        <v>92</v>
      </c>
      <c r="B4">
        <f>COUNTIFS($U$41:$U$9278,"Soil - Play Area",$V$41:$V$9278, "Yes",$W$41:$W$9278, "Yes")</f>
        <v>0</v>
      </c>
      <c r="C4">
        <f>COUNTIFS($U$41:$U$44178,"Soil - Play Area",$V$41:$V$44178, "No",$W$41:$W$44178, "No")</f>
        <v>0</v>
      </c>
      <c r="D4">
        <f>COUNTIFS($U$41:$U$44178,"Soil - Play Area",$X$41:$X$44178, "Yes")</f>
        <v>0</v>
      </c>
      <c r="H4">
        <f>COUNTIFS($U$41:$U$44178,"Soil - Play Area",$V$41:$V$44178, "Yes",$W$41:$W$44178, "No")</f>
        <v>0</v>
      </c>
      <c r="I4">
        <f>COUNTIFS($U$41:$U$44178,"Soil - Play Area",$V$41:$V$44178, "No",$W$41:$W$44178, "Yes")</f>
        <v>0</v>
      </c>
      <c r="J4">
        <f>COUNTIFS($U$41:$U$44178,"Soil - Play Area",$X$41:$X$44178, "No")</f>
        <v>0</v>
      </c>
      <c r="K4">
        <f>COUNTIFS($U$41:$U$44178,"Soil - Play Area",$X$41:$X$44178, "N/A")</f>
        <v>63</v>
      </c>
      <c r="M4">
        <f t="shared" ref="M4:M11" si="0">D4+J4+K4</f>
        <v>63</v>
      </c>
      <c r="N4">
        <f t="shared" ref="N4:N11" si="1">D4+J4</f>
        <v>0</v>
      </c>
      <c r="P4" t="s">
        <v>120</v>
      </c>
      <c r="V4" t="s">
        <v>226</v>
      </c>
      <c r="W4">
        <v>1200</v>
      </c>
      <c r="X4" t="s">
        <v>12</v>
      </c>
      <c r="Y4">
        <v>1200</v>
      </c>
      <c r="Z4" t="s">
        <v>12</v>
      </c>
    </row>
    <row r="5" spans="1:47" x14ac:dyDescent="0.2">
      <c r="A5" t="s">
        <v>95</v>
      </c>
      <c r="B5">
        <f>COUNTIFS($U$41:$U$44178,"Soil - Overall",$V$41:$V$44178, "Yes",$W$41:$W$44178, "Yes")</f>
        <v>14</v>
      </c>
      <c r="C5">
        <f>COUNTIFS($U$41:$U$44178,"Soil - Overall",$V$41:$V$44178, "No",$W$41:$W$44178, "No")</f>
        <v>36</v>
      </c>
      <c r="D5">
        <f>COUNTIFS($U$41:$U$44178,"Soil - Overall",$X$41:$X$44178, "Yes")</f>
        <v>50</v>
      </c>
      <c r="H5">
        <f>COUNTIFS($U$41:$U$44178,"Soil - Overall",$V$41:$V$44178, "Yes",$W$41:$W$44178, "No")</f>
        <v>3</v>
      </c>
      <c r="I5">
        <f>COUNTIFS($U$41:$U$44178,"Soil - Overall",$V$41:$V$44178, "No",$W$41:$W$44178, "Yes")</f>
        <v>7</v>
      </c>
      <c r="J5">
        <f>COUNTIFS($U$41:$U$44178,"Soil - Overall",$X$41:$X$44178, "No")</f>
        <v>10</v>
      </c>
      <c r="K5">
        <f>COUNTIFS($U$41:$U$44178,"Soil - Overall",$X$41:$X$44178, "N/A")</f>
        <v>3</v>
      </c>
      <c r="M5">
        <f t="shared" si="0"/>
        <v>63</v>
      </c>
      <c r="N5">
        <f t="shared" si="1"/>
        <v>60</v>
      </c>
      <c r="P5" s="15">
        <f t="shared" ref="P5:P11" si="2">D5/N5</f>
        <v>0.83333333333333337</v>
      </c>
      <c r="V5" t="s">
        <v>228</v>
      </c>
      <c r="W5">
        <v>100</v>
      </c>
      <c r="X5" t="s">
        <v>33</v>
      </c>
      <c r="Y5">
        <v>230</v>
      </c>
      <c r="Z5" t="s">
        <v>12</v>
      </c>
    </row>
    <row r="6" spans="1:47" x14ac:dyDescent="0.2">
      <c r="A6" t="s">
        <v>163</v>
      </c>
      <c r="B6">
        <f>COUNTIFS($U$41:$U$44178,"Paint - Interior",$V$41:$V$44178, "Yes",$W$41:$W$44178, "Yes")</f>
        <v>1</v>
      </c>
      <c r="C6">
        <f>COUNTIFS($U$41:$U$44178,"Paint - Interior",$V$41:$V$44178, "No",$W$41:$W$44178, "No")</f>
        <v>34</v>
      </c>
      <c r="D6">
        <f>COUNTIFS($U$41:$U$44178,"Paint - Interior",$X$41:$X$44178, "Yes")</f>
        <v>35</v>
      </c>
      <c r="H6">
        <f>COUNTIFS($U$41:$U$44178,"Paint - Interior",$V$41:$V$44178, "Yes",$W$41:$W$44178, "No")</f>
        <v>21</v>
      </c>
      <c r="I6">
        <f>COUNTIFS($U$41:$U$44178,"Paint - Interior",$V$41:$V$44178, "No",$W$41:$W$44178, "Yes")</f>
        <v>0</v>
      </c>
      <c r="J6">
        <f>COUNTIFS($U$41:$U$44178,"Paint - Interior",$X$41:$X$44178, "No")</f>
        <v>21</v>
      </c>
      <c r="K6">
        <f>COUNTIFS($U$41:$U$44178,"Paint - Interior",$X$41:$X$44178, "N/A")</f>
        <v>7</v>
      </c>
      <c r="M6">
        <f t="shared" si="0"/>
        <v>63</v>
      </c>
      <c r="N6">
        <f t="shared" si="1"/>
        <v>56</v>
      </c>
      <c r="P6" s="15">
        <f t="shared" si="2"/>
        <v>0.625</v>
      </c>
      <c r="V6" t="s">
        <v>234</v>
      </c>
      <c r="W6">
        <v>10</v>
      </c>
      <c r="X6" t="s">
        <v>33</v>
      </c>
      <c r="Y6">
        <v>20</v>
      </c>
      <c r="Z6" t="s">
        <v>12</v>
      </c>
    </row>
    <row r="7" spans="1:47" x14ac:dyDescent="0.2">
      <c r="A7" t="s">
        <v>164</v>
      </c>
      <c r="B7">
        <f>COUNTIFS($U$41:$U$44178,"Paint - Exterior",$V$41:$V$44178, "Yes",$W$41:$W$44178, "Yes")</f>
        <v>13</v>
      </c>
      <c r="C7">
        <f>COUNTIFS($U$41:$U$44178,"Paint - Exterior",$V$41:$V$44178, "No",$W$41:$W$44178, "No")</f>
        <v>30</v>
      </c>
      <c r="D7">
        <f>COUNTIFS($U$41:$U$44178,"Paint - Exterior",$X$41:$X$44178, "Yes")</f>
        <v>42</v>
      </c>
      <c r="H7">
        <f>COUNTIFS($U$41:$U$44178,"Paint - Exterior",$V$41:$V$44178, "Yes",$W$41:$W$44178, "No")</f>
        <v>10</v>
      </c>
      <c r="I7">
        <f>COUNTIFS($U$41:$U$44178,"Paint - Exterior",$V$41:$V$44178, "No",$W$41:$W$44178, "Yes")</f>
        <v>4</v>
      </c>
      <c r="J7">
        <f>COUNTIFS($U$41:$U$44178,"Paint - Exterior",$X$41:$X$44178, "No")</f>
        <v>15</v>
      </c>
      <c r="K7">
        <f>COUNTIFS($U$41:$U$44178,"Paint - Exterior",$X$41:$X$44178, "N/A")</f>
        <v>6</v>
      </c>
      <c r="M7">
        <f t="shared" si="0"/>
        <v>63</v>
      </c>
      <c r="N7">
        <f t="shared" si="1"/>
        <v>57</v>
      </c>
      <c r="P7" s="15">
        <f t="shared" si="2"/>
        <v>0.73684210526315785</v>
      </c>
      <c r="V7" t="s">
        <v>223</v>
      </c>
      <c r="Y7">
        <v>800</v>
      </c>
      <c r="Z7" t="s">
        <v>12</v>
      </c>
    </row>
    <row r="8" spans="1:47" x14ac:dyDescent="0.2">
      <c r="A8" t="s">
        <v>162</v>
      </c>
      <c r="B8">
        <f>COUNTIFS($U$41:$U$44178,"Paint - Overall",$V$41:$V$44178, "Yes",$W$41:$W$44178, "Yes")</f>
        <v>13</v>
      </c>
      <c r="C8">
        <f>COUNTIFS($U$41:$U$44178,"Paint - Overall",$V$41:$V$44178, "No",$W$41:$W$44178, "No")</f>
        <v>31</v>
      </c>
      <c r="D8">
        <f>COUNTIFS($U$41:$U$44178,"Paint - Overall",$X$41:$X$44178, "Yes")</f>
        <v>44</v>
      </c>
      <c r="H8">
        <f>COUNTIFS($U$41:$U$44178,"Paint - Overall",$V$41:$V$44178, "Yes",$W$41:$W$44178, "No")</f>
        <v>14</v>
      </c>
      <c r="I8">
        <f>COUNTIFS($U$41:$U$44178,"Paint - Overall",$V$41:$V$44178, "No",$W$41:$W$44178, "Yes")</f>
        <v>3</v>
      </c>
      <c r="J8">
        <f>COUNTIFS($U$41:$U$44178,"Paint - Overall",$X$41:$X$44178, "No")</f>
        <v>17</v>
      </c>
      <c r="K8">
        <f>COUNTIFS($U$41:$U$44178,"Paint - Overall",$X$41:$X$44178, "N/A")</f>
        <v>2</v>
      </c>
      <c r="M8">
        <f t="shared" si="0"/>
        <v>63</v>
      </c>
      <c r="N8">
        <f t="shared" si="1"/>
        <v>61</v>
      </c>
      <c r="P8" s="15">
        <f t="shared" si="2"/>
        <v>0.72131147540983609</v>
      </c>
    </row>
    <row r="9" spans="1:47" x14ac:dyDescent="0.2">
      <c r="A9" t="s">
        <v>101</v>
      </c>
      <c r="B9">
        <f>COUNTIFS($U$41:$U$44178,"Dust - Floor",$V$41:$V$44178, "Yes",$W$41:$W$44178, "Yes")</f>
        <v>6</v>
      </c>
      <c r="C9">
        <f>COUNTIFS($U$41:$U$44178,"Dust - Floor",$V$41:$V$44178, "No",$W$41:$W$44178, "No")</f>
        <v>27</v>
      </c>
      <c r="D9">
        <f>COUNTIFS($U$41:$U$44178,"Dust - Floor",$X$41:$X$44178, "Yes")</f>
        <v>33</v>
      </c>
      <c r="H9">
        <f>COUNTIFS($U$41:$U$44178,"Dust - Floor",$V$41:$V$44178, "Yes",$W$41:$W$44178, "No")</f>
        <v>18</v>
      </c>
      <c r="I9">
        <f>COUNTIFS($U$41:$U$44178,"Dust - Floor",$V$41:$V$44178, "No",$W$41:$W$44178, "Yes")</f>
        <v>2</v>
      </c>
      <c r="J9">
        <f>COUNTIFS($U$41:$U$44178,"Dust - Floor",$X$41:$X$44178, "No")</f>
        <v>20</v>
      </c>
      <c r="K9">
        <f>COUNTIFS($U$41:$U$44178,"Dust - Floor",$X$41:$X$44178, "N/A")</f>
        <v>10</v>
      </c>
      <c r="M9">
        <f t="shared" si="0"/>
        <v>63</v>
      </c>
      <c r="N9">
        <f t="shared" si="1"/>
        <v>53</v>
      </c>
      <c r="P9" s="15">
        <f t="shared" si="2"/>
        <v>0.62264150943396224</v>
      </c>
    </row>
    <row r="10" spans="1:47" x14ac:dyDescent="0.2">
      <c r="A10" t="s">
        <v>104</v>
      </c>
      <c r="B10">
        <f>COUNTIFS($U$41:$U$44178,"Dust - Window Sill",$V$41:$V$44178, "Yes",$W$41:$W$44178, "Yes")</f>
        <v>1</v>
      </c>
      <c r="C10">
        <f>COUNTIFS($U$41:$U$44178,"Dust - Window Sill",$V$41:$V$44178, "No",$W$41:$W$44178, "No")</f>
        <v>19</v>
      </c>
      <c r="D10">
        <f>COUNTIFS($U$41:$U$44178,"Dust - Window Sill",$X$41:$X$44178, "Yes")</f>
        <v>20</v>
      </c>
      <c r="H10">
        <f>COUNTIFS($U$41:$U$44178,"Dust - Window Sill",$V$41:$V$44178, "Yes",$W$41:$W$44178, "No")</f>
        <v>14</v>
      </c>
      <c r="I10">
        <f>COUNTIFS($U$41:$U$44178,"Dust - Window Sill",$V$41:$V$44178, "No",$W$41:$W$44178, "Yes")</f>
        <v>0</v>
      </c>
      <c r="J10">
        <f>COUNTIFS($U$41:$U$44178,"Dust - Window Sill",$X$41:$X$44178, "No")</f>
        <v>14</v>
      </c>
      <c r="K10">
        <f>COUNTIFS($U$41:$U$44178,"Dust - Window Sill",$X$41:$X$44178, "N/A")</f>
        <v>29</v>
      </c>
      <c r="M10">
        <f t="shared" si="0"/>
        <v>63</v>
      </c>
      <c r="N10">
        <f t="shared" si="1"/>
        <v>34</v>
      </c>
      <c r="P10" s="15">
        <f t="shared" si="2"/>
        <v>0.58823529411764708</v>
      </c>
    </row>
    <row r="11" spans="1:47" x14ac:dyDescent="0.2">
      <c r="A11" t="s">
        <v>106</v>
      </c>
      <c r="B11">
        <f>COUNTIFS($U$41:$U$44178,"Dust - Overall",$V$41:$V$44178, "Yes",$W$41:$W$44178, "Yes")</f>
        <v>10</v>
      </c>
      <c r="C11">
        <f>COUNTIFS($U$41:$U$44178,"Dust - Overall",$V$41:$V$44178, "No",$W$41:$W$44178, "No")</f>
        <v>28</v>
      </c>
      <c r="D11">
        <f>COUNTIFS($U$41:$U$44178,"Dust - Overall",$X$41:$X$44178, "Yes")</f>
        <v>38</v>
      </c>
      <c r="H11">
        <f>COUNTIFS($U$41:$U$44178,"Dust - Overall",$V$41:$V$44178, "Yes",$W$41:$W$44178, "No")</f>
        <v>20</v>
      </c>
      <c r="I11">
        <f>COUNTIFS($U$41:$U$44178,"Dust - Overall",$V$41:$V$44178, "No",$W$41:$W$44178, "Yes")</f>
        <v>4</v>
      </c>
      <c r="J11">
        <f>COUNTIFS($U$41:$U$44178,"Dust - Overall",$X$41:$X$44178, "No")</f>
        <v>24</v>
      </c>
      <c r="K11">
        <f>COUNTIFS($U$41:$U$44178,"Dust - Overall",$X$41:$X$44178, "N/A")</f>
        <v>1</v>
      </c>
      <c r="M11">
        <f t="shared" si="0"/>
        <v>63</v>
      </c>
      <c r="N11">
        <f t="shared" si="1"/>
        <v>62</v>
      </c>
      <c r="P11" s="15">
        <f t="shared" si="2"/>
        <v>0.61290322580645162</v>
      </c>
    </row>
    <row r="12" spans="1:47" x14ac:dyDescent="0.2">
      <c r="P12" s="15"/>
    </row>
    <row r="13" spans="1:47" x14ac:dyDescent="0.2">
      <c r="P13" s="15"/>
    </row>
    <row r="14" spans="1:47" x14ac:dyDescent="0.2">
      <c r="A14" s="16" t="s">
        <v>268</v>
      </c>
      <c r="B14" s="16">
        <f>COUNTIFS($U$41:$U$44178,"Overall Lead",$V$41:$V$44178, "Yes",$W$41:$W$44178, "Yes")</f>
        <v>28</v>
      </c>
      <c r="C14" s="16">
        <f>COUNTIFS($U$41:$U$44178,"Overall Lead",$V$41:$V$44178, "No",$W$41:$W$44178, "No")</f>
        <v>17</v>
      </c>
      <c r="D14" s="16">
        <f>COUNTIFS($U$41:$U$44178,"Overall Lead",$X$41:$X$44178, "Yes")</f>
        <v>45</v>
      </c>
      <c r="E14" s="16"/>
      <c r="F14" s="16"/>
      <c r="G14" s="16"/>
      <c r="H14" s="16">
        <f>COUNTIFS($U$41:$U$44178,"Overall Lead",$V$41:$V$44178, "Yes",$W$41:$W$44178, "No")</f>
        <v>13</v>
      </c>
      <c r="I14" s="16">
        <f>COUNTIFS($U$41:$U$44178,"Overall Lead",$V$41:$V$44178, "No",$W$41:$W$44178, "Yes")</f>
        <v>5</v>
      </c>
      <c r="J14" s="16">
        <f>COUNTIFS($U$41:$U$44178,"Overall Lead",$X$41:$X$44178, "No")</f>
        <v>18</v>
      </c>
      <c r="K14" s="16">
        <f>COUNTIFS($U$41:$U$44178,"Overall Lead",$X$41:$X$44178, "N/A")</f>
        <v>0</v>
      </c>
      <c r="L14" s="16"/>
      <c r="M14" s="16">
        <f>D14+J14+K14</f>
        <v>63</v>
      </c>
      <c r="N14" s="16">
        <f>D14+J14</f>
        <v>63</v>
      </c>
      <c r="O14" s="16"/>
      <c r="P14" s="17">
        <f>D14/N14</f>
        <v>0.7142857142857143</v>
      </c>
    </row>
    <row r="15" spans="1:47" x14ac:dyDescent="0.2">
      <c r="V15" t="s">
        <v>341</v>
      </c>
      <c r="Y15">
        <f>COUNTIF(AA41:AA14000,"LRA-Soil")</f>
        <v>17</v>
      </c>
      <c r="AB15" t="s">
        <v>346</v>
      </c>
      <c r="AF15">
        <f>COUNTIF(AD41:AD13284,"LSK-Soil")</f>
        <v>21</v>
      </c>
      <c r="AH15" t="s">
        <v>349</v>
      </c>
      <c r="AL15" s="14">
        <f>COUNTIFS(AA41:AA13284,"LRA-Soil",AD41:AD13284,"LSK-Soil")</f>
        <v>14</v>
      </c>
      <c r="AM15" s="28">
        <f>AL15/Y15</f>
        <v>0.82352941176470584</v>
      </c>
      <c r="AO15" t="s">
        <v>370</v>
      </c>
      <c r="AT15">
        <f>COUNTIFS(AD41:AD13284,"LSK-Soil",AA41:AA13284,"LRA-Soil")</f>
        <v>14</v>
      </c>
      <c r="AU15">
        <v>8</v>
      </c>
    </row>
    <row r="16" spans="1:47" x14ac:dyDescent="0.2">
      <c r="A16" t="s">
        <v>253</v>
      </c>
      <c r="V16" t="s">
        <v>334</v>
      </c>
      <c r="Y16">
        <f>COUNTIFS(AA41:AA14000,"LRA-Soil",AB41:AB14000,"LRA-Paint")</f>
        <v>14</v>
      </c>
      <c r="AB16" t="s">
        <v>334</v>
      </c>
      <c r="AF16">
        <f>COUNTIFS(AD41:AD13284,"LSK-Soil",AE41:AE13284,"LSK-Paint")</f>
        <v>8</v>
      </c>
      <c r="AH16" t="s">
        <v>350</v>
      </c>
      <c r="AL16" s="14">
        <f>COUNTIFS(AB41:AB13284,"LRA-Paint",AE41:AE13284,"LSK-Paint")</f>
        <v>13</v>
      </c>
      <c r="AM16" s="28">
        <f>AL16/Y20</f>
        <v>0.48148148148148145</v>
      </c>
      <c r="AO16" t="s">
        <v>371</v>
      </c>
      <c r="AT16">
        <f>COUNTIFS(AE41:AE13284,"LSK-Paint",AB41:AB13284,"LRA-Paint")</f>
        <v>13</v>
      </c>
    </row>
    <row r="17" spans="1:56" x14ac:dyDescent="0.2">
      <c r="B17" t="s">
        <v>5</v>
      </c>
      <c r="C17" t="s">
        <v>9</v>
      </c>
      <c r="D17" t="s">
        <v>120</v>
      </c>
      <c r="M17" t="s">
        <v>265</v>
      </c>
      <c r="V17" t="s">
        <v>335</v>
      </c>
      <c r="Y17">
        <f>COUNTIFS(AA41:AA14000,"LRA-Soil",AC41:AC14000,"LRA-Dust")</f>
        <v>11</v>
      </c>
      <c r="AB17" t="s">
        <v>335</v>
      </c>
      <c r="AF17">
        <f>COUNTIFS(AD41:AD13284,"LSK-Soil",AF41:AF13284,"LSK-Dust")</f>
        <v>7</v>
      </c>
      <c r="AH17" t="s">
        <v>351</v>
      </c>
      <c r="AL17" s="14">
        <f>COUNTIFS(AC41:AC13284,"LRA-Dust",AF41:AF13284,"LSK-Dust")</f>
        <v>9</v>
      </c>
      <c r="AM17" s="28">
        <f>AL17/Y25</f>
        <v>0.31034482758620691</v>
      </c>
      <c r="AO17" t="s">
        <v>372</v>
      </c>
      <c r="AT17">
        <f>COUNTIFS(AF41:AF13284,"LSK-Dust",AC41:AC13284,"LRA-Dust")</f>
        <v>9</v>
      </c>
    </row>
    <row r="18" spans="1:56" x14ac:dyDescent="0.2">
      <c r="A18" t="s">
        <v>92</v>
      </c>
      <c r="B18">
        <f>COUNTIFS($U$41:$U$44178,"Soil - Play Area",$V$41:$V$44178, "Yes")</f>
        <v>4</v>
      </c>
      <c r="C18">
        <f>COUNTIFS($U$41:$U$44178,"Soil - Play Area",$V$41:$V$44178, "No")</f>
        <v>11</v>
      </c>
      <c r="D18">
        <f>COUNTIFS($U$41:$U$44178,"Soil - Play Area",$V$41:$V$44178, "N/A")</f>
        <v>47</v>
      </c>
      <c r="M18">
        <f t="shared" ref="M18:M26" si="3">B18+C18+D18</f>
        <v>62</v>
      </c>
      <c r="N18">
        <f t="shared" ref="N18:N26" si="4">B18+C18</f>
        <v>15</v>
      </c>
      <c r="V18" t="s">
        <v>336</v>
      </c>
      <c r="Y18">
        <f>COUNTIFS(AA41:AA14000,"LRA-Soil",AB41:AB14000,"LRA-Paint",AC41:AC14000,"LRA-Dust")</f>
        <v>9</v>
      </c>
      <c r="AB18" t="s">
        <v>336</v>
      </c>
      <c r="AF18">
        <f>COUNTIFS(AD41:AD13284,"LSK-Soil",AE41:AE13284,"LSK-Paint",AF41:AF13284,"LSK-Dust")</f>
        <v>4</v>
      </c>
      <c r="AH18" s="21"/>
      <c r="AO18" s="21"/>
    </row>
    <row r="19" spans="1:56" x14ac:dyDescent="0.2">
      <c r="A19" t="s">
        <v>95</v>
      </c>
      <c r="B19">
        <f>COUNTIFS($U$41:$U$44178,"Soil - Overall",$V$41:$V$44178, "Yes")</f>
        <v>17</v>
      </c>
      <c r="C19">
        <f>COUNTIFS($U$41:$U$44178,"Soil - Overall",$V$41:$V$44178, "No")</f>
        <v>43</v>
      </c>
      <c r="D19">
        <f>COUNTIFS($U$41:$U$44178,"Soil - Overall",$V$41:$V$44178, "N/A")</f>
        <v>3</v>
      </c>
      <c r="M19">
        <f t="shared" si="3"/>
        <v>63</v>
      </c>
      <c r="N19">
        <f t="shared" si="4"/>
        <v>60</v>
      </c>
      <c r="AH19" t="s">
        <v>352</v>
      </c>
      <c r="AL19">
        <f>COUNTIFS(AA41:AA13284,"LRA-Soil",AE41:AE13284,"LSK-Paint")</f>
        <v>7</v>
      </c>
      <c r="AM19" s="15">
        <f>AL19/$Y$15</f>
        <v>0.41176470588235292</v>
      </c>
      <c r="AO19" t="s">
        <v>373</v>
      </c>
      <c r="AT19">
        <f>COUNTIFS(AD41:AD13284,"LSK-Soil",AB41:AB13284,"LRA-Paint")</f>
        <v>15</v>
      </c>
      <c r="AU19" s="15">
        <f>AT19/$AF$15</f>
        <v>0.7142857142857143</v>
      </c>
      <c r="BA19" t="s">
        <v>465</v>
      </c>
      <c r="BB19" t="s">
        <v>466</v>
      </c>
      <c r="BC19" t="s">
        <v>467</v>
      </c>
      <c r="BD19" t="s">
        <v>468</v>
      </c>
    </row>
    <row r="20" spans="1:56" x14ac:dyDescent="0.2">
      <c r="A20" t="s">
        <v>163</v>
      </c>
      <c r="B20">
        <f>COUNTIFS($U$41:$U$44178,"Paint - Interior",$V$41:$V$44178, "Yes")</f>
        <v>22</v>
      </c>
      <c r="C20">
        <f>COUNTIFS($U$41:$U$44178,"Paint - Interior",$V$41:$V$44178, "No")</f>
        <v>39</v>
      </c>
      <c r="D20">
        <f>COUNTIFS($U$41:$U$44178,"Paint - Interior",$V$41:$V$44178, "N/A")</f>
        <v>2</v>
      </c>
      <c r="M20">
        <f t="shared" si="3"/>
        <v>63</v>
      </c>
      <c r="N20">
        <f t="shared" si="4"/>
        <v>61</v>
      </c>
      <c r="V20" t="s">
        <v>342</v>
      </c>
      <c r="Y20">
        <f>COUNTIF(AB41:AB14000,"LRA-Paint")</f>
        <v>27</v>
      </c>
      <c r="AB20" t="s">
        <v>347</v>
      </c>
      <c r="AF20">
        <f>COUNTIF(AE41:AE13284,"LSK-Paint")</f>
        <v>16</v>
      </c>
      <c r="AH20" t="s">
        <v>353</v>
      </c>
      <c r="AL20">
        <f>COUNTIFS(AA41:AA13284,"LRA-Soil",AF41:AF13284,"LSK-Dust")</f>
        <v>7</v>
      </c>
      <c r="AM20" s="15">
        <f t="shared" ref="AM20:AM24" si="5">AL20/$Y$15</f>
        <v>0.41176470588235292</v>
      </c>
      <c r="AO20" t="s">
        <v>374</v>
      </c>
      <c r="AT20">
        <f>COUNTIFS(AD41:AD13284,"LSK-Soil",AC41:AC13284,"LRA-Dust")</f>
        <v>14</v>
      </c>
      <c r="AU20" s="15">
        <f t="shared" ref="AU20:AU24" si="6">AT20/$AF$15</f>
        <v>0.66666666666666663</v>
      </c>
    </row>
    <row r="21" spans="1:56" x14ac:dyDescent="0.2">
      <c r="A21" t="s">
        <v>164</v>
      </c>
      <c r="B21">
        <f>COUNTIFS($U$41:$U$44178,"Paint - Exterior",$V$41:$V$44178, "Yes")</f>
        <v>23</v>
      </c>
      <c r="C21">
        <f>COUNTIFS($U$41:$U$44178,"Paint - Exterior",$V$41:$V$44178, "No")</f>
        <v>40</v>
      </c>
      <c r="D21">
        <f>COUNTIFS($U$41:$U$44178,"Paint - Exterior",$V$41:$V$44178, "N/A")</f>
        <v>0</v>
      </c>
      <c r="M21">
        <f t="shared" si="3"/>
        <v>63</v>
      </c>
      <c r="N21">
        <f t="shared" si="4"/>
        <v>63</v>
      </c>
      <c r="V21" t="s">
        <v>337</v>
      </c>
      <c r="Y21">
        <f>COUNTIFS(AB41:AB14000,"LRA-Paint",AA41:AA14000,"LRA-Soil")</f>
        <v>14</v>
      </c>
      <c r="AB21" t="s">
        <v>337</v>
      </c>
      <c r="AF21">
        <f>COUNTIFS(AE41:AE13284,"LSK-Paint",AD41:AD13284,"LSK-Soil")</f>
        <v>8</v>
      </c>
      <c r="AH21" t="s">
        <v>354</v>
      </c>
      <c r="AL21">
        <f>COUNTIFS(AA41:AA13284,"LRA-Soil",AD41:AD13284,"LSK-Soil",AE41:AE13284,"LSK-Paint")</f>
        <v>6</v>
      </c>
      <c r="AM21" s="15">
        <f t="shared" si="5"/>
        <v>0.35294117647058826</v>
      </c>
      <c r="AO21" t="s">
        <v>375</v>
      </c>
      <c r="AT21">
        <f>COUNTIFS(AD41:AD13284,"LSK-Soil",AA41:AA13284,"LRA-Soil",AB41:AB13284,"LRA-Paint")</f>
        <v>12</v>
      </c>
      <c r="AU21" s="15">
        <f t="shared" si="6"/>
        <v>0.5714285714285714</v>
      </c>
    </row>
    <row r="22" spans="1:56" x14ac:dyDescent="0.2">
      <c r="A22" t="s">
        <v>162</v>
      </c>
      <c r="B22">
        <f>COUNTIFS($U$41:$U$44178,"Paint - Overall",$V$41:$V$44178, "Yes")</f>
        <v>27</v>
      </c>
      <c r="C22">
        <f>COUNTIFS($U$41:$U$44178,"Paint - Overall",$V$41:$V$44178, "No")</f>
        <v>36</v>
      </c>
      <c r="D22">
        <f>COUNTIFS($U$41:$U$44178,"Paint - Overall",$V$41:$V$44178, "N/A")</f>
        <v>0</v>
      </c>
      <c r="M22">
        <f t="shared" si="3"/>
        <v>63</v>
      </c>
      <c r="N22">
        <f t="shared" si="4"/>
        <v>63</v>
      </c>
      <c r="V22" t="s">
        <v>338</v>
      </c>
      <c r="Y22">
        <f>COUNTIFS(AB41:AB14000,"LRA-Paint",AC41:AC14000,"LRA-Dust")</f>
        <v>16</v>
      </c>
      <c r="AB22" t="s">
        <v>338</v>
      </c>
      <c r="AF22">
        <f>COUNTIFS(AE41:AE13284,"LSK-Paint",AF41:AF13284,"LSK-Dust")</f>
        <v>7</v>
      </c>
      <c r="AH22" t="s">
        <v>355</v>
      </c>
      <c r="AL22">
        <f>COUNTIFS(AA41:AA13284,"LRA-Soil",AD41:AD13284,"LSK-Soil",AF41:AF13284,"LSK-Dust")</f>
        <v>5</v>
      </c>
      <c r="AM22" s="15">
        <f t="shared" si="5"/>
        <v>0.29411764705882354</v>
      </c>
      <c r="AO22" t="s">
        <v>376</v>
      </c>
      <c r="AT22">
        <f>COUNTIFS(AD41:AD13284,"LSK-Soil",AA41:AA13284,"LRA-Soil",AC41:AC13284,"LRA-Dust")</f>
        <v>8</v>
      </c>
      <c r="AU22" s="15">
        <f t="shared" si="6"/>
        <v>0.38095238095238093</v>
      </c>
    </row>
    <row r="23" spans="1:56" x14ac:dyDescent="0.2">
      <c r="A23" t="s">
        <v>101</v>
      </c>
      <c r="B23">
        <f>COUNTIFS($U$41:$U$44178,"Dust - Floor",$V$41:$V$44178, "Yes")</f>
        <v>24</v>
      </c>
      <c r="C23">
        <f>COUNTIFS($U$41:$U$44178,"Dust - Floor",$V$41:$V$44178, "No")</f>
        <v>30</v>
      </c>
      <c r="D23">
        <f>COUNTIFS($U$41:$U$44178,"Dust - Floor",$V$41:$V$44178, "N/A")</f>
        <v>9</v>
      </c>
      <c r="M23">
        <f t="shared" si="3"/>
        <v>63</v>
      </c>
      <c r="N23">
        <f t="shared" si="4"/>
        <v>54</v>
      </c>
      <c r="V23" t="s">
        <v>339</v>
      </c>
      <c r="Y23">
        <f>COUNTIFS(AB41:AB14000,"LRA-Paint", AA41:AA14000,"LRA-Soil", AC41:AC14000,"LRA-Dust")</f>
        <v>9</v>
      </c>
      <c r="AB23" t="s">
        <v>339</v>
      </c>
      <c r="AF23">
        <f>COUNTIFS(AE41:AE13284,"LSK-Paint", AD41:AD13284,"LSK-Soil", AF41:AF13284,"LSK-Dust")</f>
        <v>4</v>
      </c>
      <c r="AH23" t="s">
        <v>356</v>
      </c>
      <c r="AL23">
        <f>COUNTIFS(AA41:AA13284,"LRA-Soil",AF41:AF13284,"LSK-Dust",AE41:AE13284,"LSK-Paint")</f>
        <v>4</v>
      </c>
      <c r="AM23" s="15">
        <f t="shared" si="5"/>
        <v>0.23529411764705882</v>
      </c>
      <c r="AO23" t="s">
        <v>377</v>
      </c>
      <c r="AT23">
        <f>COUNTIFS(AD41:AD13284,"LSK-Soil",AB41:AB13284,"LRA-Paint",AC41:AC13284,"LRA-Dust")</f>
        <v>10</v>
      </c>
      <c r="AU23" s="15">
        <f t="shared" si="6"/>
        <v>0.47619047619047616</v>
      </c>
    </row>
    <row r="24" spans="1:56" x14ac:dyDescent="0.2">
      <c r="A24" t="s">
        <v>104</v>
      </c>
      <c r="B24">
        <f>COUNTIFS($U$41:$U$44178,"Dust - Window Sill",$V$41:$V$44178, "Yes")</f>
        <v>15</v>
      </c>
      <c r="C24">
        <f>COUNTIFS($U$41:$U$44178,"Dust - Window Sill",$V$41:$V$44178, "No")</f>
        <v>19</v>
      </c>
      <c r="D24">
        <f>COUNTIFS($U$41:$U$44178,"Dust - Window Sill",$V$41:$V$44178, "N/A")</f>
        <v>29</v>
      </c>
      <c r="M24">
        <f t="shared" si="3"/>
        <v>63</v>
      </c>
      <c r="N24">
        <f t="shared" si="4"/>
        <v>34</v>
      </c>
      <c r="AH24" t="s">
        <v>357</v>
      </c>
      <c r="AL24">
        <f>COUNTIFS(AA41:AA13284,"LRA-Soil",AD41:AD13284,"LSK-Soil",AE41:AE13284,"LSK-Paint", AF41:AF13284, "LSK-Dust")</f>
        <v>3</v>
      </c>
      <c r="AM24" s="15">
        <f t="shared" si="5"/>
        <v>0.17647058823529413</v>
      </c>
      <c r="AO24" t="s">
        <v>378</v>
      </c>
      <c r="AT24">
        <f>COUNTIFS(AD41:AD13284,"LSK-Soil",AA41:AA13284,"LRA-Soil",AB41:AB13284,"LRA-Paint",AC41:AC13284,"LRA-Dust")</f>
        <v>7</v>
      </c>
      <c r="AU24" s="15">
        <f t="shared" si="6"/>
        <v>0.33333333333333331</v>
      </c>
    </row>
    <row r="25" spans="1:56" x14ac:dyDescent="0.2">
      <c r="A25" t="s">
        <v>106</v>
      </c>
      <c r="B25">
        <f>COUNTIFS($U$41:$U$44178,"Dust - Overall",$V$41:$V$44178, "Yes")</f>
        <v>30</v>
      </c>
      <c r="C25">
        <f>COUNTIFS($U$41:$U$44178,"Dust - Overall",$V$41:$V$44178, "No")</f>
        <v>33</v>
      </c>
      <c r="D25">
        <f>COUNTIFS($U$41:$U$44178,"Dust - Overall",$V$41:$V$44178, "N/A")</f>
        <v>0</v>
      </c>
      <c r="M25">
        <f t="shared" si="3"/>
        <v>63</v>
      </c>
      <c r="N25">
        <f t="shared" si="4"/>
        <v>63</v>
      </c>
      <c r="V25" t="s">
        <v>343</v>
      </c>
      <c r="Y25">
        <f>COUNTIF(AC41:AC14000,"LRA-Dust")</f>
        <v>29</v>
      </c>
      <c r="AB25" t="s">
        <v>348</v>
      </c>
      <c r="AF25">
        <f>COUNTIF(AF41:AF13284,"LSK-Dust")</f>
        <v>15</v>
      </c>
    </row>
    <row r="26" spans="1:56" x14ac:dyDescent="0.2">
      <c r="A26" t="s">
        <v>121</v>
      </c>
      <c r="B26">
        <f>COUNTIFS($U$41:$U$44178,"Overall Lead",$V$41:$V$44178, "Yes")</f>
        <v>41</v>
      </c>
      <c r="C26">
        <f>COUNTIFS($U$41:$U$44178,"Overall Lead",$V$41:$V$44178, "No")</f>
        <v>22</v>
      </c>
      <c r="D26">
        <f>COUNTIFS($U$41:$U$44178,"Overall Lead",$V$41:$V$44178, "N/A")</f>
        <v>0</v>
      </c>
      <c r="M26">
        <f t="shared" si="3"/>
        <v>63</v>
      </c>
      <c r="N26">
        <f t="shared" si="4"/>
        <v>63</v>
      </c>
      <c r="V26" t="s">
        <v>340</v>
      </c>
      <c r="Y26">
        <f>COUNTIFS(AC41:AC14000,"LRA-Dust",AA41:AA14000,"LRA-Soil")</f>
        <v>11</v>
      </c>
      <c r="AB26" t="s">
        <v>340</v>
      </c>
      <c r="AF26">
        <f>COUNTIFS(AF41:AF13284,"LSK-Dust",AD41:AD13284,"LSK-Soil")</f>
        <v>7</v>
      </c>
      <c r="AH26" t="s">
        <v>358</v>
      </c>
      <c r="AL26">
        <f>COUNTIFS(AB41:AB13284,"LRA-Paint",AD41:AD13284,"LSK-Soil")</f>
        <v>15</v>
      </c>
      <c r="AM26" s="15">
        <f>AL26/$Y$20</f>
        <v>0.55555555555555558</v>
      </c>
      <c r="AO26" t="s">
        <v>379</v>
      </c>
      <c r="AT26">
        <f>COUNTIFS(AE41:AE13284,"LSK-Paint",AA41:AA13284,"LRA-Soil")</f>
        <v>7</v>
      </c>
      <c r="AU26" s="15">
        <f>AT26/$AF$20</f>
        <v>0.4375</v>
      </c>
    </row>
    <row r="27" spans="1:56" x14ac:dyDescent="0.2">
      <c r="V27" t="s">
        <v>344</v>
      </c>
      <c r="Y27">
        <f>COUNTIFS(AC41:AC14000,"LRA-Dust",AB41:AB14000,"LRA-Paint")</f>
        <v>16</v>
      </c>
      <c r="AB27" t="s">
        <v>344</v>
      </c>
      <c r="AF27">
        <f>COUNTIFS(AF41:AF13284,"LSK-Dust",AE41:AE13284,"LSK-Paint")</f>
        <v>7</v>
      </c>
      <c r="AH27" t="s">
        <v>359</v>
      </c>
      <c r="AL27">
        <f>COUNTIFS(AB41:AB13284,"LRA-Paint",AF41:AF13284,"LSK-Dust")</f>
        <v>9</v>
      </c>
      <c r="AM27" s="15">
        <f t="shared" ref="AM27:AM31" si="7">AL27/$Y$20</f>
        <v>0.33333333333333331</v>
      </c>
      <c r="AO27" t="s">
        <v>380</v>
      </c>
      <c r="AT27">
        <f>COUNTIFS(AE41:AE13284,"LSK-Paint",AC41:AC13284,"LRA-Dust")</f>
        <v>7</v>
      </c>
      <c r="AU27" s="15">
        <f t="shared" ref="AU27:AU31" si="8">AT27/$AF$20</f>
        <v>0.4375</v>
      </c>
    </row>
    <row r="28" spans="1:56" x14ac:dyDescent="0.2">
      <c r="A28" t="s">
        <v>254</v>
      </c>
      <c r="V28" t="s">
        <v>345</v>
      </c>
      <c r="Y28">
        <f>COUNTIFS(AC41:AC14000,"LRA-Dust", AA41:AA14000,"LRA-Soil", AB41:AB14000,"LRA-Paint" )</f>
        <v>9</v>
      </c>
      <c r="AB28" t="s">
        <v>345</v>
      </c>
      <c r="AF28">
        <f>COUNTIFS(AF41:AF13284,"LSK-Dust", AD41:AD13284,"LSK-Soil", AE41:AE13284,"LSK-Paint" )</f>
        <v>4</v>
      </c>
      <c r="AH28" t="s">
        <v>361</v>
      </c>
      <c r="AL28">
        <f>COUNTIFS(AB41:AB13284,"LRA-Paint",AD41:AD13284,"LSK-Soil",AE41:AE13284,"LSK-Paint")</f>
        <v>7</v>
      </c>
      <c r="AM28" s="15">
        <f t="shared" si="7"/>
        <v>0.25925925925925924</v>
      </c>
      <c r="AO28" t="s">
        <v>381</v>
      </c>
      <c r="AT28">
        <f>COUNTIFS(AE41:AE13284,"LSK-Paint",AA41:AA13284,"LRA-Soil", AB41:AB13284,"LRA-Paint")</f>
        <v>7</v>
      </c>
      <c r="AU28" s="15">
        <f t="shared" si="8"/>
        <v>0.4375</v>
      </c>
    </row>
    <row r="29" spans="1:56" x14ac:dyDescent="0.2">
      <c r="B29" t="s">
        <v>5</v>
      </c>
      <c r="C29" t="s">
        <v>9</v>
      </c>
      <c r="D29" t="s">
        <v>120</v>
      </c>
      <c r="AH29" t="s">
        <v>360</v>
      </c>
      <c r="AL29">
        <f>COUNTIFS(AB41:AB13284,"LRA-Paint",AD41:AD13284,"LSK-Soil",AF41:AF13284,"LSK-Dust")</f>
        <v>5</v>
      </c>
      <c r="AM29" s="15">
        <f t="shared" si="7"/>
        <v>0.18518518518518517</v>
      </c>
      <c r="AO29" t="s">
        <v>382</v>
      </c>
      <c r="AT29">
        <f>COUNTIFS(AE41:AE13284,"LSK-Paint",AA41:AA13284,"LRA-Soil", AC41:AC13284,"LRA-Dust")</f>
        <v>4</v>
      </c>
      <c r="AU29" s="15">
        <f t="shared" si="8"/>
        <v>0.25</v>
      </c>
    </row>
    <row r="30" spans="1:56" x14ac:dyDescent="0.2">
      <c r="A30" t="s">
        <v>92</v>
      </c>
      <c r="B30">
        <f>COUNTIFS($U$41:$U$44178,"Soil - Play Area",$W$41:$W$44178, "Yes")</f>
        <v>0</v>
      </c>
      <c r="C30">
        <f>COUNTIFS($U$41:$U$44178,"Soil - Play Area",$W$41:$W$44178, "No")</f>
        <v>0</v>
      </c>
      <c r="D30">
        <f>COUNTIFS($U$41:$U$44178,"Soil - Play Area",$W$41:$W$44178, "N/A")</f>
        <v>63</v>
      </c>
      <c r="M30">
        <f t="shared" ref="M30:M38" si="9">B30+C30+D30</f>
        <v>63</v>
      </c>
      <c r="N30">
        <f t="shared" ref="N30:N38" si="10">B30+C30</f>
        <v>0</v>
      </c>
      <c r="AH30" t="s">
        <v>362</v>
      </c>
      <c r="AL30">
        <f>COUNTIFS(AB41:AB13284,"LRA-Paint",AE41:AE13284,"LSK-Paint", AF41:AF13284,"LSK-Dust")</f>
        <v>7</v>
      </c>
      <c r="AM30" s="15">
        <f t="shared" si="7"/>
        <v>0.25925925925925924</v>
      </c>
      <c r="AO30" t="s">
        <v>383</v>
      </c>
      <c r="AT30">
        <f>COUNTIFS(AE41:AE13284,"LSK-Paint",AB41:AB13284,"LRA-Paint", AC41:AC13284,"LRA-Dust")</f>
        <v>6</v>
      </c>
      <c r="AU30" s="15">
        <f t="shared" si="8"/>
        <v>0.375</v>
      </c>
    </row>
    <row r="31" spans="1:56" x14ac:dyDescent="0.2">
      <c r="A31" t="s">
        <v>95</v>
      </c>
      <c r="B31">
        <f>COUNTIFS($U$41:$U$44178,"Soil - Overall",$W$41:$W$44178, "Yes")</f>
        <v>21</v>
      </c>
      <c r="C31">
        <f>COUNTIFS($U$41:$U$44178,"Soil - Overall",$W$41:$W$44178, "No")</f>
        <v>42</v>
      </c>
      <c r="D31">
        <f>COUNTIFS($U$41:$U$44178,"Soil - Overall",$W$41:$W$44178, "N/A")</f>
        <v>0</v>
      </c>
      <c r="M31">
        <f t="shared" si="9"/>
        <v>63</v>
      </c>
      <c r="N31">
        <f t="shared" si="10"/>
        <v>63</v>
      </c>
      <c r="AH31" t="s">
        <v>363</v>
      </c>
      <c r="AL31">
        <f>COUNTIFS(AB41:AB13284,"LRA-Paint",AD41:AD13284,"LSK-Soil",AE41:AE13284,"LSK-Paint", AF41:AF13284,"LSK-Dust")</f>
        <v>4</v>
      </c>
      <c r="AM31" s="15">
        <f t="shared" si="7"/>
        <v>0.14814814814814814</v>
      </c>
      <c r="AO31" t="s">
        <v>384</v>
      </c>
      <c r="AT31">
        <f>COUNTIFS(AE41:AE13284,"LSK-Paint",AA41:AA13284,"LRA-Soil",AB41:AB13284,"LRA-Paint", AC41:AC13284,"LRA-Dust")</f>
        <v>4</v>
      </c>
      <c r="AU31" s="15">
        <f t="shared" si="8"/>
        <v>0.25</v>
      </c>
    </row>
    <row r="32" spans="1:56" x14ac:dyDescent="0.2">
      <c r="A32" t="s">
        <v>163</v>
      </c>
      <c r="B32">
        <f>COUNTIFS($U$41:$U$44178,"Paint - Interior",$W$41:$W$44178, "Yes")</f>
        <v>1</v>
      </c>
      <c r="C32">
        <f>COUNTIFS($U$41:$U$44178,"Paint - Interior",$W$41:$W$44178, "No")</f>
        <v>57</v>
      </c>
      <c r="D32">
        <f>COUNTIFS($U$41:$U$44178,"Paint - Interior",$W$41:$W$44178, "N/A")</f>
        <v>5</v>
      </c>
      <c r="M32">
        <f t="shared" si="9"/>
        <v>63</v>
      </c>
      <c r="N32">
        <f t="shared" si="10"/>
        <v>58</v>
      </c>
    </row>
    <row r="33" spans="1:47" x14ac:dyDescent="0.2">
      <c r="A33" t="s">
        <v>164</v>
      </c>
      <c r="B33">
        <f>COUNTIFS($U$41:$U$44178,"Paint - Exterior",$W$41:$W$44178, "Yes")</f>
        <v>17</v>
      </c>
      <c r="C33">
        <f>COUNTIFS($U$41:$U$44178,"Paint - Exterior",$W$41:$W$44178, "No")</f>
        <v>40</v>
      </c>
      <c r="D33">
        <f>COUNTIFS($U$41:$U$44178,"Paint - Exterior",$W$41:$W$44178, "N/A")</f>
        <v>6</v>
      </c>
      <c r="M33">
        <f t="shared" si="9"/>
        <v>63</v>
      </c>
      <c r="N33">
        <f t="shared" si="10"/>
        <v>57</v>
      </c>
      <c r="AH33" t="s">
        <v>364</v>
      </c>
      <c r="AL33">
        <f>COUNTIFS(AC41:AC13284,"LRA-Dust",AE41:AE13284,"LSK-Paint")</f>
        <v>7</v>
      </c>
      <c r="AM33" s="15">
        <f>AL33/$Y$25</f>
        <v>0.2413793103448276</v>
      </c>
      <c r="AO33" t="s">
        <v>385</v>
      </c>
      <c r="AT33">
        <f>COUNTIFS(AF41:AF13284,"LSK-Dust",AB41:AB13284,"LRA-Paint")</f>
        <v>9</v>
      </c>
      <c r="AU33" s="15">
        <f>AT33/$AF$25</f>
        <v>0.6</v>
      </c>
    </row>
    <row r="34" spans="1:47" x14ac:dyDescent="0.2">
      <c r="A34" t="s">
        <v>162</v>
      </c>
      <c r="B34">
        <f>COUNTIFS($U$41:$U$44178,"Paint - Overall",$W$41:$W$44178, "Yes")</f>
        <v>16</v>
      </c>
      <c r="C34">
        <f>COUNTIFS($U$41:$U$44178,"Paint - Overall",$W$41:$W$44178, "No")</f>
        <v>45</v>
      </c>
      <c r="D34">
        <f>COUNTIFS($U$41:$U$44178,"Paint - Overall",$W$41:$W$44178, "N/A")</f>
        <v>2</v>
      </c>
      <c r="M34">
        <f t="shared" si="9"/>
        <v>63</v>
      </c>
      <c r="N34">
        <f t="shared" si="10"/>
        <v>61</v>
      </c>
      <c r="AH34" t="s">
        <v>366</v>
      </c>
      <c r="AL34">
        <f>COUNTIFS(AC41:AC13284,"LRA-Dust",AD41:AD13284,"LSK-Soil")</f>
        <v>14</v>
      </c>
      <c r="AM34" s="15">
        <f t="shared" ref="AM34:AM38" si="11">AL34/$Y$25</f>
        <v>0.48275862068965519</v>
      </c>
      <c r="AO34" t="s">
        <v>386</v>
      </c>
      <c r="AT34">
        <f>COUNTIFS(AF41:AF13284,"LSK-Dust",AA41:AA13284,"LRA-Soil")</f>
        <v>7</v>
      </c>
      <c r="AU34" s="15">
        <f t="shared" ref="AU34:AU38" si="12">AT34/$AF$25</f>
        <v>0.46666666666666667</v>
      </c>
    </row>
    <row r="35" spans="1:47" x14ac:dyDescent="0.2">
      <c r="A35" t="s">
        <v>101</v>
      </c>
      <c r="B35">
        <f>COUNTIFS($U$41:$U$44178,"Dust - Floor",$W$41:$W$44178, "Yes")</f>
        <v>10</v>
      </c>
      <c r="C35">
        <f>COUNTIFS($U$41:$U$44178,"Dust - Floor",$W$41:$W$44178, "No")</f>
        <v>52</v>
      </c>
      <c r="D35">
        <f>COUNTIFS($U$41:$U$44178,"Dust - Floor",$W$41:$W$44178, "N/A")</f>
        <v>1</v>
      </c>
      <c r="M35">
        <f t="shared" si="9"/>
        <v>63</v>
      </c>
      <c r="N35">
        <f t="shared" si="10"/>
        <v>62</v>
      </c>
      <c r="AH35" t="s">
        <v>365</v>
      </c>
      <c r="AL35">
        <f>COUNTIFS(AC41:AC13284,"LRA-Dust",AD41:AD13284,"LSK-Soil",AE41:AE13284,"LSK-Paint")</f>
        <v>5</v>
      </c>
      <c r="AM35" s="15">
        <f t="shared" si="11"/>
        <v>0.17241379310344829</v>
      </c>
      <c r="AO35" t="s">
        <v>387</v>
      </c>
      <c r="AT35">
        <f>COUNTIFS(AF41:AF13284,"LSK-Dust",AA41:AA13284,"LRA-Soil", AB41:AB13284,"LRA-Paint")</f>
        <v>6</v>
      </c>
      <c r="AU35" s="15">
        <f t="shared" si="12"/>
        <v>0.4</v>
      </c>
    </row>
    <row r="36" spans="1:47" x14ac:dyDescent="0.2">
      <c r="A36" t="s">
        <v>104</v>
      </c>
      <c r="B36">
        <f>COUNTIFS($U$41:$U$44178,"Dust - Window Sill",$W$41:$W$44178, "Yes")</f>
        <v>1</v>
      </c>
      <c r="C36">
        <f>COUNTIFS($U$41:$U$44178,"Dust - Window Sill",$W$41:$W$44178, "No")</f>
        <v>61</v>
      </c>
      <c r="D36">
        <f>COUNTIFS($U$41:$U$44178,"Dust - Window Sill",$W$41:$W$44178, "N/A")</f>
        <v>1</v>
      </c>
      <c r="M36">
        <f t="shared" si="9"/>
        <v>63</v>
      </c>
      <c r="N36">
        <f t="shared" si="10"/>
        <v>62</v>
      </c>
      <c r="AH36" t="s">
        <v>367</v>
      </c>
      <c r="AL36">
        <f>COUNTIFS(AC41:AC13284,"LRA-Dust",AD41:AD13284,"LSK-Soil",AF41:AF13284,"LSK-Dust")</f>
        <v>6</v>
      </c>
      <c r="AM36" s="15">
        <f t="shared" si="11"/>
        <v>0.20689655172413793</v>
      </c>
      <c r="AO36" t="s">
        <v>388</v>
      </c>
      <c r="AT36">
        <f>COUNTIFS(AF41:AF13284,"LSK-Dust",AA41:AA13284,"LRA-Soil", AC41:AC13284,"LRA-Dust")</f>
        <v>6</v>
      </c>
      <c r="AU36" s="15">
        <f t="shared" si="12"/>
        <v>0.4</v>
      </c>
    </row>
    <row r="37" spans="1:47" x14ac:dyDescent="0.2">
      <c r="A37" t="s">
        <v>106</v>
      </c>
      <c r="B37">
        <f>COUNTIFS($U$41:$U$44178,"Dust - Overall",$W$41:$W$44178, "Yes")</f>
        <v>14</v>
      </c>
      <c r="C37">
        <f>COUNTIFS($U$41:$U$44178,"Dust - Overall",$W$41:$W$44178, "No")</f>
        <v>48</v>
      </c>
      <c r="D37">
        <f>COUNTIFS($U$41:$U$44178,"Dust - Overall",$W$41:$W$44178, "N/A")</f>
        <v>1</v>
      </c>
      <c r="M37">
        <f t="shared" si="9"/>
        <v>63</v>
      </c>
      <c r="N37">
        <f t="shared" si="10"/>
        <v>62</v>
      </c>
      <c r="AH37" t="s">
        <v>368</v>
      </c>
      <c r="AL37">
        <f>COUNTIFS(AC41:AC13284,"LRA-Dust",AE41:AE13284,"LSK-Paint",AF41:AF13284,"LSK-Dust")</f>
        <v>4</v>
      </c>
      <c r="AM37" s="15">
        <f t="shared" si="11"/>
        <v>0.13793103448275862</v>
      </c>
      <c r="AO37" t="s">
        <v>389</v>
      </c>
      <c r="AT37">
        <f>COUNTIFS(AF41:AF13284,"LSK-Dust",AB41:AB13284,"LRA-Paint", AC41:AC13284,"LRA-Dust")</f>
        <v>6</v>
      </c>
      <c r="AU37" s="15">
        <f t="shared" si="12"/>
        <v>0.4</v>
      </c>
    </row>
    <row r="38" spans="1:47" x14ac:dyDescent="0.2">
      <c r="A38" t="s">
        <v>121</v>
      </c>
      <c r="B38">
        <f>COUNTIFS($U$41:$U$44178,"Overall Lead",$W$41:$W$44178, "Yes")</f>
        <v>33</v>
      </c>
      <c r="C38">
        <f>COUNTIFS($U$41:$U$44178,"Overall Lead",$W$41:$W$44178, "No")</f>
        <v>30</v>
      </c>
      <c r="D38">
        <f>COUNTIFS($U$41:$U$44178,"Overall Lead",$W$41:$W$44178, "N/A")</f>
        <v>0</v>
      </c>
      <c r="M38">
        <f t="shared" si="9"/>
        <v>63</v>
      </c>
      <c r="N38">
        <f t="shared" si="10"/>
        <v>63</v>
      </c>
      <c r="AH38" t="s">
        <v>369</v>
      </c>
      <c r="AL38">
        <f>COUNTIFS(AC41:AC13284,"LRA-Dust",AD41:AD13284,"LSK-Soil",AE41:AE13284,"LSK-Paint", AF41:AF13284,"LSK-Dust")</f>
        <v>3</v>
      </c>
      <c r="AM38" s="15">
        <f t="shared" si="11"/>
        <v>0.10344827586206896</v>
      </c>
      <c r="AO38" t="s">
        <v>390</v>
      </c>
      <c r="AT38">
        <f>COUNTIFS(AF41:AF13284,"LSK-Dust",AA41:AA13284,"LRA-Soil",AB41:AB13284,"LRA-Paint", AC41:AC13284,"LRA-Dust")</f>
        <v>5</v>
      </c>
      <c r="AU38" s="15">
        <f t="shared" si="12"/>
        <v>0.33333333333333331</v>
      </c>
    </row>
    <row r="41" spans="1:4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47" x14ac:dyDescent="0.2">
      <c r="A42" s="1">
        <f>VLOOKUP(C42,'Grid - LRA Samples'!$A$2:$B$108, 2,FALSE)</f>
        <v>391</v>
      </c>
      <c r="B42" s="2" t="s">
        <v>111</v>
      </c>
      <c r="C42" s="2">
        <v>8</v>
      </c>
      <c r="D42" s="2"/>
      <c r="E42" s="2"/>
      <c r="F42" s="2"/>
      <c r="G42" s="2"/>
      <c r="H42" s="2"/>
      <c r="I42" s="2"/>
      <c r="J42" s="2">
        <v>2021.6010000000001</v>
      </c>
      <c r="K42" s="2"/>
      <c r="L42" s="2"/>
      <c r="M42" s="2"/>
      <c r="N42" s="2"/>
    </row>
    <row r="43" spans="1:47" x14ac:dyDescent="0.2">
      <c r="A43" s="3" t="s">
        <v>0</v>
      </c>
      <c r="B43" s="2"/>
      <c r="C43" s="2"/>
      <c r="D43" s="2"/>
      <c r="E43" s="2" t="s">
        <v>274</v>
      </c>
      <c r="F43" s="2" t="s">
        <v>275</v>
      </c>
      <c r="G43" s="2" t="s">
        <v>119</v>
      </c>
      <c r="H43" s="2"/>
      <c r="I43" s="2"/>
      <c r="J43" s="3" t="s">
        <v>1</v>
      </c>
      <c r="K43" s="2"/>
      <c r="L43" s="2"/>
      <c r="M43" s="2"/>
      <c r="N43" s="2" t="s">
        <v>277</v>
      </c>
      <c r="O43" t="s">
        <v>278</v>
      </c>
      <c r="Q43" s="5" t="s">
        <v>115</v>
      </c>
      <c r="R43" s="5" t="s">
        <v>0</v>
      </c>
      <c r="S43" s="5" t="s">
        <v>1</v>
      </c>
      <c r="U43" s="5" t="s">
        <v>115</v>
      </c>
      <c r="V43" s="5" t="s">
        <v>0</v>
      </c>
      <c r="W43" s="5" t="s">
        <v>1</v>
      </c>
      <c r="X43" s="5" t="s">
        <v>122</v>
      </c>
      <c r="AA43" t="str">
        <f>IF(R44="Yes","LRA-Soil","")</f>
        <v/>
      </c>
      <c r="AB43" t="str">
        <f>IF(R45="Yes","LRA-Paint","")</f>
        <v>LRA-Paint</v>
      </c>
      <c r="AC43" t="str">
        <f>IF(R46="Yes","LRA-Dust","")</f>
        <v/>
      </c>
      <c r="AD43" t="str">
        <f>IF(S44="Yes","LSK-Soil","")</f>
        <v/>
      </c>
      <c r="AE43" t="str">
        <f>IF(S45="Yes","LSK-Paint","")</f>
        <v/>
      </c>
      <c r="AF43" t="str">
        <f>IF(S46="Yes","LSK-Dust","")</f>
        <v/>
      </c>
    </row>
    <row r="44" spans="1:47" x14ac:dyDescent="0.2">
      <c r="A44" s="2" t="s">
        <v>63</v>
      </c>
      <c r="B44" s="2" t="s">
        <v>89</v>
      </c>
      <c r="C44" s="2">
        <v>1.5</v>
      </c>
      <c r="D44" s="2" t="s">
        <v>4</v>
      </c>
      <c r="E44" s="2" t="s">
        <v>5</v>
      </c>
      <c r="F44" s="2" t="str">
        <f t="shared" ref="F44" si="13">IF(C44&gt;=$W$2,"Yes","No")</f>
        <v>Yes</v>
      </c>
      <c r="G44" s="2" t="s">
        <v>5</v>
      </c>
      <c r="H44" s="2" t="s">
        <v>46</v>
      </c>
      <c r="I44" s="2"/>
      <c r="J44" s="2" t="s">
        <v>6</v>
      </c>
      <c r="K44" s="2">
        <v>79</v>
      </c>
      <c r="L44" s="2" t="s">
        <v>12</v>
      </c>
      <c r="M44" s="2" t="s">
        <v>112</v>
      </c>
      <c r="N44" s="2" t="s">
        <v>9</v>
      </c>
      <c r="O44" t="str">
        <f t="shared" ref="O44:O46" si="14">IF(K44="Not","No",IF(K44="n/a","N/A",IF(K44&gt;$Y$3,"Yes","No")))</f>
        <v>No</v>
      </c>
      <c r="Q44" s="2" t="s">
        <v>116</v>
      </c>
      <c r="R44" t="str">
        <f>_xlfn.XLOOKUP("ppm",D44:D47,F44:F47,"N/A")</f>
        <v>No</v>
      </c>
      <c r="S44" t="str">
        <f>IF(COUNTIF(O44:O46,"Yes"),"Yes","No")</f>
        <v>No</v>
      </c>
      <c r="U44" t="s">
        <v>92</v>
      </c>
      <c r="V44" t="s">
        <v>120</v>
      </c>
      <c r="W44" t="s">
        <v>120</v>
      </c>
      <c r="X44" t="str">
        <f>IF(V44="N/A","N/A",IF(W44="N/A", "N/A", IF(V44=W44, "Yes","No")))</f>
        <v>N/A</v>
      </c>
    </row>
    <row r="45" spans="1:47" x14ac:dyDescent="0.2">
      <c r="A45" s="2" t="s">
        <v>75</v>
      </c>
      <c r="B45" s="2" t="s">
        <v>84</v>
      </c>
      <c r="C45" s="2">
        <v>28.6</v>
      </c>
      <c r="D45" s="2" t="s">
        <v>12</v>
      </c>
      <c r="E45" s="2" t="s">
        <v>9</v>
      </c>
      <c r="F45" s="2" t="str">
        <f>IF(C45&gt;$W$3,"Yes","No")</f>
        <v>No</v>
      </c>
      <c r="G45" s="2" t="s">
        <v>9</v>
      </c>
      <c r="H45" s="2"/>
      <c r="I45" s="2"/>
      <c r="J45" s="2" t="s">
        <v>11</v>
      </c>
      <c r="K45" s="2">
        <v>50.3</v>
      </c>
      <c r="L45" s="2" t="s">
        <v>12</v>
      </c>
      <c r="M45" s="2" t="s">
        <v>67</v>
      </c>
      <c r="N45" s="2" t="s">
        <v>9</v>
      </c>
      <c r="O45" t="str">
        <f t="shared" si="14"/>
        <v>No</v>
      </c>
      <c r="Q45" s="2" t="s">
        <v>98</v>
      </c>
      <c r="R45" t="str">
        <f>_xlfn.XLOOKUP("mg/cm2",D44:D47,G44:G47,"N/A")</f>
        <v>Yes</v>
      </c>
      <c r="S45" t="str">
        <f>IF(COUNTIF(O47:O48,"Yes"),"Yes","No")</f>
        <v>No</v>
      </c>
      <c r="U45" t="s">
        <v>95</v>
      </c>
      <c r="V45" t="str">
        <f>R44</f>
        <v>No</v>
      </c>
      <c r="W45" t="str">
        <f>S44</f>
        <v>No</v>
      </c>
      <c r="X45" t="str">
        <f t="shared" ref="X45:X47" si="15">IF(V45="N/A","N/A",IF(W45="N/A", "N/A", IF(V45=W45, "Yes","No")))</f>
        <v>Yes</v>
      </c>
    </row>
    <row r="46" spans="1:47" x14ac:dyDescent="0.2">
      <c r="A46" s="2" t="s">
        <v>113</v>
      </c>
      <c r="B46" s="2" t="s">
        <v>102</v>
      </c>
      <c r="C46" s="2">
        <v>3.3</v>
      </c>
      <c r="D46" s="2" t="s">
        <v>4</v>
      </c>
      <c r="E46" s="2" t="s">
        <v>5</v>
      </c>
      <c r="F46" s="2" t="str">
        <f t="shared" ref="F46" si="16">IF(C46&gt;=$W$2,"Yes","No")</f>
        <v>Yes</v>
      </c>
      <c r="G46" s="2" t="s">
        <v>5</v>
      </c>
      <c r="H46" s="2" t="s">
        <v>43</v>
      </c>
      <c r="I46" s="2"/>
      <c r="J46" s="2" t="s">
        <v>15</v>
      </c>
      <c r="K46" s="2">
        <v>46</v>
      </c>
      <c r="L46" s="2" t="s">
        <v>12</v>
      </c>
      <c r="M46" s="2" t="s">
        <v>114</v>
      </c>
      <c r="N46" s="2" t="s">
        <v>9</v>
      </c>
      <c r="O46" t="str">
        <f t="shared" si="14"/>
        <v>No</v>
      </c>
      <c r="Q46" s="2" t="s">
        <v>117</v>
      </c>
      <c r="R46" t="str">
        <f>_xlfn.XLOOKUP("ug/ft2",D44:D47,F44:F47,"N/A")</f>
        <v>No</v>
      </c>
      <c r="S46" t="str">
        <f>IF(COUNTIF(O49:O51,"Yes"),"Yes","No")</f>
        <v>No</v>
      </c>
      <c r="U46" t="s">
        <v>163</v>
      </c>
      <c r="V46" t="s">
        <v>5</v>
      </c>
      <c r="W46" t="s">
        <v>9</v>
      </c>
      <c r="X46" t="str">
        <f t="shared" si="15"/>
        <v>No</v>
      </c>
    </row>
    <row r="47" spans="1:47" x14ac:dyDescent="0.2">
      <c r="A47" s="2" t="s">
        <v>71</v>
      </c>
      <c r="B47" s="2" t="s">
        <v>110</v>
      </c>
      <c r="C47" s="2">
        <v>6.8</v>
      </c>
      <c r="D47" s="2" t="s">
        <v>33</v>
      </c>
      <c r="E47" s="2" t="s">
        <v>9</v>
      </c>
      <c r="F47" s="2" t="str">
        <f>IF(C47&gt;$W$6,"Yes","No")</f>
        <v>No</v>
      </c>
      <c r="G47" s="2" t="s">
        <v>9</v>
      </c>
      <c r="H47" s="2"/>
      <c r="I47" s="2"/>
      <c r="J47" s="2" t="s">
        <v>19</v>
      </c>
      <c r="K47" s="2">
        <v>18</v>
      </c>
      <c r="L47" s="2" t="s">
        <v>12</v>
      </c>
      <c r="M47" s="2" t="s">
        <v>43</v>
      </c>
      <c r="N47" s="2" t="s">
        <v>9</v>
      </c>
      <c r="O47" t="str">
        <f t="shared" ref="O47:O48" si="17">IF(K47="Not","No",IF(K47="n/a","N/A",IF(K47&gt;$Y$2,"Yes","No")))</f>
        <v>No</v>
      </c>
      <c r="Q47" s="2" t="s">
        <v>118</v>
      </c>
      <c r="R47" t="str">
        <f>IF(COUNTIF(R44:R46,"Yes"),"Yes","No")</f>
        <v>Yes</v>
      </c>
      <c r="S47" t="str">
        <f>IF(COUNTIF(S44:S46,"Yes"),"Yes","No")</f>
        <v>No</v>
      </c>
      <c r="U47" t="s">
        <v>164</v>
      </c>
      <c r="V47" t="s">
        <v>5</v>
      </c>
      <c r="W47" t="s">
        <v>9</v>
      </c>
      <c r="X47" t="str">
        <f t="shared" si="15"/>
        <v>No</v>
      </c>
    </row>
    <row r="48" spans="1:47" x14ac:dyDescent="0.2">
      <c r="A48" s="2"/>
      <c r="B48" s="2"/>
      <c r="C48" s="2"/>
      <c r="D48" s="2"/>
      <c r="E48" s="2"/>
      <c r="F48" s="2"/>
      <c r="G48" s="2"/>
      <c r="H48" s="2"/>
      <c r="I48" s="2"/>
      <c r="J48" s="2" t="s">
        <v>22</v>
      </c>
      <c r="K48" s="2" t="s">
        <v>44</v>
      </c>
      <c r="L48" s="2" t="s">
        <v>45</v>
      </c>
      <c r="M48" s="2" t="s">
        <v>46</v>
      </c>
      <c r="N48" s="2" t="s">
        <v>9</v>
      </c>
      <c r="O48" t="str">
        <f t="shared" si="17"/>
        <v>No</v>
      </c>
      <c r="U48" t="s">
        <v>162</v>
      </c>
      <c r="V48" t="str">
        <f>R45</f>
        <v>Yes</v>
      </c>
      <c r="W48" t="str">
        <f>S45</f>
        <v>No</v>
      </c>
      <c r="X48" t="str">
        <f>IF(V48="N/A","N/A",IF(W48="N/A", "N/A", IF(V48=W48, "Yes","No")))</f>
        <v>No</v>
      </c>
    </row>
    <row r="49" spans="1:32" x14ac:dyDescent="0.2">
      <c r="A49" s="2"/>
      <c r="B49" s="2"/>
      <c r="C49" s="2"/>
      <c r="D49" s="2"/>
      <c r="E49" s="2"/>
      <c r="F49" s="2"/>
      <c r="G49" s="2"/>
      <c r="H49" s="2"/>
      <c r="I49" s="2"/>
      <c r="J49" s="2" t="s">
        <v>25</v>
      </c>
      <c r="K49" s="2" t="s">
        <v>65</v>
      </c>
      <c r="L49" s="2"/>
      <c r="M49" s="2" t="s">
        <v>66</v>
      </c>
      <c r="N49" s="2" t="s">
        <v>9</v>
      </c>
      <c r="O49" t="str">
        <f t="shared" ref="O49:O51" si="18">IF(K49="Not","No",IF(K49="n/a","N/A",IF(K49&gt;$Y$6,"Yes","No")))</f>
        <v>N/A</v>
      </c>
      <c r="U49" t="s">
        <v>101</v>
      </c>
      <c r="V49" t="s">
        <v>9</v>
      </c>
      <c r="W49" t="s">
        <v>120</v>
      </c>
      <c r="X49" t="str">
        <f>IF(V49="N/A","N/A",IF(W49="N/A", "N/A", IF(V49=W49, "Yes","No")))</f>
        <v>N/A</v>
      </c>
    </row>
    <row r="50" spans="1:32" x14ac:dyDescent="0.2">
      <c r="A50" s="2"/>
      <c r="B50" s="2"/>
      <c r="C50" s="2"/>
      <c r="D50" s="2"/>
      <c r="E50" s="2"/>
      <c r="F50" s="2"/>
      <c r="G50" s="2"/>
      <c r="H50" s="2"/>
      <c r="I50" s="2"/>
      <c r="J50" s="2" t="s">
        <v>29</v>
      </c>
      <c r="K50" s="2" t="s">
        <v>65</v>
      </c>
      <c r="L50" s="2"/>
      <c r="M50" s="2" t="s">
        <v>66</v>
      </c>
      <c r="N50" s="2" t="s">
        <v>9</v>
      </c>
      <c r="O50" t="str">
        <f t="shared" si="18"/>
        <v>N/A</v>
      </c>
      <c r="U50" t="s">
        <v>104</v>
      </c>
      <c r="V50" t="s">
        <v>120</v>
      </c>
      <c r="W50" t="s">
        <v>120</v>
      </c>
      <c r="X50" t="str">
        <f>IF(V50="N/A","N/A",IF(W50="N/A", "N/A", IF(V50=W50, "Yes","No")))</f>
        <v>N/A</v>
      </c>
    </row>
    <row r="51" spans="1:32" x14ac:dyDescent="0.2">
      <c r="A51" s="2"/>
      <c r="B51" s="2"/>
      <c r="C51" s="2"/>
      <c r="D51" s="2"/>
      <c r="E51" s="2"/>
      <c r="F51" s="2"/>
      <c r="G51" s="2"/>
      <c r="H51" s="2"/>
      <c r="I51" s="2"/>
      <c r="J51" s="2" t="s">
        <v>34</v>
      </c>
      <c r="K51" s="2" t="s">
        <v>65</v>
      </c>
      <c r="L51" s="2"/>
      <c r="M51" s="2" t="s">
        <v>66</v>
      </c>
      <c r="N51" s="2" t="s">
        <v>9</v>
      </c>
      <c r="O51" t="str">
        <f t="shared" si="18"/>
        <v>N/A</v>
      </c>
      <c r="U51" t="s">
        <v>106</v>
      </c>
      <c r="V51" t="str">
        <f>R46</f>
        <v>No</v>
      </c>
      <c r="W51" t="s">
        <v>120</v>
      </c>
      <c r="X51" t="str">
        <f>IF(V51="N/A","N/A",IF(W51="N/A", "N/A", IF(V51=W51, "Yes","No")))</f>
        <v>N/A</v>
      </c>
    </row>
    <row r="52" spans="1:32" x14ac:dyDescent="0.2">
      <c r="U52" t="s">
        <v>121</v>
      </c>
      <c r="V52" t="str">
        <f>R47</f>
        <v>Yes</v>
      </c>
      <c r="W52" t="str">
        <f>S47</f>
        <v>No</v>
      </c>
      <c r="X52" t="str">
        <f>IF(V52="N/A","N/A",IF(W52="N/A", "N/A", IF(V52=W52, "Yes","No")))</f>
        <v>No</v>
      </c>
    </row>
    <row r="54" spans="1:32" x14ac:dyDescent="0.2">
      <c r="A54" s="1">
        <f>VLOOKUP(C54,'Grid - LRA Samples'!$A$2:$B$108, 2,FALSE)</f>
        <v>468</v>
      </c>
      <c r="B54" t="s">
        <v>111</v>
      </c>
      <c r="C54">
        <v>15</v>
      </c>
    </row>
    <row r="55" spans="1:32" x14ac:dyDescent="0.2">
      <c r="A55" s="5" t="s">
        <v>0</v>
      </c>
      <c r="E55" s="2" t="s">
        <v>274</v>
      </c>
      <c r="F55" s="2" t="s">
        <v>275</v>
      </c>
      <c r="G55" t="s">
        <v>119</v>
      </c>
      <c r="J55" s="5" t="s">
        <v>1</v>
      </c>
      <c r="N55" s="2" t="s">
        <v>277</v>
      </c>
      <c r="O55" t="s">
        <v>278</v>
      </c>
      <c r="Q55" s="5" t="s">
        <v>115</v>
      </c>
      <c r="R55" s="5" t="s">
        <v>0</v>
      </c>
      <c r="S55" s="5" t="s">
        <v>1</v>
      </c>
      <c r="U55" s="5" t="s">
        <v>115</v>
      </c>
      <c r="V55" s="5" t="s">
        <v>0</v>
      </c>
      <c r="W55" s="5" t="s">
        <v>1</v>
      </c>
      <c r="X55" s="5" t="s">
        <v>122</v>
      </c>
      <c r="AA55" t="str">
        <f>IF(R56="Yes","LRA-Soil","")</f>
        <v/>
      </c>
      <c r="AB55" t="str">
        <f>IF(R57="Yes","LRA-Paint","")</f>
        <v/>
      </c>
      <c r="AC55" t="str">
        <f>IF(R58="Yes","LRA-Dust","")</f>
        <v/>
      </c>
      <c r="AD55" t="str">
        <f>IF(S56="Yes","LSK-Soil","")</f>
        <v/>
      </c>
      <c r="AE55" t="str">
        <f>IF(S57="Yes","LSK-Paint","")</f>
        <v/>
      </c>
      <c r="AF55" t="str">
        <f>IF(S58="Yes","LSK-Dust","")</f>
        <v/>
      </c>
    </row>
    <row r="56" spans="1:32" x14ac:dyDescent="0.2">
      <c r="A56" t="s">
        <v>185</v>
      </c>
      <c r="B56" t="s">
        <v>211</v>
      </c>
      <c r="C56">
        <v>0.3</v>
      </c>
      <c r="D56" t="s">
        <v>4</v>
      </c>
      <c r="E56" t="s">
        <v>9</v>
      </c>
      <c r="F56" s="2" t="str">
        <f t="shared" ref="F56" si="19">IF(C56&gt;=$W$2,"Yes","No")</f>
        <v>No</v>
      </c>
      <c r="G56" t="s">
        <v>9</v>
      </c>
      <c r="H56" t="s">
        <v>46</v>
      </c>
      <c r="J56" s="2" t="s">
        <v>6</v>
      </c>
      <c r="K56">
        <v>17</v>
      </c>
      <c r="L56" t="s">
        <v>12</v>
      </c>
      <c r="M56" t="s">
        <v>114</v>
      </c>
      <c r="N56" t="s">
        <v>9</v>
      </c>
      <c r="O56" t="str">
        <f t="shared" ref="O56:O58" si="20">IF(K56="Not","No",IF(K56="n/a","N/A",IF(K56&gt;$Y$3,"Yes","No")))</f>
        <v>No</v>
      </c>
      <c r="Q56" s="2" t="s">
        <v>116</v>
      </c>
      <c r="R56" t="str">
        <f>_xlfn.XLOOKUP("ppm",D56:D59,F56:F59,"N/A")</f>
        <v>No</v>
      </c>
      <c r="S56" t="str">
        <f>IF(COUNTIF(O56:O58,"Yes"),"Yes","No")</f>
        <v>No</v>
      </c>
      <c r="U56" t="s">
        <v>92</v>
      </c>
      <c r="V56" t="s">
        <v>120</v>
      </c>
      <c r="W56" t="s">
        <v>120</v>
      </c>
      <c r="X56" t="str">
        <f>IF(V56="N/A","N/A",IF(W56="N/A", "N/A", IF(V56=W56, "Yes","No")))</f>
        <v>N/A</v>
      </c>
    </row>
    <row r="57" spans="1:32" x14ac:dyDescent="0.2">
      <c r="A57" t="s">
        <v>200</v>
      </c>
      <c r="B57" t="s">
        <v>215</v>
      </c>
      <c r="C57">
        <v>34.5</v>
      </c>
      <c r="D57" t="s">
        <v>12</v>
      </c>
      <c r="E57" t="s">
        <v>9</v>
      </c>
      <c r="F57" s="2" t="str">
        <f>IF(C57&gt;$W$3,"Yes","No")</f>
        <v>No</v>
      </c>
      <c r="G57" t="s">
        <v>9</v>
      </c>
      <c r="J57" s="2" t="s">
        <v>11</v>
      </c>
      <c r="K57">
        <v>22</v>
      </c>
      <c r="L57" t="s">
        <v>12</v>
      </c>
      <c r="M57" t="s">
        <v>67</v>
      </c>
      <c r="N57" t="s">
        <v>9</v>
      </c>
      <c r="O57" t="str">
        <f t="shared" si="20"/>
        <v>No</v>
      </c>
      <c r="Q57" s="2" t="s">
        <v>98</v>
      </c>
      <c r="R57" t="str">
        <f>_xlfn.XLOOKUP("mg/cm2",D56:D59,G56:G59,"N/A")</f>
        <v>No</v>
      </c>
      <c r="S57" t="str">
        <f>IF(COUNTIF(O59:O60,"Yes"),"Yes","No")</f>
        <v>No</v>
      </c>
      <c r="U57" t="s">
        <v>95</v>
      </c>
      <c r="V57" t="str">
        <f>R56</f>
        <v>No</v>
      </c>
      <c r="W57" t="str">
        <f>S56</f>
        <v>No</v>
      </c>
      <c r="X57" t="str">
        <f t="shared" ref="X57:X60" si="21">IF(V57="N/A","N/A",IF(W57="N/A", "N/A", IF(V57=W57, "Yes","No")))</f>
        <v>Yes</v>
      </c>
    </row>
    <row r="58" spans="1:32" x14ac:dyDescent="0.2">
      <c r="A58" t="s">
        <v>212</v>
      </c>
      <c r="B58" t="s">
        <v>189</v>
      </c>
      <c r="C58">
        <v>0.05</v>
      </c>
      <c r="D58" t="s">
        <v>4</v>
      </c>
      <c r="E58" t="s">
        <v>9</v>
      </c>
      <c r="F58" s="2" t="str">
        <f t="shared" ref="F58" si="22">IF(C58&gt;=$W$2,"Yes","No")</f>
        <v>No</v>
      </c>
      <c r="G58" t="s">
        <v>9</v>
      </c>
      <c r="H58" t="s">
        <v>43</v>
      </c>
      <c r="J58" s="2" t="s">
        <v>15</v>
      </c>
      <c r="K58">
        <v>29</v>
      </c>
      <c r="L58" t="s">
        <v>12</v>
      </c>
      <c r="M58" t="s">
        <v>112</v>
      </c>
      <c r="N58" t="s">
        <v>9</v>
      </c>
      <c r="O58" t="str">
        <f t="shared" si="20"/>
        <v>No</v>
      </c>
      <c r="Q58" s="2" t="s">
        <v>117</v>
      </c>
      <c r="R58" t="str">
        <f>_xlfn.XLOOKUP("ug/ft2",D56:D59,F56:F59,"N/A")</f>
        <v>No</v>
      </c>
      <c r="S58" t="str">
        <f>IF(COUNTIF(O61:O64,"Yes"),"Yes","No")</f>
        <v>No</v>
      </c>
      <c r="U58" t="s">
        <v>163</v>
      </c>
      <c r="V58" t="s">
        <v>9</v>
      </c>
      <c r="W58" t="s">
        <v>9</v>
      </c>
      <c r="X58" t="str">
        <f t="shared" si="21"/>
        <v>Yes</v>
      </c>
    </row>
    <row r="59" spans="1:32" x14ac:dyDescent="0.2">
      <c r="A59" t="s">
        <v>213</v>
      </c>
      <c r="B59" t="s">
        <v>214</v>
      </c>
      <c r="C59">
        <v>3</v>
      </c>
      <c r="D59" t="s">
        <v>33</v>
      </c>
      <c r="E59" t="s">
        <v>9</v>
      </c>
      <c r="F59" s="2" t="str">
        <f>IF(C59&gt;$W$6,"Yes","No")</f>
        <v>No</v>
      </c>
      <c r="G59" t="s">
        <v>9</v>
      </c>
      <c r="J59" s="2" t="s">
        <v>19</v>
      </c>
      <c r="K59">
        <v>19</v>
      </c>
      <c r="L59" t="s">
        <v>12</v>
      </c>
      <c r="M59" t="s">
        <v>46</v>
      </c>
      <c r="N59" t="s">
        <v>9</v>
      </c>
      <c r="O59" t="str">
        <f t="shared" ref="O59:O60" si="23">IF(K59="Not","No",IF(K59="n/a","N/A",IF(K59&gt;$Y$2,"Yes","No")))</f>
        <v>No</v>
      </c>
      <c r="Q59" s="2" t="s">
        <v>118</v>
      </c>
      <c r="R59" t="str">
        <f>IF(COUNTIF(R56:R58,"Yes"),"Yes","No")</f>
        <v>No</v>
      </c>
      <c r="S59" t="str">
        <f>IF(COUNTIF(S56:S58,"Yes"),"Yes","No")</f>
        <v>No</v>
      </c>
      <c r="U59" t="s">
        <v>164</v>
      </c>
      <c r="V59" t="s">
        <v>9</v>
      </c>
      <c r="W59" t="s">
        <v>9</v>
      </c>
      <c r="X59" t="str">
        <f t="shared" si="21"/>
        <v>Yes</v>
      </c>
    </row>
    <row r="60" spans="1:32" x14ac:dyDescent="0.2">
      <c r="J60" s="2" t="s">
        <v>22</v>
      </c>
      <c r="K60">
        <v>2.5</v>
      </c>
      <c r="L60" t="s">
        <v>12</v>
      </c>
      <c r="M60" t="s">
        <v>43</v>
      </c>
      <c r="N60" t="s">
        <v>9</v>
      </c>
      <c r="O60" t="str">
        <f t="shared" si="23"/>
        <v>No</v>
      </c>
      <c r="U60" t="s">
        <v>162</v>
      </c>
      <c r="V60" t="str">
        <f>R57</f>
        <v>No</v>
      </c>
      <c r="W60" t="str">
        <f>S57</f>
        <v>No</v>
      </c>
      <c r="X60" t="str">
        <f t="shared" si="21"/>
        <v>Yes</v>
      </c>
    </row>
    <row r="61" spans="1:32" x14ac:dyDescent="0.2">
      <c r="J61" s="2" t="s">
        <v>25</v>
      </c>
      <c r="K61">
        <v>9.6999999999999993</v>
      </c>
      <c r="L61" t="s">
        <v>12</v>
      </c>
      <c r="M61" t="s">
        <v>209</v>
      </c>
      <c r="N61" t="s">
        <v>9</v>
      </c>
      <c r="O61" t="str">
        <f>IF(K61="Not","No",IF(K61="n/a","N/A",IF(K61&gt;$Y$7,"Yes","No")))</f>
        <v>No</v>
      </c>
      <c r="U61" t="s">
        <v>101</v>
      </c>
      <c r="V61" t="s">
        <v>9</v>
      </c>
      <c r="W61" t="s">
        <v>9</v>
      </c>
      <c r="X61" t="str">
        <f>IF(V61="N/A","N/A",IF(W61="N/A", "N/A", IF(V61=W61, "Yes","No")))</f>
        <v>Yes</v>
      </c>
    </row>
    <row r="62" spans="1:32" x14ac:dyDescent="0.2">
      <c r="J62" s="2" t="s">
        <v>29</v>
      </c>
      <c r="K62">
        <v>2.5</v>
      </c>
      <c r="L62" t="s">
        <v>12</v>
      </c>
      <c r="M62" t="s">
        <v>126</v>
      </c>
      <c r="N62" t="s">
        <v>9</v>
      </c>
      <c r="O62" t="str">
        <f t="shared" ref="O62:O63" si="24">IF(K62="Not","No",IF(K62="n/a","N/A",IF(K62&gt;$Y$6,"Yes","No")))</f>
        <v>No</v>
      </c>
      <c r="U62" t="s">
        <v>104</v>
      </c>
      <c r="V62" t="s">
        <v>120</v>
      </c>
      <c r="W62" t="s">
        <v>9</v>
      </c>
      <c r="X62" t="str">
        <f>IF(V62="N/A","N/A",IF(W62="N/A", "N/A", IF(V62=W62, "Yes","No")))</f>
        <v>N/A</v>
      </c>
    </row>
    <row r="63" spans="1:32" x14ac:dyDescent="0.2">
      <c r="J63" s="2" t="s">
        <v>34</v>
      </c>
      <c r="K63">
        <v>2.5</v>
      </c>
      <c r="L63" t="s">
        <v>12</v>
      </c>
      <c r="M63" t="s">
        <v>50</v>
      </c>
      <c r="N63" t="s">
        <v>9</v>
      </c>
      <c r="O63" t="str">
        <f t="shared" si="24"/>
        <v>No</v>
      </c>
      <c r="U63" t="s">
        <v>106</v>
      </c>
      <c r="V63" t="str">
        <f>R58</f>
        <v>No</v>
      </c>
      <c r="W63" t="str">
        <f>S58</f>
        <v>No</v>
      </c>
      <c r="X63" t="str">
        <f>IF(V63="N/A","N/A",IF(W63="N/A", "N/A", IF(V63=W63, "Yes","No")))</f>
        <v>Yes</v>
      </c>
    </row>
    <row r="64" spans="1:32" x14ac:dyDescent="0.2">
      <c r="J64" s="2" t="s">
        <v>208</v>
      </c>
      <c r="K64">
        <v>2.5</v>
      </c>
      <c r="L64" t="s">
        <v>12</v>
      </c>
      <c r="M64" t="s">
        <v>210</v>
      </c>
      <c r="N64" t="s">
        <v>9</v>
      </c>
      <c r="O64" t="str">
        <f>IF(K64="Not","No",IF(K64="n/a","N/A",IF(K64&gt;$Y$5,"Yes","No")))</f>
        <v>No</v>
      </c>
      <c r="U64" t="s">
        <v>121</v>
      </c>
      <c r="V64" t="str">
        <f>R59</f>
        <v>No</v>
      </c>
      <c r="W64" t="str">
        <f>S59</f>
        <v>No</v>
      </c>
      <c r="X64" t="str">
        <f>IF(V64="N/A","N/A",IF(W64="N/A", "N/A", IF(V64=W64, "Yes","No")))</f>
        <v>Yes</v>
      </c>
    </row>
    <row r="66" spans="1:32" x14ac:dyDescent="0.2">
      <c r="A66" s="1">
        <f>VLOOKUP(C66,'Grid - LRA Samples'!$A$2:$B$108, 2,FALSE)</f>
        <v>469</v>
      </c>
      <c r="B66" t="s">
        <v>111</v>
      </c>
      <c r="C66">
        <v>16</v>
      </c>
    </row>
    <row r="67" spans="1:32" x14ac:dyDescent="0.2">
      <c r="A67" s="5" t="s">
        <v>0</v>
      </c>
      <c r="E67" s="2" t="s">
        <v>274</v>
      </c>
      <c r="F67" s="2" t="s">
        <v>275</v>
      </c>
      <c r="G67" t="s">
        <v>119</v>
      </c>
      <c r="J67" s="5" t="s">
        <v>1</v>
      </c>
      <c r="N67" s="2" t="s">
        <v>277</v>
      </c>
      <c r="O67" t="s">
        <v>278</v>
      </c>
      <c r="Q67" s="5" t="s">
        <v>115</v>
      </c>
      <c r="R67" s="5" t="s">
        <v>0</v>
      </c>
      <c r="S67" s="5" t="s">
        <v>1</v>
      </c>
      <c r="U67" s="5" t="s">
        <v>115</v>
      </c>
      <c r="V67" s="5" t="s">
        <v>0</v>
      </c>
      <c r="W67" s="5" t="s">
        <v>1</v>
      </c>
      <c r="X67" s="5" t="s">
        <v>122</v>
      </c>
      <c r="AA67" t="str">
        <f>IF(R68="Yes","LRA-Soil","")</f>
        <v/>
      </c>
      <c r="AB67" t="str">
        <f>IF(R69="Yes","LRA-Paint","")</f>
        <v>LRA-Paint</v>
      </c>
      <c r="AC67" t="str">
        <f>IF(R70="Yes","LRA-Dust","")</f>
        <v>LRA-Dust</v>
      </c>
      <c r="AD67" t="str">
        <f>IF(S68="Yes","LSK-Soil","")</f>
        <v/>
      </c>
      <c r="AE67" t="str">
        <f>IF(S69="Yes","LSK-Paint","")</f>
        <v>LSK-Paint</v>
      </c>
      <c r="AF67" t="str">
        <f>IF(S70="Yes","LSK-Dust","")</f>
        <v/>
      </c>
    </row>
    <row r="68" spans="1:32" x14ac:dyDescent="0.2">
      <c r="A68" t="s">
        <v>185</v>
      </c>
      <c r="B68" t="s">
        <v>217</v>
      </c>
      <c r="C68">
        <v>1.3</v>
      </c>
      <c r="D68" t="s">
        <v>4</v>
      </c>
      <c r="E68" t="s">
        <v>5</v>
      </c>
      <c r="F68" s="2" t="str">
        <f t="shared" ref="F68" si="25">IF(C68&gt;=$W$2,"Yes","No")</f>
        <v>Yes</v>
      </c>
      <c r="G68" t="s">
        <v>5</v>
      </c>
      <c r="H68" t="s">
        <v>46</v>
      </c>
      <c r="J68" s="2" t="s">
        <v>6</v>
      </c>
      <c r="K68">
        <v>65</v>
      </c>
      <c r="L68" t="s">
        <v>12</v>
      </c>
      <c r="M68" t="s">
        <v>114</v>
      </c>
      <c r="N68" t="s">
        <v>9</v>
      </c>
      <c r="O68" t="str">
        <f t="shared" ref="O68:O70" si="26">IF(K68="Not","No",IF(K68="n/a","N/A",IF(K68&gt;$Y$3,"Yes","No")))</f>
        <v>No</v>
      </c>
      <c r="Q68" s="2" t="s">
        <v>116</v>
      </c>
      <c r="R68" t="str">
        <f>_xlfn.XLOOKUP("mg/Kg",D68:D71,F68:F71,"N/A")</f>
        <v>No</v>
      </c>
      <c r="S68" t="str">
        <f>IF(COUNTIF(O68:O70,"Yes"),"Yes","No")</f>
        <v>No</v>
      </c>
      <c r="U68" t="s">
        <v>92</v>
      </c>
      <c r="V68" t="s">
        <v>120</v>
      </c>
      <c r="W68" t="s">
        <v>120</v>
      </c>
      <c r="X68" t="str">
        <f>IF(V68="N/A","N/A",IF(W68="N/A", "N/A", IF(V68=W68, "Yes","No")))</f>
        <v>N/A</v>
      </c>
    </row>
    <row r="69" spans="1:32" x14ac:dyDescent="0.2">
      <c r="A69" t="s">
        <v>200</v>
      </c>
      <c r="B69" t="s">
        <v>215</v>
      </c>
      <c r="C69">
        <v>140</v>
      </c>
      <c r="D69" t="s">
        <v>37</v>
      </c>
      <c r="E69" t="s">
        <v>9</v>
      </c>
      <c r="F69" s="2" t="str">
        <f>IF(C69&gt;$W$3,"Yes","No")</f>
        <v>No</v>
      </c>
      <c r="G69" t="s">
        <v>9</v>
      </c>
      <c r="J69" s="2" t="s">
        <v>11</v>
      </c>
      <c r="K69">
        <v>66.599999999999994</v>
      </c>
      <c r="L69" t="s">
        <v>12</v>
      </c>
      <c r="M69" t="s">
        <v>67</v>
      </c>
      <c r="N69" t="s">
        <v>9</v>
      </c>
      <c r="O69" t="str">
        <f t="shared" si="26"/>
        <v>No</v>
      </c>
      <c r="Q69" s="2" t="s">
        <v>98</v>
      </c>
      <c r="R69" t="str">
        <f>_xlfn.XLOOKUP("mg/cm2",D68:D71,G68:G71,"N/A")</f>
        <v>Yes</v>
      </c>
      <c r="S69" t="str">
        <f>IF(COUNTIF(O71:O72,"Yes"),"Yes","No")</f>
        <v>Yes</v>
      </c>
      <c r="U69" t="s">
        <v>95</v>
      </c>
      <c r="V69" t="str">
        <f>R68</f>
        <v>No</v>
      </c>
      <c r="W69" t="str">
        <f>S68</f>
        <v>No</v>
      </c>
      <c r="X69" t="str">
        <f t="shared" ref="X69:X72" si="27">IF(V69="N/A","N/A",IF(W69="N/A", "N/A", IF(V69=W69, "Yes","No")))</f>
        <v>Yes</v>
      </c>
    </row>
    <row r="70" spans="1:32" x14ac:dyDescent="0.2">
      <c r="A70" t="s">
        <v>191</v>
      </c>
      <c r="B70" t="s">
        <v>189</v>
      </c>
      <c r="C70">
        <v>0.05</v>
      </c>
      <c r="D70" t="s">
        <v>4</v>
      </c>
      <c r="E70" t="s">
        <v>9</v>
      </c>
      <c r="F70" s="2" t="str">
        <f t="shared" ref="F70" si="28">IF(C70&gt;=$W$2,"Yes","No")</f>
        <v>No</v>
      </c>
      <c r="G70" t="s">
        <v>9</v>
      </c>
      <c r="H70" t="s">
        <v>43</v>
      </c>
      <c r="J70" s="2" t="s">
        <v>15</v>
      </c>
      <c r="K70">
        <v>364</v>
      </c>
      <c r="L70" t="s">
        <v>12</v>
      </c>
      <c r="M70" t="s">
        <v>112</v>
      </c>
      <c r="N70" t="s">
        <v>9</v>
      </c>
      <c r="O70" t="str">
        <f t="shared" si="26"/>
        <v>No</v>
      </c>
      <c r="Q70" s="2" t="s">
        <v>117</v>
      </c>
      <c r="R70" t="str">
        <f>_xlfn.XLOOKUP("ug/ft2",D68:D71,F68:F71,"N/A")</f>
        <v>Yes</v>
      </c>
      <c r="S70" t="str">
        <f>IF(COUNTIF(O73:O76,"Yes"),"Yes","No")</f>
        <v>No</v>
      </c>
      <c r="U70" t="s">
        <v>163</v>
      </c>
      <c r="V70" t="s">
        <v>9</v>
      </c>
      <c r="W70" t="s">
        <v>9</v>
      </c>
      <c r="X70" t="str">
        <f t="shared" si="27"/>
        <v>Yes</v>
      </c>
    </row>
    <row r="71" spans="1:32" x14ac:dyDescent="0.2">
      <c r="A71" t="s">
        <v>201</v>
      </c>
      <c r="B71" t="s">
        <v>214</v>
      </c>
      <c r="C71">
        <v>127</v>
      </c>
      <c r="D71" t="s">
        <v>33</v>
      </c>
      <c r="E71" t="s">
        <v>5</v>
      </c>
      <c r="F71" s="2" t="str">
        <f>IF(C71&gt;$W$6,"Yes","No")</f>
        <v>Yes</v>
      </c>
      <c r="G71" t="s">
        <v>5</v>
      </c>
      <c r="J71" s="2" t="s">
        <v>19</v>
      </c>
      <c r="K71">
        <v>2.5</v>
      </c>
      <c r="L71" t="s">
        <v>12</v>
      </c>
      <c r="M71" t="s">
        <v>43</v>
      </c>
      <c r="N71" t="s">
        <v>9</v>
      </c>
      <c r="O71" t="str">
        <f t="shared" ref="O71:O72" si="29">IF(K71="Not","No",IF(K71="n/a","N/A",IF(K71&gt;$Y$2,"Yes","No")))</f>
        <v>No</v>
      </c>
      <c r="Q71" s="2" t="s">
        <v>118</v>
      </c>
      <c r="R71" t="str">
        <f>IF(COUNTIF(R68:R70,"Yes"),"Yes","No")</f>
        <v>Yes</v>
      </c>
      <c r="S71" t="str">
        <f>IF(COUNTIF(S68:S70,"Yes"),"Yes","No")</f>
        <v>Yes</v>
      </c>
      <c r="U71" t="s">
        <v>164</v>
      </c>
      <c r="V71" t="s">
        <v>5</v>
      </c>
      <c r="W71" t="s">
        <v>5</v>
      </c>
      <c r="X71" t="str">
        <f t="shared" si="27"/>
        <v>Yes</v>
      </c>
    </row>
    <row r="72" spans="1:32" x14ac:dyDescent="0.2">
      <c r="A72" t="s">
        <v>218</v>
      </c>
      <c r="B72" t="s">
        <v>56</v>
      </c>
      <c r="C72">
        <v>1.7</v>
      </c>
      <c r="D72" t="s">
        <v>219</v>
      </c>
      <c r="E72" t="s">
        <v>5</v>
      </c>
      <c r="F72" s="2" t="str">
        <f t="shared" ref="F72" si="30">IF(C72&gt;=$W$2,"Yes","No")</f>
        <v>Yes</v>
      </c>
      <c r="G72" t="s">
        <v>5</v>
      </c>
      <c r="J72" s="2" t="s">
        <v>22</v>
      </c>
      <c r="K72">
        <v>34923</v>
      </c>
      <c r="L72" t="s">
        <v>12</v>
      </c>
      <c r="M72" t="s">
        <v>46</v>
      </c>
      <c r="N72" t="s">
        <v>5</v>
      </c>
      <c r="O72" t="str">
        <f t="shared" si="29"/>
        <v>Yes</v>
      </c>
      <c r="U72" t="s">
        <v>162</v>
      </c>
      <c r="V72" t="str">
        <f>R69</f>
        <v>Yes</v>
      </c>
      <c r="W72" t="str">
        <f>S69</f>
        <v>Yes</v>
      </c>
      <c r="X72" t="str">
        <f t="shared" si="27"/>
        <v>Yes</v>
      </c>
    </row>
    <row r="73" spans="1:32" x14ac:dyDescent="0.2">
      <c r="J73" s="2" t="s">
        <v>25</v>
      </c>
      <c r="K73">
        <v>2.5</v>
      </c>
      <c r="L73" t="s">
        <v>12</v>
      </c>
      <c r="M73" t="s">
        <v>126</v>
      </c>
      <c r="N73" t="s">
        <v>9</v>
      </c>
      <c r="O73" t="str">
        <f t="shared" ref="O73:O74" si="31">IF(K73="Not","No",IF(K73="n/a","N/A",IF(K73&gt;$Y$6,"Yes","No")))</f>
        <v>No</v>
      </c>
      <c r="U73" t="s">
        <v>101</v>
      </c>
      <c r="V73" t="s">
        <v>5</v>
      </c>
      <c r="W73" t="s">
        <v>9</v>
      </c>
      <c r="X73" t="str">
        <f>IF(V73="N/A","N/A",IF(W73="N/A", "N/A", IF(V73=W73, "Yes","No")))</f>
        <v>No</v>
      </c>
    </row>
    <row r="74" spans="1:32" x14ac:dyDescent="0.2">
      <c r="J74" s="2" t="s">
        <v>29</v>
      </c>
      <c r="K74">
        <v>2.5</v>
      </c>
      <c r="L74" t="s">
        <v>12</v>
      </c>
      <c r="M74" t="s">
        <v>50</v>
      </c>
      <c r="N74" t="s">
        <v>9</v>
      </c>
      <c r="O74" t="str">
        <f t="shared" si="31"/>
        <v>No</v>
      </c>
      <c r="U74" t="s">
        <v>104</v>
      </c>
      <c r="V74" t="s">
        <v>120</v>
      </c>
      <c r="W74" t="s">
        <v>9</v>
      </c>
      <c r="X74" t="str">
        <f>IF(V74="N/A","N/A",IF(W74="N/A", "N/A", IF(V74=W74, "Yes","No")))</f>
        <v>N/A</v>
      </c>
    </row>
    <row r="75" spans="1:32" x14ac:dyDescent="0.2">
      <c r="J75" s="2" t="s">
        <v>34</v>
      </c>
      <c r="K75">
        <v>2.5</v>
      </c>
      <c r="L75" t="s">
        <v>12</v>
      </c>
      <c r="M75" t="s">
        <v>210</v>
      </c>
      <c r="N75" t="s">
        <v>9</v>
      </c>
      <c r="O75" t="str">
        <f>IF(K75="Not","No",IF(K75="n/a","N/A",IF(K75&gt;$Y$5,"Yes","No")))</f>
        <v>No</v>
      </c>
      <c r="U75" t="s">
        <v>106</v>
      </c>
      <c r="V75" t="str">
        <f>R70</f>
        <v>Yes</v>
      </c>
      <c r="W75" t="str">
        <f>S70</f>
        <v>No</v>
      </c>
      <c r="X75" t="str">
        <f>IF(V75="N/A","N/A",IF(W75="N/A", "N/A", IF(V75=W75, "Yes","No")))</f>
        <v>No</v>
      </c>
    </row>
    <row r="76" spans="1:32" x14ac:dyDescent="0.2">
      <c r="J76" s="2" t="s">
        <v>208</v>
      </c>
      <c r="K76">
        <v>143</v>
      </c>
      <c r="L76" t="s">
        <v>12</v>
      </c>
      <c r="M76" t="s">
        <v>209</v>
      </c>
      <c r="N76" t="s">
        <v>5</v>
      </c>
      <c r="O76" t="str">
        <f>IF(K76="Not","No",IF(K76="n/a","N/A",IF(K76&gt;$Y$7,"Yes","No")))</f>
        <v>No</v>
      </c>
      <c r="U76" t="s">
        <v>121</v>
      </c>
      <c r="V76" t="str">
        <f>R71</f>
        <v>Yes</v>
      </c>
      <c r="W76" t="str">
        <f>S71</f>
        <v>Yes</v>
      </c>
      <c r="X76" t="str">
        <f>IF(V76="N/A","N/A",IF(W76="N/A", "N/A", IF(V76=W76, "Yes","No")))</f>
        <v>Yes</v>
      </c>
    </row>
    <row r="78" spans="1:32" x14ac:dyDescent="0.2">
      <c r="A78" s="1">
        <f>VLOOKUP(C78,'Grid - LRA Samples'!$A$2:$B$108, 2,FALSE)</f>
        <v>591</v>
      </c>
      <c r="B78" t="s">
        <v>111</v>
      </c>
      <c r="C78">
        <v>17</v>
      </c>
    </row>
    <row r="79" spans="1:32" x14ac:dyDescent="0.2">
      <c r="A79" s="5" t="s">
        <v>0</v>
      </c>
      <c r="E79" s="2" t="s">
        <v>274</v>
      </c>
      <c r="F79" s="2" t="s">
        <v>275</v>
      </c>
      <c r="G79" t="s">
        <v>119</v>
      </c>
      <c r="J79" s="5" t="s">
        <v>1</v>
      </c>
      <c r="N79" s="2" t="s">
        <v>277</v>
      </c>
      <c r="O79" t="s">
        <v>278</v>
      </c>
      <c r="Q79" s="5" t="s">
        <v>115</v>
      </c>
      <c r="R79" s="5" t="s">
        <v>0</v>
      </c>
      <c r="S79" s="5" t="s">
        <v>1</v>
      </c>
      <c r="U79" s="5" t="s">
        <v>115</v>
      </c>
      <c r="V79" s="5" t="s">
        <v>0</v>
      </c>
      <c r="W79" s="5" t="s">
        <v>1</v>
      </c>
      <c r="X79" s="5" t="s">
        <v>122</v>
      </c>
      <c r="AA79" t="str">
        <f>IF(R80="Yes","LRA-Soil","")</f>
        <v>LRA-Soil</v>
      </c>
      <c r="AB79" t="str">
        <f>IF(R81="Yes","LRA-Paint","")</f>
        <v>LRA-Paint</v>
      </c>
      <c r="AC79" t="str">
        <f>IF(R82="Yes","LRA-Dust","")</f>
        <v>LRA-Dust</v>
      </c>
      <c r="AD79" t="str">
        <f>IF(S80="Yes","LSK-Soil","")</f>
        <v>LSK-Soil</v>
      </c>
      <c r="AE79" t="str">
        <f>IF(S81="Yes","LSK-Paint","")</f>
        <v>LSK-Paint</v>
      </c>
      <c r="AF79" t="str">
        <f>IF(S82="Yes","LSK-Dust","")</f>
        <v/>
      </c>
    </row>
    <row r="80" spans="1:32" x14ac:dyDescent="0.2">
      <c r="A80" t="s">
        <v>185</v>
      </c>
      <c r="B80" t="s">
        <v>220</v>
      </c>
      <c r="C80">
        <v>23</v>
      </c>
      <c r="D80" t="s">
        <v>4</v>
      </c>
      <c r="E80" t="s">
        <v>5</v>
      </c>
      <c r="F80" s="2" t="str">
        <f t="shared" ref="F80" si="32">IF(C80&gt;=$W$2,"Yes","No")</f>
        <v>Yes</v>
      </c>
      <c r="G80" t="s">
        <v>5</v>
      </c>
      <c r="H80" t="s">
        <v>46</v>
      </c>
      <c r="J80" s="2" t="s">
        <v>6</v>
      </c>
      <c r="K80">
        <v>67</v>
      </c>
      <c r="L80" t="s">
        <v>12</v>
      </c>
      <c r="M80" t="s">
        <v>114</v>
      </c>
      <c r="N80" t="s">
        <v>9</v>
      </c>
      <c r="O80" t="str">
        <f t="shared" ref="O80:O82" si="33">IF(K80="Not","No",IF(K80="n/a","N/A",IF(K80&gt;$Y$3,"Yes","No")))</f>
        <v>No</v>
      </c>
      <c r="Q80" s="2" t="s">
        <v>116</v>
      </c>
      <c r="R80" t="str">
        <f>_xlfn.XLOOKUP("ppm",D80:D83,F80:F83,"N/A")</f>
        <v>Yes</v>
      </c>
      <c r="S80" t="str">
        <f>IF(COUNTIF(O80:O82,"Yes"),"Yes","No")</f>
        <v>Yes</v>
      </c>
      <c r="U80" t="s">
        <v>92</v>
      </c>
      <c r="V80" t="s">
        <v>120</v>
      </c>
      <c r="W80" t="s">
        <v>120</v>
      </c>
      <c r="X80" t="str">
        <f>IF(V80="N/A","N/A",IF(W80="N/A", "N/A", IF(V80=W80, "Yes","No")))</f>
        <v>N/A</v>
      </c>
    </row>
    <row r="81" spans="1:32" x14ac:dyDescent="0.2">
      <c r="A81" t="s">
        <v>187</v>
      </c>
      <c r="B81" t="s">
        <v>202</v>
      </c>
      <c r="C81">
        <v>2540</v>
      </c>
      <c r="D81" t="s">
        <v>12</v>
      </c>
      <c r="E81" t="s">
        <v>5</v>
      </c>
      <c r="F81" s="2" t="str">
        <f>IF(C81&gt;$W$3,"Yes","No")</f>
        <v>Yes</v>
      </c>
      <c r="G81" t="s">
        <v>5</v>
      </c>
      <c r="J81" s="2" t="s">
        <v>11</v>
      </c>
      <c r="K81">
        <v>497</v>
      </c>
      <c r="L81" t="s">
        <v>12</v>
      </c>
      <c r="M81" t="s">
        <v>67</v>
      </c>
      <c r="N81" t="s">
        <v>9</v>
      </c>
      <c r="O81" t="str">
        <f t="shared" si="33"/>
        <v>Yes</v>
      </c>
      <c r="Q81" s="2" t="s">
        <v>98</v>
      </c>
      <c r="R81" t="str">
        <f>_xlfn.XLOOKUP("mg/cm2",D80:D83,G80:G83,"N/A")</f>
        <v>Yes</v>
      </c>
      <c r="S81" t="str">
        <f>IF(COUNTIF(O83:O84,"Yes"),"Yes","No")</f>
        <v>Yes</v>
      </c>
      <c r="U81" t="s">
        <v>95</v>
      </c>
      <c r="V81" t="str">
        <f>R80</f>
        <v>Yes</v>
      </c>
      <c r="W81" t="str">
        <f>S80</f>
        <v>Yes</v>
      </c>
      <c r="X81" t="str">
        <f t="shared" ref="X81:X84" si="34">IF(V81="N/A","N/A",IF(W81="N/A", "N/A", IF(V81=W81, "Yes","No")))</f>
        <v>Yes</v>
      </c>
    </row>
    <row r="82" spans="1:32" x14ac:dyDescent="0.2">
      <c r="A82" t="s">
        <v>213</v>
      </c>
      <c r="B82" t="s">
        <v>221</v>
      </c>
      <c r="C82">
        <v>7</v>
      </c>
      <c r="D82" t="s">
        <v>4</v>
      </c>
      <c r="E82" t="s">
        <v>5</v>
      </c>
      <c r="F82" s="2" t="str">
        <f t="shared" ref="F82" si="35">IF(C82&gt;=$W$2,"Yes","No")</f>
        <v>Yes</v>
      </c>
      <c r="G82" t="s">
        <v>5</v>
      </c>
      <c r="H82" t="s">
        <v>43</v>
      </c>
      <c r="J82" s="2" t="s">
        <v>15</v>
      </c>
      <c r="K82">
        <v>1435</v>
      </c>
      <c r="L82" t="s">
        <v>12</v>
      </c>
      <c r="M82" t="s">
        <v>112</v>
      </c>
      <c r="N82" t="s">
        <v>5</v>
      </c>
      <c r="O82" t="str">
        <f t="shared" si="33"/>
        <v>Yes</v>
      </c>
      <c r="Q82" s="2" t="s">
        <v>117</v>
      </c>
      <c r="R82" t="str">
        <f>_xlfn.XLOOKUP("ug/ft2",D80:D83,F80:F83,"N/A")</f>
        <v>Yes</v>
      </c>
      <c r="S82" t="str">
        <f>IF(COUNTIF(O85:O88,"Yes"),"Yes","No")</f>
        <v>No</v>
      </c>
      <c r="U82" t="s">
        <v>163</v>
      </c>
      <c r="V82" t="s">
        <v>5</v>
      </c>
      <c r="W82" t="s">
        <v>9</v>
      </c>
      <c r="X82" t="str">
        <f t="shared" si="34"/>
        <v>No</v>
      </c>
    </row>
    <row r="83" spans="1:32" x14ac:dyDescent="0.2">
      <c r="A83" t="s">
        <v>201</v>
      </c>
      <c r="B83" t="s">
        <v>214</v>
      </c>
      <c r="C83">
        <v>862</v>
      </c>
      <c r="D83" t="s">
        <v>33</v>
      </c>
      <c r="E83" t="s">
        <v>5</v>
      </c>
      <c r="F83" s="2" t="str">
        <f>IF(C83&gt;$W$6,"Yes","No")</f>
        <v>Yes</v>
      </c>
      <c r="G83" t="s">
        <v>5</v>
      </c>
      <c r="J83" s="2" t="s">
        <v>19</v>
      </c>
      <c r="K83">
        <v>37914</v>
      </c>
      <c r="L83" t="s">
        <v>12</v>
      </c>
      <c r="M83" t="s">
        <v>46</v>
      </c>
      <c r="N83" t="s">
        <v>5</v>
      </c>
      <c r="O83" t="str">
        <f t="shared" ref="O83:O84" si="36">IF(K83="Not","No",IF(K83="n/a","N/A",IF(K83&gt;$Y$2,"Yes","No")))</f>
        <v>Yes</v>
      </c>
      <c r="Q83" s="2" t="s">
        <v>118</v>
      </c>
      <c r="R83" t="str">
        <f>IF(COUNTIF(R80:R82,"Yes"),"Yes","No")</f>
        <v>Yes</v>
      </c>
      <c r="S83" t="str">
        <f>IF(COUNTIF(S80:S82,"Yes"),"Yes","No")</f>
        <v>Yes</v>
      </c>
      <c r="U83" t="s">
        <v>164</v>
      </c>
      <c r="V83" t="s">
        <v>5</v>
      </c>
      <c r="W83" t="s">
        <v>5</v>
      </c>
      <c r="X83" t="str">
        <f t="shared" si="34"/>
        <v>Yes</v>
      </c>
    </row>
    <row r="84" spans="1:32" x14ac:dyDescent="0.2">
      <c r="J84" s="2" t="s">
        <v>22</v>
      </c>
      <c r="K84">
        <v>3157</v>
      </c>
      <c r="L84" t="s">
        <v>12</v>
      </c>
      <c r="M84" t="s">
        <v>43</v>
      </c>
      <c r="N84" t="s">
        <v>9</v>
      </c>
      <c r="O84" t="str">
        <f t="shared" si="36"/>
        <v>No</v>
      </c>
      <c r="U84" t="s">
        <v>162</v>
      </c>
      <c r="V84" t="str">
        <f>R81</f>
        <v>Yes</v>
      </c>
      <c r="W84" t="str">
        <f>S81</f>
        <v>Yes</v>
      </c>
      <c r="X84" t="str">
        <f t="shared" si="34"/>
        <v>Yes</v>
      </c>
    </row>
    <row r="85" spans="1:32" x14ac:dyDescent="0.2">
      <c r="J85" s="2" t="s">
        <v>25</v>
      </c>
      <c r="K85">
        <v>17</v>
      </c>
      <c r="L85" t="s">
        <v>12</v>
      </c>
      <c r="M85" t="s">
        <v>126</v>
      </c>
      <c r="N85" t="s">
        <v>9</v>
      </c>
      <c r="O85" t="str">
        <f t="shared" ref="O85:O86" si="37">IF(K85="Not","No",IF(K85="n/a","N/A",IF(K85&gt;$Y$6,"Yes","No")))</f>
        <v>No</v>
      </c>
      <c r="U85" t="s">
        <v>101</v>
      </c>
      <c r="V85" t="s">
        <v>5</v>
      </c>
      <c r="W85" t="s">
        <v>5</v>
      </c>
      <c r="X85" t="str">
        <f>IF(V85="N/A","N/A",IF(W85="N/A", "N/A", IF(V85=W85, "Yes","No")))</f>
        <v>Yes</v>
      </c>
    </row>
    <row r="86" spans="1:32" x14ac:dyDescent="0.2">
      <c r="J86" s="2" t="s">
        <v>29</v>
      </c>
      <c r="K86">
        <v>2.5</v>
      </c>
      <c r="L86" t="s">
        <v>12</v>
      </c>
      <c r="M86" t="s">
        <v>222</v>
      </c>
      <c r="N86" t="s">
        <v>9</v>
      </c>
      <c r="O86" t="str">
        <f t="shared" si="37"/>
        <v>No</v>
      </c>
      <c r="U86" t="s">
        <v>104</v>
      </c>
      <c r="V86" t="s">
        <v>120</v>
      </c>
      <c r="W86" t="s">
        <v>9</v>
      </c>
      <c r="X86" t="str">
        <f>IF(V86="N/A","N/A",IF(W86="N/A", "N/A", IF(V86=W86, "Yes","No")))</f>
        <v>N/A</v>
      </c>
    </row>
    <row r="87" spans="1:32" x14ac:dyDescent="0.2">
      <c r="J87" s="2" t="s">
        <v>34</v>
      </c>
      <c r="K87">
        <v>14</v>
      </c>
      <c r="L87" t="s">
        <v>12</v>
      </c>
      <c r="M87" t="s">
        <v>210</v>
      </c>
      <c r="N87" t="s">
        <v>9</v>
      </c>
      <c r="O87" t="str">
        <f>IF(K87="Not","No",IF(K87="n/a","N/A",IF(K87&gt;$Y$5,"Yes","No")))</f>
        <v>No</v>
      </c>
      <c r="U87" t="s">
        <v>106</v>
      </c>
      <c r="V87" t="str">
        <f>R82</f>
        <v>Yes</v>
      </c>
      <c r="W87" t="str">
        <f>S82</f>
        <v>No</v>
      </c>
      <c r="X87" t="str">
        <f>IF(V87="N/A","N/A",IF(W87="N/A", "N/A", IF(V87=W87, "Yes","No")))</f>
        <v>No</v>
      </c>
    </row>
    <row r="88" spans="1:32" x14ac:dyDescent="0.2">
      <c r="J88" s="2" t="s">
        <v>208</v>
      </c>
      <c r="K88">
        <v>483</v>
      </c>
      <c r="L88" t="s">
        <v>12</v>
      </c>
      <c r="M88" t="s">
        <v>223</v>
      </c>
      <c r="N88" t="s">
        <v>5</v>
      </c>
      <c r="O88" t="str">
        <f>IF(K88="Not","No",IF(K88="n/a","N/A",IF(K88&gt;$Y$7,"Yes","No")))</f>
        <v>No</v>
      </c>
      <c r="U88" t="s">
        <v>121</v>
      </c>
      <c r="V88" t="str">
        <f>R83</f>
        <v>Yes</v>
      </c>
      <c r="W88" t="str">
        <f>S83</f>
        <v>Yes</v>
      </c>
      <c r="X88" t="str">
        <f>IF(V88="N/A","N/A",IF(W88="N/A", "N/A", IF(V88=W88, "Yes","No")))</f>
        <v>Yes</v>
      </c>
    </row>
    <row r="90" spans="1:32" x14ac:dyDescent="0.2">
      <c r="A90" s="1">
        <f>VLOOKUP(C90,'Grid - LRA Samples'!$A$2:$B$108, 2,FALSE)</f>
        <v>592</v>
      </c>
      <c r="B90" t="s">
        <v>111</v>
      </c>
      <c r="C90">
        <v>18</v>
      </c>
    </row>
    <row r="91" spans="1:32" x14ac:dyDescent="0.2">
      <c r="A91" s="5" t="s">
        <v>0</v>
      </c>
      <c r="E91" s="2" t="s">
        <v>274</v>
      </c>
      <c r="F91" s="2" t="s">
        <v>275</v>
      </c>
      <c r="G91" t="s">
        <v>119</v>
      </c>
      <c r="J91" s="5" t="s">
        <v>1</v>
      </c>
      <c r="N91" s="2" t="s">
        <v>277</v>
      </c>
      <c r="O91" t="s">
        <v>278</v>
      </c>
      <c r="Q91" s="5" t="s">
        <v>115</v>
      </c>
      <c r="R91" s="5" t="s">
        <v>0</v>
      </c>
      <c r="S91" s="5" t="s">
        <v>1</v>
      </c>
      <c r="U91" s="5" t="s">
        <v>115</v>
      </c>
      <c r="V91" s="5" t="s">
        <v>0</v>
      </c>
      <c r="W91" s="5" t="s">
        <v>1</v>
      </c>
      <c r="X91" s="5" t="s">
        <v>122</v>
      </c>
      <c r="AA91" t="str">
        <f>IF(R92="Yes","LRA-Soil","")</f>
        <v/>
      </c>
      <c r="AB91" t="str">
        <f>IF(R93="Yes","LRA-Paint","")</f>
        <v/>
      </c>
      <c r="AC91" t="str">
        <f>IF(R94="Yes","LRA-Dust","")</f>
        <v/>
      </c>
      <c r="AD91" t="str">
        <f>IF(S92="Yes","LSK-Soil","")</f>
        <v/>
      </c>
      <c r="AE91" t="str">
        <f>IF(S93="Yes","LSK-Paint","")</f>
        <v>LSK-Paint</v>
      </c>
      <c r="AF91" t="str">
        <f>IF(S94="Yes","LSK-Dust","")</f>
        <v/>
      </c>
    </row>
    <row r="92" spans="1:32" x14ac:dyDescent="0.2">
      <c r="A92" t="s">
        <v>235</v>
      </c>
      <c r="B92" t="s">
        <v>236</v>
      </c>
      <c r="C92">
        <v>2.2999999999999998</v>
      </c>
      <c r="D92" t="s">
        <v>4</v>
      </c>
      <c r="E92" t="s">
        <v>5</v>
      </c>
      <c r="F92" s="2" t="str">
        <f t="shared" ref="F92" si="38">IF(C92&gt;=$W$2,"Yes","No")</f>
        <v>Yes</v>
      </c>
      <c r="G92" t="s">
        <v>9</v>
      </c>
      <c r="H92" t="s">
        <v>46</v>
      </c>
      <c r="J92" s="2" t="s">
        <v>6</v>
      </c>
      <c r="K92">
        <v>191</v>
      </c>
      <c r="L92" t="s">
        <v>12</v>
      </c>
      <c r="M92" t="s">
        <v>114</v>
      </c>
      <c r="N92" t="s">
        <v>9</v>
      </c>
      <c r="O92" t="str">
        <f t="shared" ref="O92:O94" si="39">IF(K92="Not","No",IF(K92="n/a","N/A",IF(K92&gt;$Y$3,"Yes","No")))</f>
        <v>No</v>
      </c>
      <c r="Q92" s="2" t="s">
        <v>116</v>
      </c>
      <c r="R92" t="str">
        <f>_xlfn.XLOOKUP("ppm",D92:D95,F92:F95,"N/A")</f>
        <v>No</v>
      </c>
      <c r="S92" t="str">
        <f>IF(COUNTIF(O92:O94,"Yes"),"Yes","No")</f>
        <v>No</v>
      </c>
      <c r="U92" t="s">
        <v>92</v>
      </c>
      <c r="V92" t="s">
        <v>120</v>
      </c>
      <c r="W92" t="s">
        <v>120</v>
      </c>
      <c r="X92" t="str">
        <f>IF(V92="N/A","N/A",IF(W92="N/A", "N/A", IF(V92=W92, "Yes","No")))</f>
        <v>N/A</v>
      </c>
    </row>
    <row r="93" spans="1:32" x14ac:dyDescent="0.2">
      <c r="A93" t="s">
        <v>200</v>
      </c>
      <c r="B93" t="s">
        <v>202</v>
      </c>
      <c r="C93">
        <v>136</v>
      </c>
      <c r="D93" t="s">
        <v>12</v>
      </c>
      <c r="E93" t="s">
        <v>9</v>
      </c>
      <c r="F93" s="2" t="str">
        <f>IF(C93&gt;$W$3,"Yes","No")</f>
        <v>No</v>
      </c>
      <c r="G93" t="s">
        <v>9</v>
      </c>
      <c r="J93" s="2" t="s">
        <v>11</v>
      </c>
      <c r="K93">
        <v>67.5</v>
      </c>
      <c r="L93" t="s">
        <v>12</v>
      </c>
      <c r="M93" t="s">
        <v>67</v>
      </c>
      <c r="N93" t="s">
        <v>9</v>
      </c>
      <c r="O93" t="str">
        <f t="shared" si="39"/>
        <v>No</v>
      </c>
      <c r="Q93" s="2" t="s">
        <v>98</v>
      </c>
      <c r="R93" t="str">
        <f>_xlfn.XLOOKUP("mg/cm2",D92:D95,G92:G95,"N/A")</f>
        <v>No</v>
      </c>
      <c r="S93" t="str">
        <f>IF(COUNTIF(O95:O96,"Yes"),"Yes","No")</f>
        <v>Yes</v>
      </c>
      <c r="U93" t="s">
        <v>95</v>
      </c>
      <c r="V93" t="str">
        <f>R92</f>
        <v>No</v>
      </c>
      <c r="W93" t="str">
        <f>S92</f>
        <v>No</v>
      </c>
      <c r="X93" t="str">
        <f t="shared" ref="X93:X96" si="40">IF(V93="N/A","N/A",IF(W93="N/A", "N/A", IF(V93=W93, "Yes","No")))</f>
        <v>Yes</v>
      </c>
    </row>
    <row r="94" spans="1:32" x14ac:dyDescent="0.2">
      <c r="A94" t="s">
        <v>191</v>
      </c>
      <c r="B94" t="s">
        <v>221</v>
      </c>
      <c r="C94">
        <v>2</v>
      </c>
      <c r="D94" t="s">
        <v>4</v>
      </c>
      <c r="E94" t="s">
        <v>5</v>
      </c>
      <c r="F94" s="2" t="str">
        <f t="shared" ref="F94" si="41">IF(C94&gt;=$W$2,"Yes","No")</f>
        <v>Yes</v>
      </c>
      <c r="G94" t="s">
        <v>9</v>
      </c>
      <c r="H94" t="s">
        <v>43</v>
      </c>
      <c r="J94" s="2" t="s">
        <v>15</v>
      </c>
      <c r="K94">
        <v>96</v>
      </c>
      <c r="L94" t="s">
        <v>12</v>
      </c>
      <c r="M94" t="s">
        <v>112</v>
      </c>
      <c r="N94" t="s">
        <v>9</v>
      </c>
      <c r="O94" t="str">
        <f t="shared" si="39"/>
        <v>No</v>
      </c>
      <c r="Q94" s="2" t="s">
        <v>117</v>
      </c>
      <c r="R94" t="str">
        <f>_xlfn.XLOOKUP("ug/ft2",D92:D95,F92:F95,"N/A")</f>
        <v>No</v>
      </c>
      <c r="S94" t="str">
        <f>IF(COUNTIF(O97:O100,"Yes"),"Yes","No")</f>
        <v>No</v>
      </c>
      <c r="U94" t="s">
        <v>163</v>
      </c>
      <c r="V94" t="s">
        <v>5</v>
      </c>
      <c r="W94" t="s">
        <v>9</v>
      </c>
      <c r="X94" t="str">
        <f t="shared" si="40"/>
        <v>No</v>
      </c>
    </row>
    <row r="95" spans="1:32" x14ac:dyDescent="0.2">
      <c r="A95" t="s">
        <v>212</v>
      </c>
      <c r="B95" t="s">
        <v>192</v>
      </c>
      <c r="C95">
        <v>22.8</v>
      </c>
      <c r="D95" t="s">
        <v>33</v>
      </c>
      <c r="E95" t="s">
        <v>9</v>
      </c>
      <c r="F95" s="2" t="str">
        <f>IF(C95&gt;=$W$5,"Yes","No")</f>
        <v>No</v>
      </c>
      <c r="G95" t="s">
        <v>9</v>
      </c>
      <c r="J95" s="2" t="s">
        <v>19</v>
      </c>
      <c r="K95">
        <v>6445</v>
      </c>
      <c r="L95" t="s">
        <v>12</v>
      </c>
      <c r="M95" t="s">
        <v>46</v>
      </c>
      <c r="N95" t="s">
        <v>5</v>
      </c>
      <c r="O95" t="str">
        <f t="shared" ref="O95:O96" si="42">IF(K95="Not","No",IF(K95="n/a","N/A",IF(K95&gt;$Y$2,"Yes","No")))</f>
        <v>Yes</v>
      </c>
      <c r="Q95" s="2" t="s">
        <v>118</v>
      </c>
      <c r="R95" t="str">
        <f>IF(COUNTIF(R92:R94,"Yes"),"Yes","No")</f>
        <v>No</v>
      </c>
      <c r="S95" t="str">
        <f>IF(COUNTIF(S92:S94,"Yes"),"Yes","No")</f>
        <v>Yes</v>
      </c>
      <c r="U95" t="s">
        <v>164</v>
      </c>
      <c r="V95" t="s">
        <v>5</v>
      </c>
      <c r="W95" t="s">
        <v>5</v>
      </c>
      <c r="X95" t="str">
        <f t="shared" si="40"/>
        <v>Yes</v>
      </c>
    </row>
    <row r="96" spans="1:32" x14ac:dyDescent="0.2">
      <c r="J96" s="2" t="s">
        <v>22</v>
      </c>
      <c r="K96">
        <v>4327</v>
      </c>
      <c r="L96" t="s">
        <v>12</v>
      </c>
      <c r="M96" t="s">
        <v>43</v>
      </c>
      <c r="N96" t="s">
        <v>9</v>
      </c>
      <c r="O96" t="str">
        <f t="shared" si="42"/>
        <v>No</v>
      </c>
      <c r="U96" t="s">
        <v>162</v>
      </c>
      <c r="V96" t="str">
        <f>R93</f>
        <v>No</v>
      </c>
      <c r="W96" t="str">
        <f>S93</f>
        <v>Yes</v>
      </c>
      <c r="X96" t="str">
        <f t="shared" si="40"/>
        <v>No</v>
      </c>
    </row>
    <row r="97" spans="1:32" x14ac:dyDescent="0.2">
      <c r="J97" s="2" t="s">
        <v>25</v>
      </c>
      <c r="K97">
        <v>2.5</v>
      </c>
      <c r="L97" t="s">
        <v>12</v>
      </c>
      <c r="M97" t="s">
        <v>126</v>
      </c>
      <c r="N97" t="s">
        <v>9</v>
      </c>
      <c r="O97" t="str">
        <f t="shared" ref="O97:O98" si="43">IF(K97="Not","No",IF(K97="n/a","N/A",IF(K97&gt;$Y$6,"Yes","No")))</f>
        <v>No</v>
      </c>
      <c r="U97" t="s">
        <v>101</v>
      </c>
      <c r="V97" t="s">
        <v>120</v>
      </c>
      <c r="W97" t="s">
        <v>5</v>
      </c>
      <c r="X97" t="str">
        <f>IF(V97="N/A","N/A",IF(W97="N/A", "N/A", IF(V97=W97, "Yes","No")))</f>
        <v>N/A</v>
      </c>
    </row>
    <row r="98" spans="1:32" x14ac:dyDescent="0.2">
      <c r="J98" s="2" t="s">
        <v>29</v>
      </c>
      <c r="K98">
        <v>4</v>
      </c>
      <c r="L98" t="s">
        <v>12</v>
      </c>
      <c r="M98" t="s">
        <v>222</v>
      </c>
      <c r="N98" t="s">
        <v>9</v>
      </c>
      <c r="O98" t="str">
        <f t="shared" si="43"/>
        <v>No</v>
      </c>
      <c r="U98" t="s">
        <v>104</v>
      </c>
      <c r="V98" t="s">
        <v>9</v>
      </c>
      <c r="W98" t="s">
        <v>9</v>
      </c>
      <c r="X98" t="str">
        <f>IF(V98="N/A","N/A",IF(W98="N/A", "N/A", IF(V98=W98, "Yes","No")))</f>
        <v>Yes</v>
      </c>
    </row>
    <row r="99" spans="1:32" x14ac:dyDescent="0.2">
      <c r="J99" s="2" t="s">
        <v>34</v>
      </c>
      <c r="K99">
        <v>2.5</v>
      </c>
      <c r="L99" t="s">
        <v>12</v>
      </c>
      <c r="M99" t="s">
        <v>210</v>
      </c>
      <c r="N99" t="s">
        <v>9</v>
      </c>
      <c r="O99" t="str">
        <f>IF(K99="Not","No",IF(K99="n/a","N/A",IF(K99&gt;$Y$5,"Yes","No")))</f>
        <v>No</v>
      </c>
      <c r="U99" t="s">
        <v>106</v>
      </c>
      <c r="V99" t="str">
        <f>R94</f>
        <v>No</v>
      </c>
      <c r="W99" t="str">
        <f>S94</f>
        <v>No</v>
      </c>
      <c r="X99" t="str">
        <f>IF(V99="N/A","N/A",IF(W99="N/A", "N/A", IF(V99=W99, "Yes","No")))</f>
        <v>Yes</v>
      </c>
    </row>
    <row r="100" spans="1:32" x14ac:dyDescent="0.2">
      <c r="J100" s="2" t="s">
        <v>208</v>
      </c>
      <c r="K100">
        <v>17.3</v>
      </c>
      <c r="L100" t="s">
        <v>12</v>
      </c>
      <c r="M100" t="s">
        <v>223</v>
      </c>
      <c r="N100" t="s">
        <v>9</v>
      </c>
      <c r="O100" t="str">
        <f>IF(K100="Not","No",IF(K100="n/a","N/A",IF(K100&gt;$Y$7,"Yes","No")))</f>
        <v>No</v>
      </c>
      <c r="U100" t="s">
        <v>121</v>
      </c>
      <c r="V100" t="str">
        <f>R95</f>
        <v>No</v>
      </c>
      <c r="W100" t="str">
        <f>S95</f>
        <v>Yes</v>
      </c>
      <c r="X100" t="str">
        <f>IF(V100="N/A","N/A",IF(W100="N/A", "N/A", IF(V100=W100, "Yes","No")))</f>
        <v>No</v>
      </c>
    </row>
    <row r="102" spans="1:32" x14ac:dyDescent="0.2">
      <c r="A102" s="1">
        <f>VLOOKUP(C102,'Grid - LRA Samples'!$A$2:$B$108, 2,FALSE)</f>
        <v>618</v>
      </c>
      <c r="B102" t="s">
        <v>111</v>
      </c>
      <c r="C102">
        <v>19</v>
      </c>
    </row>
    <row r="103" spans="1:32" x14ac:dyDescent="0.2">
      <c r="A103" s="5" t="s">
        <v>0</v>
      </c>
      <c r="E103" s="2" t="s">
        <v>274</v>
      </c>
      <c r="F103" s="2" t="s">
        <v>275</v>
      </c>
      <c r="G103" t="s">
        <v>119</v>
      </c>
      <c r="J103" s="5" t="s">
        <v>1</v>
      </c>
      <c r="N103" s="2" t="s">
        <v>277</v>
      </c>
      <c r="O103" t="s">
        <v>278</v>
      </c>
      <c r="Q103" s="5" t="s">
        <v>115</v>
      </c>
      <c r="R103" s="5" t="s">
        <v>0</v>
      </c>
      <c r="S103" s="5" t="s">
        <v>1</v>
      </c>
      <c r="U103" s="5" t="s">
        <v>115</v>
      </c>
      <c r="V103" s="5" t="s">
        <v>0</v>
      </c>
      <c r="W103" s="5" t="s">
        <v>1</v>
      </c>
      <c r="X103" s="5" t="s">
        <v>122</v>
      </c>
      <c r="AA103" t="str">
        <f>IF(R104="Yes","LRA-Soil","")</f>
        <v>LRA-Soil</v>
      </c>
      <c r="AB103" t="str">
        <f>IF(R105="Yes","LRA-Paint","")</f>
        <v>LRA-Paint</v>
      </c>
      <c r="AC103" t="str">
        <f>IF(R106="Yes","LRA-Dust","")</f>
        <v>LRA-Dust</v>
      </c>
      <c r="AD103" t="str">
        <f>IF(S104="Yes","LSK-Soil","")</f>
        <v>LSK-Soil</v>
      </c>
      <c r="AE103" t="str">
        <f>IF(S105="Yes","LSK-Paint","")</f>
        <v>LSK-Paint</v>
      </c>
      <c r="AF103" t="str">
        <f>IF(S106="Yes","LSK-Dust","")</f>
        <v>LSK-Dust</v>
      </c>
    </row>
    <row r="104" spans="1:32" x14ac:dyDescent="0.2">
      <c r="A104" t="s">
        <v>185</v>
      </c>
      <c r="B104" t="s">
        <v>217</v>
      </c>
      <c r="C104">
        <v>41.3</v>
      </c>
      <c r="D104" t="s">
        <v>4</v>
      </c>
      <c r="E104" t="s">
        <v>5</v>
      </c>
      <c r="F104" s="2" t="str">
        <f t="shared" ref="F104" si="44">IF(C104&gt;=$W$2,"Yes","No")</f>
        <v>Yes</v>
      </c>
      <c r="G104" t="s">
        <v>5</v>
      </c>
      <c r="H104" t="s">
        <v>46</v>
      </c>
      <c r="J104" s="2" t="s">
        <v>6</v>
      </c>
      <c r="K104">
        <v>146</v>
      </c>
      <c r="L104" t="s">
        <v>12</v>
      </c>
      <c r="M104" t="s">
        <v>114</v>
      </c>
      <c r="N104" t="s">
        <v>9</v>
      </c>
      <c r="O104" t="str">
        <f t="shared" ref="O104:O106" si="45">IF(K104="Not","No",IF(K104="n/a","N/A",IF(K104&gt;$Y$3,"Yes","No")))</f>
        <v>No</v>
      </c>
      <c r="Q104" s="2" t="s">
        <v>116</v>
      </c>
      <c r="R104" t="str">
        <f>_xlfn.XLOOKUP("ppm",D104:D107,F104:F107,"N/A")</f>
        <v>Yes</v>
      </c>
      <c r="S104" t="str">
        <f>IF(COUNTIF(O104:O106,"Yes"),"Yes","No")</f>
        <v>Yes</v>
      </c>
      <c r="U104" t="s">
        <v>92</v>
      </c>
      <c r="V104" t="s">
        <v>120</v>
      </c>
      <c r="W104" t="s">
        <v>120</v>
      </c>
      <c r="X104" t="str">
        <f>IF(V104="N/A","N/A",IF(W104="N/A", "N/A", IF(V104=W104, "Yes","No")))</f>
        <v>N/A</v>
      </c>
    </row>
    <row r="105" spans="1:32" x14ac:dyDescent="0.2">
      <c r="A105" t="s">
        <v>200</v>
      </c>
      <c r="B105" t="s">
        <v>202</v>
      </c>
      <c r="C105">
        <v>1200</v>
      </c>
      <c r="D105" t="s">
        <v>12</v>
      </c>
      <c r="E105" t="s">
        <v>5</v>
      </c>
      <c r="F105" s="2" t="str">
        <f>IF(C105&gt;$W$3,"Yes","No")</f>
        <v>Yes</v>
      </c>
      <c r="G105" t="s">
        <v>5</v>
      </c>
      <c r="J105" s="2" t="s">
        <v>11</v>
      </c>
      <c r="K105">
        <v>2174</v>
      </c>
      <c r="L105" t="s">
        <v>12</v>
      </c>
      <c r="M105" t="s">
        <v>67</v>
      </c>
      <c r="N105" t="s">
        <v>5</v>
      </c>
      <c r="O105" t="str">
        <f t="shared" si="45"/>
        <v>Yes</v>
      </c>
      <c r="Q105" s="2" t="s">
        <v>98</v>
      </c>
      <c r="R105" t="str">
        <f>_xlfn.XLOOKUP("mg/cm2",D104:D107,G104:G107,"N/A")</f>
        <v>Yes</v>
      </c>
      <c r="S105" t="str">
        <f>IF(COUNTIF(O107:O108,"Yes"),"Yes","No")</f>
        <v>Yes</v>
      </c>
      <c r="U105" t="s">
        <v>95</v>
      </c>
      <c r="V105" t="str">
        <f>R104</f>
        <v>Yes</v>
      </c>
      <c r="W105" t="str">
        <f>S104</f>
        <v>Yes</v>
      </c>
      <c r="X105" t="str">
        <f t="shared" ref="X105:X108" si="46">IF(V105="N/A","N/A",IF(W105="N/A", "N/A", IF(V105=W105, "Yes","No")))</f>
        <v>Yes</v>
      </c>
    </row>
    <row r="106" spans="1:32" x14ac:dyDescent="0.2">
      <c r="A106" t="s">
        <v>237</v>
      </c>
      <c r="B106" t="s">
        <v>238</v>
      </c>
      <c r="C106">
        <v>15.5</v>
      </c>
      <c r="D106" t="s">
        <v>4</v>
      </c>
      <c r="E106" t="s">
        <v>5</v>
      </c>
      <c r="F106" s="2" t="str">
        <f t="shared" ref="F106" si="47">IF(C106&gt;=$W$2,"Yes","No")</f>
        <v>Yes</v>
      </c>
      <c r="G106" t="s">
        <v>5</v>
      </c>
      <c r="H106" t="s">
        <v>43</v>
      </c>
      <c r="J106" s="2" t="s">
        <v>15</v>
      </c>
      <c r="K106">
        <v>1323</v>
      </c>
      <c r="L106" t="s">
        <v>12</v>
      </c>
      <c r="M106" t="s">
        <v>112</v>
      </c>
      <c r="N106" t="s">
        <v>5</v>
      </c>
      <c r="O106" t="str">
        <f t="shared" si="45"/>
        <v>Yes</v>
      </c>
      <c r="Q106" s="2" t="s">
        <v>117</v>
      </c>
      <c r="R106" t="str">
        <f>_xlfn.XLOOKUP("ug/ft2",D104:D107,F104:F107,"N/A")</f>
        <v>Yes</v>
      </c>
      <c r="S106" t="str">
        <f>IF(COUNTIF(O109:O112,"Yes"),"Yes","No")</f>
        <v>Yes</v>
      </c>
      <c r="U106" t="s">
        <v>163</v>
      </c>
      <c r="V106" t="s">
        <v>5</v>
      </c>
      <c r="W106" t="s">
        <v>9</v>
      </c>
      <c r="X106" t="str">
        <f t="shared" si="46"/>
        <v>No</v>
      </c>
    </row>
    <row r="107" spans="1:32" x14ac:dyDescent="0.2">
      <c r="A107" t="s">
        <v>239</v>
      </c>
      <c r="B107" t="s">
        <v>192</v>
      </c>
      <c r="C107">
        <v>1620</v>
      </c>
      <c r="D107" t="s">
        <v>33</v>
      </c>
      <c r="E107" t="s">
        <v>5</v>
      </c>
      <c r="F107" s="2" t="str">
        <f>IF(C107&gt;=$W$5,"Yes","No")</f>
        <v>Yes</v>
      </c>
      <c r="G107" t="s">
        <v>5</v>
      </c>
      <c r="J107" s="2" t="s">
        <v>19</v>
      </c>
      <c r="K107">
        <v>20569</v>
      </c>
      <c r="L107" t="s">
        <v>12</v>
      </c>
      <c r="M107" t="s">
        <v>46</v>
      </c>
      <c r="N107" t="s">
        <v>5</v>
      </c>
      <c r="O107" t="str">
        <f t="shared" ref="O107:O108" si="48">IF(K107="Not","No",IF(K107="n/a","N/A",IF(K107&gt;$Y$2,"Yes","No")))</f>
        <v>Yes</v>
      </c>
      <c r="Q107" s="2" t="s">
        <v>118</v>
      </c>
      <c r="R107" t="str">
        <f>IF(COUNTIF(R104:R106,"Yes"),"Yes","No")</f>
        <v>Yes</v>
      </c>
      <c r="S107" t="str">
        <f>IF(COUNTIF(S104:S106,"Yes"),"Yes","No")</f>
        <v>Yes</v>
      </c>
      <c r="U107" t="s">
        <v>164</v>
      </c>
      <c r="V107" t="s">
        <v>5</v>
      </c>
      <c r="W107" t="s">
        <v>5</v>
      </c>
      <c r="X107" t="str">
        <f t="shared" si="46"/>
        <v>Yes</v>
      </c>
    </row>
    <row r="108" spans="1:32" x14ac:dyDescent="0.2">
      <c r="J108" s="2" t="s">
        <v>22</v>
      </c>
      <c r="K108">
        <v>309</v>
      </c>
      <c r="L108" t="s">
        <v>12</v>
      </c>
      <c r="M108" t="s">
        <v>43</v>
      </c>
      <c r="N108" t="s">
        <v>9</v>
      </c>
      <c r="O108" t="str">
        <f t="shared" si="48"/>
        <v>No</v>
      </c>
      <c r="U108" t="s">
        <v>162</v>
      </c>
      <c r="V108" t="str">
        <f>R105</f>
        <v>Yes</v>
      </c>
      <c r="W108" t="str">
        <f>S105</f>
        <v>Yes</v>
      </c>
      <c r="X108" t="str">
        <f t="shared" si="46"/>
        <v>Yes</v>
      </c>
    </row>
    <row r="109" spans="1:32" x14ac:dyDescent="0.2">
      <c r="J109" s="2" t="s">
        <v>25</v>
      </c>
      <c r="K109">
        <v>32</v>
      </c>
      <c r="L109" t="s">
        <v>12</v>
      </c>
      <c r="M109" t="s">
        <v>126</v>
      </c>
      <c r="N109" t="s">
        <v>5</v>
      </c>
      <c r="O109" t="str">
        <f t="shared" ref="O109:O110" si="49">IF(K109="Not","No",IF(K109="n/a","N/A",IF(K109&gt;$Y$6,"Yes","No")))</f>
        <v>Yes</v>
      </c>
      <c r="U109" t="s">
        <v>101</v>
      </c>
      <c r="V109" t="s">
        <v>120</v>
      </c>
      <c r="W109" t="s">
        <v>5</v>
      </c>
      <c r="X109" t="str">
        <f>IF(V109="N/A","N/A",IF(W109="N/A", "N/A", IF(V109=W109, "Yes","No")))</f>
        <v>N/A</v>
      </c>
    </row>
    <row r="110" spans="1:32" x14ac:dyDescent="0.2">
      <c r="J110" s="2" t="s">
        <v>29</v>
      </c>
      <c r="K110">
        <v>22</v>
      </c>
      <c r="L110" t="s">
        <v>12</v>
      </c>
      <c r="M110" t="s">
        <v>222</v>
      </c>
      <c r="N110" t="s">
        <v>5</v>
      </c>
      <c r="O110" t="str">
        <f t="shared" si="49"/>
        <v>Yes</v>
      </c>
      <c r="U110" t="s">
        <v>104</v>
      </c>
      <c r="V110" t="s">
        <v>5</v>
      </c>
      <c r="W110" t="s">
        <v>9</v>
      </c>
      <c r="X110" t="str">
        <f>IF(V110="N/A","N/A",IF(W110="N/A", "N/A", IF(V110=W110, "Yes","No")))</f>
        <v>No</v>
      </c>
    </row>
    <row r="111" spans="1:32" x14ac:dyDescent="0.2">
      <c r="J111" s="2" t="s">
        <v>34</v>
      </c>
      <c r="K111">
        <v>2.5</v>
      </c>
      <c r="L111" t="s">
        <v>12</v>
      </c>
      <c r="M111" t="s">
        <v>210</v>
      </c>
      <c r="N111" t="s">
        <v>9</v>
      </c>
      <c r="O111" t="str">
        <f>IF(K111="Not","No",IF(K111="n/a","N/A",IF(K111&gt;$Y$5,"Yes","No")))</f>
        <v>No</v>
      </c>
      <c r="U111" t="s">
        <v>106</v>
      </c>
      <c r="V111" t="str">
        <f>R106</f>
        <v>Yes</v>
      </c>
      <c r="W111" t="str">
        <f>S106</f>
        <v>Yes</v>
      </c>
      <c r="X111" t="str">
        <f>IF(V111="N/A","N/A",IF(W111="N/A", "N/A", IF(V111=W111, "Yes","No")))</f>
        <v>Yes</v>
      </c>
    </row>
    <row r="112" spans="1:32" x14ac:dyDescent="0.2">
      <c r="A112" s="11"/>
      <c r="J112" s="2" t="s">
        <v>208</v>
      </c>
      <c r="K112">
        <v>945</v>
      </c>
      <c r="L112" t="s">
        <v>12</v>
      </c>
      <c r="M112" t="s">
        <v>223</v>
      </c>
      <c r="N112" t="s">
        <v>5</v>
      </c>
      <c r="O112" t="str">
        <f>IF(K112="Not","No",IF(K112="n/a","N/A",IF(K112&gt;$Y$7,"Yes","No")))</f>
        <v>Yes</v>
      </c>
      <c r="U112" t="s">
        <v>121</v>
      </c>
      <c r="V112" t="str">
        <f>R107</f>
        <v>Yes</v>
      </c>
      <c r="W112" t="str">
        <f>S107</f>
        <v>Yes</v>
      </c>
      <c r="X112" t="str">
        <f>IF(V112="N/A","N/A",IF(W112="N/A", "N/A", IF(V112=W112, "Yes","No")))</f>
        <v>Yes</v>
      </c>
    </row>
    <row r="114" spans="1:32" x14ac:dyDescent="0.2">
      <c r="A114" s="1">
        <f>VLOOKUP(C114,'Grid - LRA Samples'!$A$2:$B$108, 2,FALSE)</f>
        <v>742</v>
      </c>
      <c r="B114" t="s">
        <v>111</v>
      </c>
      <c r="C114">
        <v>20</v>
      </c>
    </row>
    <row r="115" spans="1:32" x14ac:dyDescent="0.2">
      <c r="A115" s="5" t="s">
        <v>0</v>
      </c>
      <c r="E115" s="2" t="s">
        <v>274</v>
      </c>
      <c r="F115" s="2" t="s">
        <v>275</v>
      </c>
      <c r="G115" t="s">
        <v>119</v>
      </c>
      <c r="J115" s="5" t="s">
        <v>1</v>
      </c>
      <c r="N115" s="2" t="s">
        <v>277</v>
      </c>
      <c r="O115" t="s">
        <v>278</v>
      </c>
      <c r="Q115" s="5" t="s">
        <v>115</v>
      </c>
      <c r="R115" s="5" t="s">
        <v>0</v>
      </c>
      <c r="S115" s="5" t="s">
        <v>1</v>
      </c>
      <c r="U115" s="5" t="s">
        <v>115</v>
      </c>
      <c r="V115" s="5" t="s">
        <v>0</v>
      </c>
      <c r="W115" s="5" t="s">
        <v>1</v>
      </c>
      <c r="X115" s="5" t="s">
        <v>122</v>
      </c>
      <c r="AA115" t="str">
        <f>IF(R116="Yes","LRA-Soil","")</f>
        <v/>
      </c>
      <c r="AB115" t="str">
        <f>IF(R117="Yes","LRA-Paint","")</f>
        <v/>
      </c>
      <c r="AC115" t="str">
        <f>IF(R118="Yes","LRA-Dust","")</f>
        <v>LRA-Dust</v>
      </c>
      <c r="AD115" t="str">
        <f>IF(S116="Yes","LSK-Soil","")</f>
        <v/>
      </c>
      <c r="AE115" t="str">
        <f>IF(S117="Yes","LSK-Paint","")</f>
        <v/>
      </c>
      <c r="AF115" t="str">
        <f>IF(S118="Yes","LSK-Dust","")</f>
        <v/>
      </c>
    </row>
    <row r="116" spans="1:32" x14ac:dyDescent="0.2">
      <c r="A116" t="s">
        <v>185</v>
      </c>
      <c r="B116" t="s">
        <v>217</v>
      </c>
      <c r="C116">
        <v>0</v>
      </c>
      <c r="D116" t="s">
        <v>4</v>
      </c>
      <c r="E116" t="s">
        <v>9</v>
      </c>
      <c r="F116" s="2" t="str">
        <f t="shared" ref="F116" si="50">IF(C116&gt;=$W$2,"Yes","No")</f>
        <v>No</v>
      </c>
      <c r="G116" t="s">
        <v>9</v>
      </c>
      <c r="H116" t="s">
        <v>46</v>
      </c>
      <c r="J116" s="2" t="s">
        <v>6</v>
      </c>
      <c r="K116">
        <v>55</v>
      </c>
      <c r="L116" t="s">
        <v>12</v>
      </c>
      <c r="M116" t="s">
        <v>114</v>
      </c>
      <c r="N116" t="str">
        <f>IF(K116&gt;1200,"Yes","No")</f>
        <v>No</v>
      </c>
      <c r="O116" t="str">
        <f t="shared" ref="O116:O118" si="51">IF(K116="Not","No",IF(K116="n/a","N/A",IF(K116&gt;$Y$3,"Yes","No")))</f>
        <v>No</v>
      </c>
      <c r="Q116" s="2" t="s">
        <v>116</v>
      </c>
      <c r="R116" t="str">
        <f>_xlfn.XLOOKUP("ppm",D116:D119,F116:F119,"N/A")</f>
        <v>No</v>
      </c>
      <c r="S116" t="str">
        <f>IF(COUNTIF(O116:O118,"Yes"),"Yes","No")</f>
        <v>No</v>
      </c>
      <c r="U116" t="s">
        <v>92</v>
      </c>
      <c r="V116" t="s">
        <v>9</v>
      </c>
      <c r="W116" t="s">
        <v>120</v>
      </c>
      <c r="X116" t="str">
        <f>IF(V116="N/A","N/A",IF(W116="N/A", "N/A", IF(V116=W116, "Yes","No")))</f>
        <v>N/A</v>
      </c>
    </row>
    <row r="117" spans="1:32" x14ac:dyDescent="0.2">
      <c r="A117" t="s">
        <v>200</v>
      </c>
      <c r="B117" t="s">
        <v>240</v>
      </c>
      <c r="C117">
        <v>78.3</v>
      </c>
      <c r="D117" t="s">
        <v>12</v>
      </c>
      <c r="E117" t="s">
        <v>9</v>
      </c>
      <c r="F117" s="2" t="str">
        <f>IF(C117&gt;$W$3,"Yes","No")</f>
        <v>No</v>
      </c>
      <c r="G117" t="s">
        <v>9</v>
      </c>
      <c r="J117" s="2" t="s">
        <v>11</v>
      </c>
      <c r="K117">
        <v>39.9</v>
      </c>
      <c r="L117" t="s">
        <v>12</v>
      </c>
      <c r="M117" t="s">
        <v>67</v>
      </c>
      <c r="N117" t="str">
        <f t="shared" ref="N117:N118" si="52">IF(K117&gt;1200,"Yes","No")</f>
        <v>No</v>
      </c>
      <c r="O117" t="str">
        <f t="shared" si="51"/>
        <v>No</v>
      </c>
      <c r="Q117" s="2" t="s">
        <v>98</v>
      </c>
      <c r="R117" t="str">
        <f>_xlfn.XLOOKUP("mg/cm2",D116:D119,G116:G119,"N/A")</f>
        <v>No</v>
      </c>
      <c r="S117" t="str">
        <f>IF(COUNTIF(O119:O120,"Yes"),"Yes","No")</f>
        <v>No</v>
      </c>
      <c r="U117" t="s">
        <v>95</v>
      </c>
      <c r="V117" t="str">
        <f>R116</f>
        <v>No</v>
      </c>
      <c r="W117" t="str">
        <f>S116</f>
        <v>No</v>
      </c>
      <c r="X117" t="str">
        <f t="shared" ref="X117:X120" si="53">IF(V117="N/A","N/A",IF(W117="N/A", "N/A", IF(V117=W117, "Yes","No")))</f>
        <v>Yes</v>
      </c>
    </row>
    <row r="118" spans="1:32" x14ac:dyDescent="0.2">
      <c r="A118" t="s">
        <v>191</v>
      </c>
      <c r="B118" t="s">
        <v>211</v>
      </c>
      <c r="C118">
        <v>0</v>
      </c>
      <c r="D118" t="s">
        <v>4</v>
      </c>
      <c r="E118" t="s">
        <v>9</v>
      </c>
      <c r="F118" s="2" t="str">
        <f t="shared" ref="F118" si="54">IF(C118&gt;=$W$2,"Yes","No")</f>
        <v>No</v>
      </c>
      <c r="G118" t="s">
        <v>9</v>
      </c>
      <c r="H118" t="s">
        <v>43</v>
      </c>
      <c r="J118" s="2" t="s">
        <v>15</v>
      </c>
      <c r="K118">
        <v>90.9</v>
      </c>
      <c r="L118" t="s">
        <v>12</v>
      </c>
      <c r="M118" t="s">
        <v>112</v>
      </c>
      <c r="N118" t="str">
        <f t="shared" si="52"/>
        <v>No</v>
      </c>
      <c r="O118" t="str">
        <f t="shared" si="51"/>
        <v>No</v>
      </c>
      <c r="Q118" s="2" t="s">
        <v>117</v>
      </c>
      <c r="R118" t="str">
        <f>_xlfn.XLOOKUP("ug/ft2",D116:D119,F116:F119,"N/A")</f>
        <v>Yes</v>
      </c>
      <c r="S118" t="str">
        <f>IF(COUNTIF(O121:O124,"Yes"),"Yes","No")</f>
        <v>No</v>
      </c>
      <c r="U118" t="s">
        <v>163</v>
      </c>
      <c r="V118" t="s">
        <v>9</v>
      </c>
      <c r="W118" t="str">
        <f>O120</f>
        <v>No</v>
      </c>
      <c r="X118" t="str">
        <f t="shared" si="53"/>
        <v>Yes</v>
      </c>
    </row>
    <row r="119" spans="1:32" x14ac:dyDescent="0.2">
      <c r="A119" t="s">
        <v>201</v>
      </c>
      <c r="B119" t="s">
        <v>214</v>
      </c>
      <c r="C119">
        <v>110</v>
      </c>
      <c r="D119" t="s">
        <v>33</v>
      </c>
      <c r="E119" t="s">
        <v>5</v>
      </c>
      <c r="F119" s="2" t="str">
        <f>IF(C119&gt;$W$6,"Yes","No")</f>
        <v>Yes</v>
      </c>
      <c r="G119" t="s">
        <v>5</v>
      </c>
      <c r="J119" s="2" t="s">
        <v>19</v>
      </c>
      <c r="K119" t="s">
        <v>120</v>
      </c>
      <c r="L119" t="s">
        <v>12</v>
      </c>
      <c r="M119" t="s">
        <v>46</v>
      </c>
      <c r="N119" t="s">
        <v>9</v>
      </c>
      <c r="O119" t="str">
        <f t="shared" ref="O119:O120" si="55">IF(K119="Not","No",IF(K119="n/a","N/A",IF(K119&gt;$Y$2,"Yes","No")))</f>
        <v>N/A</v>
      </c>
      <c r="Q119" s="2" t="s">
        <v>118</v>
      </c>
      <c r="R119" t="str">
        <f>IF(COUNTIF(R116:R118,"Yes"),"Yes","No")</f>
        <v>Yes</v>
      </c>
      <c r="S119" t="str">
        <f>IF(COUNTIF(S116:S118,"Yes"),"Yes","No")</f>
        <v>No</v>
      </c>
      <c r="U119" t="s">
        <v>164</v>
      </c>
      <c r="V119" t="s">
        <v>9</v>
      </c>
      <c r="W119" t="str">
        <f>O119</f>
        <v>N/A</v>
      </c>
      <c r="X119" t="str">
        <f t="shared" si="53"/>
        <v>N/A</v>
      </c>
    </row>
    <row r="120" spans="1:32" x14ac:dyDescent="0.2">
      <c r="J120" s="2" t="s">
        <v>22</v>
      </c>
      <c r="K120">
        <v>2.5</v>
      </c>
      <c r="L120" t="s">
        <v>12</v>
      </c>
      <c r="M120" t="s">
        <v>43</v>
      </c>
      <c r="N120" t="str">
        <f>IF(K120&gt;5000,"Yes","No")</f>
        <v>No</v>
      </c>
      <c r="O120" t="str">
        <f t="shared" si="55"/>
        <v>No</v>
      </c>
      <c r="U120" t="s">
        <v>162</v>
      </c>
      <c r="V120" t="str">
        <f>R117</f>
        <v>No</v>
      </c>
      <c r="W120" t="str">
        <f>S117</f>
        <v>No</v>
      </c>
      <c r="X120" t="str">
        <f t="shared" si="53"/>
        <v>Yes</v>
      </c>
    </row>
    <row r="121" spans="1:32" x14ac:dyDescent="0.2">
      <c r="J121" s="2" t="s">
        <v>25</v>
      </c>
      <c r="K121">
        <v>2.5</v>
      </c>
      <c r="L121" t="s">
        <v>12</v>
      </c>
      <c r="M121" t="s">
        <v>126</v>
      </c>
      <c r="N121" t="str">
        <f>IF(K121&gt;20,"Yes","No")</f>
        <v>No</v>
      </c>
      <c r="O121" t="str">
        <f t="shared" ref="O121:O122" si="56">IF(K121="Not","No",IF(K121="n/a","N/A",IF(K121&gt;$Y$6,"Yes","No")))</f>
        <v>No</v>
      </c>
      <c r="U121" t="s">
        <v>101</v>
      </c>
      <c r="V121" t="s">
        <v>5</v>
      </c>
      <c r="W121" t="s">
        <v>9</v>
      </c>
      <c r="X121" t="str">
        <f>IF(V121="N/A","N/A",IF(W121="N/A", "N/A", IF(V121=W121, "Yes","No")))</f>
        <v>No</v>
      </c>
    </row>
    <row r="122" spans="1:32" x14ac:dyDescent="0.2">
      <c r="J122" s="2" t="s">
        <v>29</v>
      </c>
      <c r="K122">
        <v>2.5</v>
      </c>
      <c r="L122" t="s">
        <v>12</v>
      </c>
      <c r="M122" t="s">
        <v>222</v>
      </c>
      <c r="N122" t="str">
        <f>IF(K122&gt;20,"Yes","No")</f>
        <v>No</v>
      </c>
      <c r="O122" t="str">
        <f t="shared" si="56"/>
        <v>No</v>
      </c>
      <c r="U122" t="s">
        <v>104</v>
      </c>
      <c r="V122" t="s">
        <v>120</v>
      </c>
      <c r="W122" t="str">
        <f>O123</f>
        <v>No</v>
      </c>
      <c r="X122" t="str">
        <f>IF(V122="N/A","N/A",IF(W122="N/A", "N/A", IF(V122=W122, "Yes","No")))</f>
        <v>N/A</v>
      </c>
    </row>
    <row r="123" spans="1:32" x14ac:dyDescent="0.2">
      <c r="J123" s="2" t="s">
        <v>34</v>
      </c>
      <c r="K123">
        <v>2.5</v>
      </c>
      <c r="L123" t="s">
        <v>12</v>
      </c>
      <c r="M123" t="s">
        <v>210</v>
      </c>
      <c r="N123" t="str">
        <f>IF(K123&gt;230,"Yes","No")</f>
        <v>No</v>
      </c>
      <c r="O123" t="str">
        <f>IF(K123="Not","No",IF(K123="n/a","N/A",IF(K123&gt;$Y$5,"Yes","No")))</f>
        <v>No</v>
      </c>
      <c r="U123" t="s">
        <v>106</v>
      </c>
      <c r="V123" t="str">
        <f>R118</f>
        <v>Yes</v>
      </c>
      <c r="W123" t="str">
        <f>S118</f>
        <v>No</v>
      </c>
      <c r="X123" t="str">
        <f>IF(V123="N/A","N/A",IF(W123="N/A", "N/A", IF(V123=W123, "Yes","No")))</f>
        <v>No</v>
      </c>
    </row>
    <row r="124" spans="1:32" x14ac:dyDescent="0.2">
      <c r="J124" s="2" t="s">
        <v>208</v>
      </c>
      <c r="K124">
        <v>10.1</v>
      </c>
      <c r="L124" t="s">
        <v>12</v>
      </c>
      <c r="M124" t="s">
        <v>223</v>
      </c>
      <c r="N124" t="str">
        <f>IF(K124&gt;20,"Yes","No")</f>
        <v>No</v>
      </c>
      <c r="O124" t="str">
        <f>IF(K124="Not","No",IF(K124="n/a","N/A",IF(K124&gt;$Y$7,"Yes","No")))</f>
        <v>No</v>
      </c>
      <c r="U124" t="s">
        <v>121</v>
      </c>
      <c r="V124" t="str">
        <f>R119</f>
        <v>Yes</v>
      </c>
      <c r="W124" t="str">
        <f>S119</f>
        <v>No</v>
      </c>
      <c r="X124" t="str">
        <f>IF(V124="N/A","N/A",IF(W124="N/A", "N/A", IF(V124=W124, "Yes","No")))</f>
        <v>No</v>
      </c>
    </row>
    <row r="125" spans="1:32" x14ac:dyDescent="0.2">
      <c r="A125" s="11"/>
    </row>
    <row r="126" spans="1:32" x14ac:dyDescent="0.2">
      <c r="A126" s="1">
        <f>VLOOKUP(C126,'Grid - LRA Samples'!$A$2:$B$108, 2,FALSE)</f>
        <v>745</v>
      </c>
      <c r="B126" t="s">
        <v>111</v>
      </c>
      <c r="C126">
        <v>21</v>
      </c>
    </row>
    <row r="127" spans="1:32" x14ac:dyDescent="0.2">
      <c r="A127" s="5" t="s">
        <v>0</v>
      </c>
      <c r="E127" s="2" t="s">
        <v>274</v>
      </c>
      <c r="F127" s="2" t="s">
        <v>275</v>
      </c>
      <c r="G127" t="s">
        <v>119</v>
      </c>
      <c r="J127" s="5" t="s">
        <v>1</v>
      </c>
      <c r="N127" s="2" t="s">
        <v>277</v>
      </c>
      <c r="O127" t="s">
        <v>278</v>
      </c>
      <c r="Q127" s="5" t="s">
        <v>115</v>
      </c>
      <c r="R127" s="5" t="s">
        <v>0</v>
      </c>
      <c r="S127" s="5" t="s">
        <v>1</v>
      </c>
      <c r="U127" s="5" t="s">
        <v>115</v>
      </c>
      <c r="V127" s="5" t="s">
        <v>0</v>
      </c>
      <c r="W127" s="5" t="s">
        <v>1</v>
      </c>
      <c r="X127" s="5" t="s">
        <v>122</v>
      </c>
      <c r="AA127" t="str">
        <f>IF(R128="Yes","LRA-Soil","")</f>
        <v/>
      </c>
      <c r="AB127" t="str">
        <f>IF(R129="Yes","LRA-Paint","")</f>
        <v>LRA-Paint</v>
      </c>
      <c r="AC127" t="str">
        <f>IF(R130="Yes","LRA-Dust","")</f>
        <v>LRA-Dust</v>
      </c>
      <c r="AD127" t="str">
        <f>IF(S128="Yes","LSK-Soil","")</f>
        <v/>
      </c>
      <c r="AE127" t="str">
        <f>IF(S129="Yes","LSK-Paint","")</f>
        <v/>
      </c>
      <c r="AF127" t="str">
        <f>IF(S130="Yes","LSK-Dust","")</f>
        <v/>
      </c>
    </row>
    <row r="128" spans="1:32" x14ac:dyDescent="0.2">
      <c r="A128" t="s">
        <v>153</v>
      </c>
      <c r="B128" t="s">
        <v>3</v>
      </c>
      <c r="C128">
        <v>11.6</v>
      </c>
      <c r="D128" t="s">
        <v>4</v>
      </c>
      <c r="E128" t="s">
        <v>5</v>
      </c>
      <c r="F128" s="2" t="str">
        <f t="shared" ref="F128" si="57">IF(C128&gt;=$W$2,"Yes","No")</f>
        <v>Yes</v>
      </c>
      <c r="G128" t="s">
        <v>5</v>
      </c>
      <c r="H128" t="s">
        <v>46</v>
      </c>
      <c r="J128" s="2" t="s">
        <v>6</v>
      </c>
      <c r="K128">
        <v>41</v>
      </c>
      <c r="L128" t="s">
        <v>12</v>
      </c>
      <c r="M128" t="s">
        <v>114</v>
      </c>
      <c r="N128" t="str">
        <f>IF(K128="N/A","No", IF(K128&gt;1200,"Yes","No"))</f>
        <v>No</v>
      </c>
      <c r="O128" t="str">
        <f t="shared" ref="O128:O130" si="58">IF(K128="Not","No",IF(K128="n/a","N/A",IF(K128&gt;$Y$3,"Yes","No")))</f>
        <v>No</v>
      </c>
      <c r="Q128" s="2" t="s">
        <v>116</v>
      </c>
      <c r="R128" t="str">
        <f>_xlfn.XLOOKUP("ppm",D128:D136,F128:F136,"N/A")</f>
        <v>No</v>
      </c>
      <c r="S128" t="str">
        <f>IF(COUNTIF(O128:O130,"Yes"),"Yes","No")</f>
        <v>No</v>
      </c>
      <c r="U128" t="s">
        <v>92</v>
      </c>
      <c r="V128" t="s">
        <v>120</v>
      </c>
      <c r="W128" t="s">
        <v>120</v>
      </c>
      <c r="X128" t="str">
        <f>IF(V128="N/A","N/A",IF(W128="N/A", "N/A", IF(V128=W128, "Yes","No")))</f>
        <v>N/A</v>
      </c>
    </row>
    <row r="129" spans="1:32" x14ac:dyDescent="0.2">
      <c r="A129" t="s">
        <v>68</v>
      </c>
      <c r="B129" t="s">
        <v>69</v>
      </c>
      <c r="C129">
        <v>189</v>
      </c>
      <c r="D129" t="s">
        <v>12</v>
      </c>
      <c r="E129" t="s">
        <v>9</v>
      </c>
      <c r="F129" s="2" t="str">
        <f>IF(C129&gt;$W$3,"Yes","No")</f>
        <v>No</v>
      </c>
      <c r="G129" t="s">
        <v>9</v>
      </c>
      <c r="J129" s="2" t="s">
        <v>11</v>
      </c>
      <c r="K129">
        <v>156</v>
      </c>
      <c r="L129" t="s">
        <v>12</v>
      </c>
      <c r="M129" t="s">
        <v>67</v>
      </c>
      <c r="N129" t="str">
        <f t="shared" ref="N129:N130" si="59">IF(K129="N/A","No", IF(K129&gt;1200,"Yes","No"))</f>
        <v>No</v>
      </c>
      <c r="O129" t="str">
        <f t="shared" si="58"/>
        <v>No</v>
      </c>
      <c r="Q129" s="2" t="s">
        <v>98</v>
      </c>
      <c r="R129" t="str">
        <f>_xlfn.XLOOKUP("mg/cm2",D128:D136,G128:G136,"N/A")</f>
        <v>Yes</v>
      </c>
      <c r="S129" t="str">
        <f>IF(COUNTIF(O131:O132,"Yes"),"Yes","No")</f>
        <v>No</v>
      </c>
      <c r="U129" t="s">
        <v>95</v>
      </c>
      <c r="V129" t="str">
        <f>R128</f>
        <v>No</v>
      </c>
      <c r="W129" t="str">
        <f>S128</f>
        <v>No</v>
      </c>
      <c r="X129" t="str">
        <f t="shared" ref="X129:X132" si="60">IF(V129="N/A","N/A",IF(W129="N/A", "N/A", IF(V129=W129, "Yes","No")))</f>
        <v>Yes</v>
      </c>
    </row>
    <row r="130" spans="1:32" x14ac:dyDescent="0.2">
      <c r="A130" t="s">
        <v>159</v>
      </c>
      <c r="B130" t="s">
        <v>32</v>
      </c>
      <c r="C130">
        <v>18.899999999999999</v>
      </c>
      <c r="D130" t="s">
        <v>33</v>
      </c>
      <c r="E130" t="s">
        <v>5</v>
      </c>
      <c r="F130" s="2" t="str">
        <f>IF(C130&gt;$W$6,"Yes","No")</f>
        <v>Yes</v>
      </c>
      <c r="G130" t="s">
        <v>5</v>
      </c>
      <c r="J130" s="2" t="s">
        <v>15</v>
      </c>
      <c r="K130">
        <v>54.1</v>
      </c>
      <c r="L130" t="s">
        <v>12</v>
      </c>
      <c r="M130" t="s">
        <v>112</v>
      </c>
      <c r="N130" t="str">
        <f t="shared" si="59"/>
        <v>No</v>
      </c>
      <c r="O130" t="str">
        <f t="shared" si="58"/>
        <v>No</v>
      </c>
      <c r="Q130" s="2" t="s">
        <v>117</v>
      </c>
      <c r="R130" t="str">
        <f>_xlfn.XLOOKUP("ug/ft2",D128:D136,F128:F136,"N/A")</f>
        <v>Yes</v>
      </c>
      <c r="S130" t="str">
        <f>IF(COUNTIF(O133:O136,"Yes"),"Yes","No")</f>
        <v>No</v>
      </c>
      <c r="U130" t="s">
        <v>163</v>
      </c>
      <c r="V130" t="s">
        <v>120</v>
      </c>
      <c r="W130" t="str">
        <f>O132</f>
        <v>No</v>
      </c>
      <c r="X130" t="str">
        <f t="shared" si="60"/>
        <v>N/A</v>
      </c>
    </row>
    <row r="131" spans="1:32" x14ac:dyDescent="0.2">
      <c r="A131" t="s">
        <v>159</v>
      </c>
      <c r="B131" t="s">
        <v>54</v>
      </c>
      <c r="C131">
        <v>121.2</v>
      </c>
      <c r="D131" t="s">
        <v>33</v>
      </c>
      <c r="E131" t="s">
        <v>5</v>
      </c>
      <c r="F131" s="2" t="str">
        <f>IF(C131&gt;=$W$5,"Yes","No")</f>
        <v>Yes</v>
      </c>
      <c r="G131" t="s">
        <v>5</v>
      </c>
      <c r="J131" s="2" t="s">
        <v>19</v>
      </c>
      <c r="K131">
        <v>322</v>
      </c>
      <c r="L131" t="s">
        <v>12</v>
      </c>
      <c r="M131" t="s">
        <v>46</v>
      </c>
      <c r="N131" t="str">
        <f>IF(K131="N/A","No", IF(K131&gt;5000,"Yes","No"))</f>
        <v>No</v>
      </c>
      <c r="O131" t="str">
        <f t="shared" ref="O131:O132" si="61">IF(K131="Not","No",IF(K131="n/a","N/A",IF(K131&gt;$Y$2,"Yes","No")))</f>
        <v>No</v>
      </c>
      <c r="Q131" s="2" t="s">
        <v>118</v>
      </c>
      <c r="R131" t="str">
        <f>IF(COUNTIF(R128:R130,"Yes"),"Yes","No")</f>
        <v>Yes</v>
      </c>
      <c r="S131" t="str">
        <f>IF(COUNTIF(S128:S130,"Yes"),"Yes","No")</f>
        <v>No</v>
      </c>
      <c r="U131" t="s">
        <v>164</v>
      </c>
      <c r="V131" t="s">
        <v>5</v>
      </c>
      <c r="W131" t="str">
        <f>O131</f>
        <v>No</v>
      </c>
      <c r="X131" t="str">
        <f t="shared" si="60"/>
        <v>No</v>
      </c>
    </row>
    <row r="132" spans="1:32" x14ac:dyDescent="0.2">
      <c r="A132" t="s">
        <v>157</v>
      </c>
      <c r="B132" t="s">
        <v>32</v>
      </c>
      <c r="C132">
        <v>24.9</v>
      </c>
      <c r="D132" t="s">
        <v>33</v>
      </c>
      <c r="E132" t="s">
        <v>5</v>
      </c>
      <c r="F132" s="2" t="str">
        <f>IF(C132&gt;$W$6,"Yes","No")</f>
        <v>Yes</v>
      </c>
      <c r="G132" t="s">
        <v>5</v>
      </c>
      <c r="J132" s="2" t="s">
        <v>22</v>
      </c>
      <c r="K132">
        <v>2.5</v>
      </c>
      <c r="L132" t="s">
        <v>12</v>
      </c>
      <c r="M132" t="s">
        <v>43</v>
      </c>
      <c r="N132" t="str">
        <f>IF(K132="N/A","No", IF(K132&gt;5000,"Yes","No"))</f>
        <v>No</v>
      </c>
      <c r="O132" t="str">
        <f t="shared" si="61"/>
        <v>No</v>
      </c>
      <c r="U132" t="s">
        <v>162</v>
      </c>
      <c r="V132" t="str">
        <f>R129</f>
        <v>Yes</v>
      </c>
      <c r="W132" t="str">
        <f>S129</f>
        <v>No</v>
      </c>
      <c r="X132" t="str">
        <f t="shared" si="60"/>
        <v>No</v>
      </c>
    </row>
    <row r="133" spans="1:32" x14ac:dyDescent="0.2">
      <c r="A133" t="s">
        <v>157</v>
      </c>
      <c r="B133" t="s">
        <v>54</v>
      </c>
      <c r="C133">
        <v>2316</v>
      </c>
      <c r="D133" t="s">
        <v>33</v>
      </c>
      <c r="E133" t="s">
        <v>5</v>
      </c>
      <c r="F133" s="2" t="str">
        <f>IF(C133&gt;=$W$5,"Yes","No")</f>
        <v>Yes</v>
      </c>
      <c r="G133" t="s">
        <v>5</v>
      </c>
      <c r="J133" s="2" t="s">
        <v>25</v>
      </c>
      <c r="K133">
        <v>5</v>
      </c>
      <c r="L133" t="s">
        <v>12</v>
      </c>
      <c r="M133" t="s">
        <v>126</v>
      </c>
      <c r="N133" t="str">
        <f>IF(K133="N/A","No", IF(K133&gt;20,"Yes","No"))</f>
        <v>No</v>
      </c>
      <c r="O133" t="str">
        <f t="shared" ref="O133:O134" si="62">IF(K133="Not","No",IF(K133="n/a","N/A",IF(K133&gt;$Y$6,"Yes","No")))</f>
        <v>No</v>
      </c>
      <c r="U133" t="s">
        <v>101</v>
      </c>
      <c r="V133" t="s">
        <v>5</v>
      </c>
      <c r="W133" s="19" t="s">
        <v>9</v>
      </c>
      <c r="X133" t="str">
        <f>IF(V133="N/A","N/A",IF(W133="N/A", "N/A", IF(V133=W133, "Yes","No")))</f>
        <v>No</v>
      </c>
    </row>
    <row r="134" spans="1:32" x14ac:dyDescent="0.2">
      <c r="A134" t="s">
        <v>71</v>
      </c>
      <c r="B134" t="s">
        <v>32</v>
      </c>
      <c r="C134">
        <v>51.5</v>
      </c>
      <c r="D134" t="s">
        <v>33</v>
      </c>
      <c r="E134" t="s">
        <v>5</v>
      </c>
      <c r="F134" s="2" t="str">
        <f t="shared" ref="F134:F135" si="63">IF(C134&gt;$W$6,"Yes","No")</f>
        <v>Yes</v>
      </c>
      <c r="G134" t="s">
        <v>5</v>
      </c>
      <c r="J134" s="2" t="s">
        <v>29</v>
      </c>
      <c r="K134">
        <v>5</v>
      </c>
      <c r="L134" t="s">
        <v>12</v>
      </c>
      <c r="M134" t="s">
        <v>222</v>
      </c>
      <c r="N134" t="str">
        <f>IF(K134="N/A","No", IF(K134&gt;20,"Yes","No"))</f>
        <v>No</v>
      </c>
      <c r="O134" t="str">
        <f t="shared" si="62"/>
        <v>No</v>
      </c>
      <c r="U134" t="s">
        <v>104</v>
      </c>
      <c r="V134" t="s">
        <v>5</v>
      </c>
      <c r="W134" t="str">
        <f>O135</f>
        <v>No</v>
      </c>
      <c r="X134" t="str">
        <f>IF(V134="N/A","N/A",IF(W134="N/A", "N/A", IF(V134=W134, "Yes","No")))</f>
        <v>No</v>
      </c>
    </row>
    <row r="135" spans="1:32" x14ac:dyDescent="0.2">
      <c r="A135" t="s">
        <v>158</v>
      </c>
      <c r="B135" t="s">
        <v>32</v>
      </c>
      <c r="C135">
        <v>32.700000000000003</v>
      </c>
      <c r="D135" t="s">
        <v>33</v>
      </c>
      <c r="E135" t="s">
        <v>5</v>
      </c>
      <c r="F135" s="2" t="str">
        <f t="shared" si="63"/>
        <v>Yes</v>
      </c>
      <c r="G135" t="s">
        <v>5</v>
      </c>
      <c r="J135" s="2" t="s">
        <v>34</v>
      </c>
      <c r="K135">
        <v>7</v>
      </c>
      <c r="L135" t="s">
        <v>12</v>
      </c>
      <c r="M135" t="s">
        <v>210</v>
      </c>
      <c r="N135" t="str">
        <f>IF(K135="N/A","No", IF(K135&gt;230,"Yes","No"))</f>
        <v>No</v>
      </c>
      <c r="O135" t="str">
        <f>IF(K135="Not","No",IF(K135="n/a","N/A",IF(K135&gt;$Y$5,"Yes","No")))</f>
        <v>No</v>
      </c>
      <c r="U135" t="s">
        <v>106</v>
      </c>
      <c r="V135" t="str">
        <f>R130</f>
        <v>Yes</v>
      </c>
      <c r="W135" s="14" t="str">
        <f>S130</f>
        <v>No</v>
      </c>
      <c r="X135" t="str">
        <f>IF(V135="N/A","N/A",IF(W135="N/A", "N/A", IF(V135=W135, "Yes","No")))</f>
        <v>No</v>
      </c>
    </row>
    <row r="136" spans="1:32" x14ac:dyDescent="0.2">
      <c r="A136" t="s">
        <v>158</v>
      </c>
      <c r="B136" t="s">
        <v>54</v>
      </c>
      <c r="C136">
        <v>285</v>
      </c>
      <c r="D136" t="s">
        <v>33</v>
      </c>
      <c r="E136" t="s">
        <v>5</v>
      </c>
      <c r="F136" s="2" t="str">
        <f>IF(C136&gt;=$W$5,"Yes","No")</f>
        <v>Yes</v>
      </c>
      <c r="G136" t="s">
        <v>5</v>
      </c>
      <c r="J136" s="2" t="s">
        <v>208</v>
      </c>
      <c r="K136">
        <v>352</v>
      </c>
      <c r="L136" t="s">
        <v>12</v>
      </c>
      <c r="M136" t="s">
        <v>223</v>
      </c>
      <c r="N136" t="str">
        <f>IF(K136="N/A","No", IF(K136&gt;20,"Yes","No"))</f>
        <v>Yes</v>
      </c>
      <c r="O136" t="str">
        <f>IF(K136="Not","No",IF(K136="n/a","N/A",IF(K136&gt;$Y$7,"Yes","No")))</f>
        <v>No</v>
      </c>
      <c r="U136" t="s">
        <v>121</v>
      </c>
      <c r="V136" t="str">
        <f>R131</f>
        <v>Yes</v>
      </c>
      <c r="W136" t="str">
        <f>S131</f>
        <v>No</v>
      </c>
      <c r="X136" t="str">
        <f>IF(V136="N/A","N/A",IF(W136="N/A", "N/A", IF(V136=W136, "Yes","No")))</f>
        <v>No</v>
      </c>
    </row>
    <row r="137" spans="1:32" x14ac:dyDescent="0.2">
      <c r="A137" s="11"/>
    </row>
    <row r="139" spans="1:32" x14ac:dyDescent="0.2">
      <c r="A139" s="1">
        <f>VLOOKUP(C139,'Grid - LRA Samples'!$A$2:$B$108, 2,FALSE)</f>
        <v>749</v>
      </c>
      <c r="B139" t="s">
        <v>111</v>
      </c>
      <c r="C139">
        <v>22</v>
      </c>
    </row>
    <row r="140" spans="1:32" x14ac:dyDescent="0.2">
      <c r="A140" s="5" t="s">
        <v>0</v>
      </c>
      <c r="E140" s="2" t="s">
        <v>274</v>
      </c>
      <c r="F140" s="2" t="s">
        <v>275</v>
      </c>
      <c r="G140" t="s">
        <v>119</v>
      </c>
      <c r="J140" s="5" t="s">
        <v>1</v>
      </c>
      <c r="N140" s="2" t="s">
        <v>277</v>
      </c>
      <c r="O140" t="s">
        <v>278</v>
      </c>
      <c r="Q140" s="5" t="s">
        <v>115</v>
      </c>
      <c r="R140" s="5" t="s">
        <v>0</v>
      </c>
      <c r="S140" s="5" t="s">
        <v>1</v>
      </c>
      <c r="U140" s="5" t="s">
        <v>115</v>
      </c>
      <c r="V140" s="5" t="s">
        <v>0</v>
      </c>
      <c r="W140" s="5" t="s">
        <v>1</v>
      </c>
      <c r="X140" s="5" t="s">
        <v>122</v>
      </c>
      <c r="AA140" t="str">
        <f>IF(R141="Yes","LRA-Soil","")</f>
        <v/>
      </c>
      <c r="AB140" t="str">
        <f>IF(R142="Yes","LRA-Paint","")</f>
        <v/>
      </c>
      <c r="AC140" t="str">
        <f>IF(R143="Yes","LRA-Dust","")</f>
        <v/>
      </c>
      <c r="AD140" t="str">
        <f>IF(S141="Yes","LSK-Soil","")</f>
        <v/>
      </c>
      <c r="AE140" t="str">
        <f>IF(S142="Yes","LSK-Paint","")</f>
        <v/>
      </c>
      <c r="AF140" t="str">
        <f>IF(S143="Yes","LSK-Dust","")</f>
        <v/>
      </c>
    </row>
    <row r="141" spans="1:32" x14ac:dyDescent="0.2">
      <c r="A141" t="s">
        <v>185</v>
      </c>
      <c r="B141" t="s">
        <v>211</v>
      </c>
      <c r="C141">
        <v>0</v>
      </c>
      <c r="D141" t="s">
        <v>4</v>
      </c>
      <c r="E141" t="s">
        <v>9</v>
      </c>
      <c r="F141" s="2" t="str">
        <f t="shared" ref="F141:F143" si="64">IF(C141&gt;=$W$2,"Yes","No")</f>
        <v>No</v>
      </c>
      <c r="G141" t="s">
        <v>9</v>
      </c>
      <c r="H141" t="s">
        <v>46</v>
      </c>
      <c r="J141" s="2" t="s">
        <v>6</v>
      </c>
      <c r="K141">
        <v>7.2</v>
      </c>
      <c r="L141" t="s">
        <v>12</v>
      </c>
      <c r="M141" t="s">
        <v>114</v>
      </c>
      <c r="N141" t="str">
        <f>IF(K141="N/A","No", IF(K141&gt;1200,"Yes","No"))</f>
        <v>No</v>
      </c>
      <c r="O141" t="str">
        <f t="shared" ref="O141:O143" si="65">IF(K141="Not","No",IF(K141="n/a","N/A",IF(K141&gt;$Y$3,"Yes","No")))</f>
        <v>No</v>
      </c>
      <c r="Q141" s="2" t="s">
        <v>116</v>
      </c>
      <c r="R141" t="str">
        <f>_xlfn.XLOOKUP("ppm",D141:D144,F141:F144,"N/A")</f>
        <v>No</v>
      </c>
      <c r="S141" t="str">
        <f>IF(COUNTIF(O141:O143,"Yes"),"Yes","No")</f>
        <v>No</v>
      </c>
      <c r="U141" t="s">
        <v>92</v>
      </c>
      <c r="V141" t="s">
        <v>9</v>
      </c>
      <c r="W141" t="s">
        <v>120</v>
      </c>
      <c r="X141" t="str">
        <f>IF(V141="N/A","N/A",IF(W141="N/A", "N/A", IF(V141=W141, "Yes","No")))</f>
        <v>N/A</v>
      </c>
    </row>
    <row r="142" spans="1:32" x14ac:dyDescent="0.2">
      <c r="A142" t="s">
        <v>200</v>
      </c>
      <c r="B142" t="s">
        <v>240</v>
      </c>
      <c r="C142">
        <v>48.1</v>
      </c>
      <c r="D142" t="s">
        <v>12</v>
      </c>
      <c r="E142" t="s">
        <v>9</v>
      </c>
      <c r="F142" s="2" t="str">
        <f>IF(C142&gt;$W$3,"Yes","No")</f>
        <v>No</v>
      </c>
      <c r="G142" t="s">
        <v>9</v>
      </c>
      <c r="J142" s="2" t="s">
        <v>11</v>
      </c>
      <c r="K142">
        <v>49.7</v>
      </c>
      <c r="L142" t="s">
        <v>12</v>
      </c>
      <c r="M142" t="s">
        <v>67</v>
      </c>
      <c r="N142" t="str">
        <f t="shared" ref="N142:N143" si="66">IF(K142="N/A","No", IF(K142&gt;1200,"Yes","No"))</f>
        <v>No</v>
      </c>
      <c r="O142" t="str">
        <f t="shared" si="65"/>
        <v>No</v>
      </c>
      <c r="Q142" s="2" t="s">
        <v>98</v>
      </c>
      <c r="R142" t="str">
        <f>_xlfn.XLOOKUP("mg/cm2",D141:D144,G141:G144,"N/A")</f>
        <v>No</v>
      </c>
      <c r="S142" t="str">
        <f>IF(COUNTIF(O144:O145,"Yes"),"Yes","No")</f>
        <v>No</v>
      </c>
      <c r="U142" t="s">
        <v>95</v>
      </c>
      <c r="V142" t="str">
        <f>R141</f>
        <v>No</v>
      </c>
      <c r="W142" t="str">
        <f>S141</f>
        <v>No</v>
      </c>
      <c r="X142" t="str">
        <f t="shared" ref="X142:X145" si="67">IF(V142="N/A","N/A",IF(W142="N/A", "N/A", IF(V142=W142, "Yes","No")))</f>
        <v>Yes</v>
      </c>
    </row>
    <row r="143" spans="1:32" x14ac:dyDescent="0.2">
      <c r="A143" t="s">
        <v>241</v>
      </c>
      <c r="B143" t="s">
        <v>211</v>
      </c>
      <c r="C143">
        <v>0</v>
      </c>
      <c r="D143" t="s">
        <v>4</v>
      </c>
      <c r="E143" t="s">
        <v>9</v>
      </c>
      <c r="F143" s="2" t="str">
        <f t="shared" si="64"/>
        <v>No</v>
      </c>
      <c r="G143" t="s">
        <v>9</v>
      </c>
      <c r="H143" t="s">
        <v>43</v>
      </c>
      <c r="J143" s="2" t="s">
        <v>15</v>
      </c>
      <c r="K143">
        <v>37.5</v>
      </c>
      <c r="L143" t="s">
        <v>12</v>
      </c>
      <c r="M143" t="s">
        <v>112</v>
      </c>
      <c r="N143" t="str">
        <f t="shared" si="66"/>
        <v>No</v>
      </c>
      <c r="O143" t="str">
        <f t="shared" si="65"/>
        <v>No</v>
      </c>
      <c r="Q143" s="2" t="s">
        <v>117</v>
      </c>
      <c r="R143" t="str">
        <f>_xlfn.XLOOKUP("ug/ft2",D141:D144,F141:F144,"N/A")</f>
        <v>No</v>
      </c>
      <c r="S143" t="str">
        <f>IF(COUNTIF(O146:O149,"Yes"),"Yes","No")</f>
        <v>No</v>
      </c>
      <c r="U143" t="s">
        <v>163</v>
      </c>
      <c r="V143" t="s">
        <v>9</v>
      </c>
      <c r="W143" t="str">
        <f>O145</f>
        <v>No</v>
      </c>
      <c r="X143" t="str">
        <f t="shared" si="67"/>
        <v>Yes</v>
      </c>
    </row>
    <row r="144" spans="1:32" x14ac:dyDescent="0.2">
      <c r="A144" t="s">
        <v>201</v>
      </c>
      <c r="B144" t="s">
        <v>214</v>
      </c>
      <c r="C144">
        <v>7.2</v>
      </c>
      <c r="D144" t="s">
        <v>33</v>
      </c>
      <c r="E144" t="s">
        <v>9</v>
      </c>
      <c r="F144" s="2" t="str">
        <f>IF(C144&gt;$W$6,"Yes","No")</f>
        <v>No</v>
      </c>
      <c r="G144" t="s">
        <v>9</v>
      </c>
      <c r="J144" s="2" t="s">
        <v>19</v>
      </c>
      <c r="K144">
        <v>11</v>
      </c>
      <c r="L144" t="s">
        <v>12</v>
      </c>
      <c r="M144" t="s">
        <v>46</v>
      </c>
      <c r="N144" t="str">
        <f>IF(K144="N/A","No", IF(K144&gt;5000,"Yes","No"))</f>
        <v>No</v>
      </c>
      <c r="O144" t="str">
        <f t="shared" ref="O144:O145" si="68">IF(K144="Not","No",IF(K144="n/a","N/A",IF(K144&gt;$Y$2,"Yes","No")))</f>
        <v>No</v>
      </c>
      <c r="Q144" s="2" t="s">
        <v>118</v>
      </c>
      <c r="R144" t="str">
        <f>IF(COUNTIF(R141:R143,"Yes"),"Yes","No")</f>
        <v>No</v>
      </c>
      <c r="S144" t="str">
        <f>IF(COUNTIF(S141:S143,"Yes"),"Yes","No")</f>
        <v>No</v>
      </c>
      <c r="U144" t="s">
        <v>164</v>
      </c>
      <c r="V144" t="s">
        <v>9</v>
      </c>
      <c r="W144" t="str">
        <f>O144</f>
        <v>No</v>
      </c>
      <c r="X144" t="str">
        <f t="shared" si="67"/>
        <v>Yes</v>
      </c>
    </row>
    <row r="145" spans="1:32" x14ac:dyDescent="0.2">
      <c r="J145" s="2" t="s">
        <v>22</v>
      </c>
      <c r="K145">
        <v>12</v>
      </c>
      <c r="L145" t="s">
        <v>12</v>
      </c>
      <c r="M145" t="s">
        <v>43</v>
      </c>
      <c r="N145" t="str">
        <f>IF(K145="N/A","No", IF(K145&gt;5000,"Yes","No"))</f>
        <v>No</v>
      </c>
      <c r="O145" t="str">
        <f t="shared" si="68"/>
        <v>No</v>
      </c>
      <c r="U145" t="s">
        <v>162</v>
      </c>
      <c r="V145" t="str">
        <f>R142</f>
        <v>No</v>
      </c>
      <c r="W145" t="str">
        <f>S142</f>
        <v>No</v>
      </c>
      <c r="X145" t="str">
        <f t="shared" si="67"/>
        <v>Yes</v>
      </c>
    </row>
    <row r="146" spans="1:32" x14ac:dyDescent="0.2">
      <c r="J146" s="2" t="s">
        <v>25</v>
      </c>
      <c r="K146">
        <v>2.5</v>
      </c>
      <c r="L146" t="s">
        <v>12</v>
      </c>
      <c r="M146" t="s">
        <v>126</v>
      </c>
      <c r="N146" t="str">
        <f>IF(K146="N/A","No", IF(K146&gt;20,"Yes","No"))</f>
        <v>No</v>
      </c>
      <c r="O146" t="str">
        <f t="shared" ref="O146:O147" si="69">IF(K146="Not","No",IF(K146="n/a","N/A",IF(K146&gt;$Y$6,"Yes","No")))</f>
        <v>No</v>
      </c>
      <c r="U146" t="s">
        <v>101</v>
      </c>
      <c r="V146" t="s">
        <v>9</v>
      </c>
      <c r="W146" s="19" t="s">
        <v>9</v>
      </c>
      <c r="X146" t="str">
        <f>IF(V146="N/A","N/A",IF(W146="N/A", "N/A", IF(V146=W146, "Yes","No")))</f>
        <v>Yes</v>
      </c>
    </row>
    <row r="147" spans="1:32" x14ac:dyDescent="0.2">
      <c r="J147" s="2" t="s">
        <v>29</v>
      </c>
      <c r="K147">
        <v>11</v>
      </c>
      <c r="L147" t="s">
        <v>12</v>
      </c>
      <c r="M147" t="s">
        <v>222</v>
      </c>
      <c r="N147" t="str">
        <f>IF(K147="N/A","No", IF(K147&gt;20,"Yes","No"))</f>
        <v>No</v>
      </c>
      <c r="O147" t="str">
        <f t="shared" si="69"/>
        <v>No</v>
      </c>
      <c r="U147" t="s">
        <v>104</v>
      </c>
      <c r="V147" t="s">
        <v>120</v>
      </c>
      <c r="W147" t="str">
        <f>O148</f>
        <v>No</v>
      </c>
      <c r="X147" t="str">
        <f>IF(V147="N/A","N/A",IF(W147="N/A", "N/A", IF(V147=W147, "Yes","No")))</f>
        <v>N/A</v>
      </c>
    </row>
    <row r="148" spans="1:32" x14ac:dyDescent="0.2">
      <c r="J148" s="2" t="s">
        <v>34</v>
      </c>
      <c r="K148">
        <v>7</v>
      </c>
      <c r="L148" t="s">
        <v>12</v>
      </c>
      <c r="M148" t="s">
        <v>210</v>
      </c>
      <c r="N148" t="str">
        <f>IF(K148="N/A","No", IF(K148&gt;230,"Yes","No"))</f>
        <v>No</v>
      </c>
      <c r="O148" t="str">
        <f>IF(K148="Not","No",IF(K148="n/a","N/A",IF(K148&gt;$Y$5,"Yes","No")))</f>
        <v>No</v>
      </c>
      <c r="U148" t="s">
        <v>106</v>
      </c>
      <c r="V148" t="str">
        <f>R143</f>
        <v>No</v>
      </c>
      <c r="W148" s="14" t="str">
        <f>S143</f>
        <v>No</v>
      </c>
      <c r="X148" t="str">
        <f>IF(V148="N/A","N/A",IF(W148="N/A", "N/A", IF(V148=W148, "Yes","No")))</f>
        <v>Yes</v>
      </c>
    </row>
    <row r="149" spans="1:32" x14ac:dyDescent="0.2">
      <c r="J149" s="2" t="s">
        <v>208</v>
      </c>
      <c r="K149">
        <v>38.9</v>
      </c>
      <c r="L149" t="s">
        <v>12</v>
      </c>
      <c r="M149" t="s">
        <v>223</v>
      </c>
      <c r="N149" t="str">
        <f>IF(K149="N/A","No", IF(K149&gt;20,"Yes","No"))</f>
        <v>Yes</v>
      </c>
      <c r="O149" t="str">
        <f>IF(K149="Not","No",IF(K149="n/a","N/A",IF(K149&gt;$Y$7,"Yes","No")))</f>
        <v>No</v>
      </c>
      <c r="U149" t="s">
        <v>121</v>
      </c>
      <c r="V149" t="str">
        <f>R144</f>
        <v>No</v>
      </c>
      <c r="W149" t="str">
        <f>S144</f>
        <v>No</v>
      </c>
      <c r="X149" t="str">
        <f>IF(V149="N/A","N/A",IF(W149="N/A", "N/A", IF(V149=W149, "Yes","No")))</f>
        <v>Yes</v>
      </c>
    </row>
    <row r="151" spans="1:32" x14ac:dyDescent="0.2">
      <c r="A151" s="1">
        <f>VLOOKUP(C151,'Grid - LRA Samples'!$A$2:$B$108, 2,FALSE)</f>
        <v>774</v>
      </c>
      <c r="B151" t="s">
        <v>111</v>
      </c>
      <c r="C151">
        <v>23</v>
      </c>
    </row>
    <row r="152" spans="1:32" x14ac:dyDescent="0.2">
      <c r="A152" s="5" t="s">
        <v>0</v>
      </c>
      <c r="E152" s="2" t="s">
        <v>274</v>
      </c>
      <c r="F152" s="2" t="s">
        <v>275</v>
      </c>
      <c r="G152" t="s">
        <v>119</v>
      </c>
      <c r="J152" s="5" t="s">
        <v>1</v>
      </c>
      <c r="N152" s="2" t="s">
        <v>277</v>
      </c>
      <c r="O152" t="s">
        <v>278</v>
      </c>
      <c r="Q152" s="5" t="s">
        <v>115</v>
      </c>
      <c r="R152" s="5" t="s">
        <v>0</v>
      </c>
      <c r="S152" s="5" t="s">
        <v>1</v>
      </c>
      <c r="U152" s="5" t="s">
        <v>115</v>
      </c>
      <c r="V152" s="5" t="s">
        <v>0</v>
      </c>
      <c r="W152" s="5" t="s">
        <v>1</v>
      </c>
      <c r="X152" s="5" t="s">
        <v>122</v>
      </c>
      <c r="AA152" t="str">
        <f>IF(R153="Yes","LRA-Soil","")</f>
        <v/>
      </c>
      <c r="AB152" t="str">
        <f>IF(R154="Yes","LRA-Paint","")</f>
        <v/>
      </c>
      <c r="AC152" t="str">
        <f>IF(R155="Yes","LRA-Dust","")</f>
        <v/>
      </c>
      <c r="AD152" t="str">
        <f>IF(S153="Yes","LSK-Soil","")</f>
        <v/>
      </c>
      <c r="AE152" t="str">
        <f>IF(S154="Yes","LSK-Paint","")</f>
        <v/>
      </c>
      <c r="AF152" t="str">
        <f>IF(S155="Yes","LSK-Dust","")</f>
        <v/>
      </c>
    </row>
    <row r="153" spans="1:32" x14ac:dyDescent="0.2">
      <c r="A153" t="s">
        <v>185</v>
      </c>
      <c r="B153" t="s">
        <v>217</v>
      </c>
      <c r="C153">
        <v>0</v>
      </c>
      <c r="D153" t="s">
        <v>4</v>
      </c>
      <c r="E153" t="s">
        <v>9</v>
      </c>
      <c r="F153" s="2" t="str">
        <f t="shared" ref="F153" si="70">IF(C153&gt;=$W$2,"Yes","No")</f>
        <v>No</v>
      </c>
      <c r="G153" t="s">
        <v>9</v>
      </c>
      <c r="H153" t="s">
        <v>46</v>
      </c>
      <c r="J153" s="2" t="s">
        <v>6</v>
      </c>
      <c r="K153">
        <v>15.8</v>
      </c>
      <c r="L153" t="s">
        <v>12</v>
      </c>
      <c r="M153" t="s">
        <v>114</v>
      </c>
      <c r="N153" t="str">
        <f>IF(K153="N/A","No", IF(K153&gt;1200,"Yes","No"))</f>
        <v>No</v>
      </c>
      <c r="O153" t="str">
        <f t="shared" ref="O153:O155" si="71">IF(K153="Not","No",IF(K153="n/a","N/A",IF(K153&gt;$Y$3,"Yes","No")))</f>
        <v>No</v>
      </c>
      <c r="Q153" s="2" t="s">
        <v>116</v>
      </c>
      <c r="R153" t="str">
        <f>_xlfn.XLOOKUP("ppm",D153:D156,F153:F156,"N/A")</f>
        <v>No</v>
      </c>
      <c r="S153" t="str">
        <f>IF(COUNTIF(O153:O155,"Yes"),"Yes","No")</f>
        <v>No</v>
      </c>
      <c r="U153" t="s">
        <v>92</v>
      </c>
      <c r="V153" t="s">
        <v>9</v>
      </c>
      <c r="W153" t="s">
        <v>120</v>
      </c>
      <c r="X153" t="str">
        <f>IF(V153="N/A","N/A",IF(W153="N/A", "N/A", IF(V153=W153, "Yes","No")))</f>
        <v>N/A</v>
      </c>
    </row>
    <row r="154" spans="1:32" x14ac:dyDescent="0.2">
      <c r="A154" t="s">
        <v>243</v>
      </c>
      <c r="B154" t="s">
        <v>240</v>
      </c>
      <c r="C154">
        <v>31.5</v>
      </c>
      <c r="D154" t="s">
        <v>12</v>
      </c>
      <c r="E154" t="s">
        <v>9</v>
      </c>
      <c r="F154" s="2" t="str">
        <f>IF(C154&gt;$W$3,"Yes","No")</f>
        <v>No</v>
      </c>
      <c r="G154" t="s">
        <v>9</v>
      </c>
      <c r="J154" s="2" t="s">
        <v>11</v>
      </c>
      <c r="K154">
        <v>11.2</v>
      </c>
      <c r="L154" t="s">
        <v>12</v>
      </c>
      <c r="M154" t="s">
        <v>67</v>
      </c>
      <c r="N154" t="str">
        <f t="shared" ref="N154:N155" si="72">IF(K154="N/A","No", IF(K154&gt;1200,"Yes","No"))</f>
        <v>No</v>
      </c>
      <c r="O154" t="str">
        <f t="shared" si="71"/>
        <v>No</v>
      </c>
      <c r="Q154" s="2" t="s">
        <v>98</v>
      </c>
      <c r="R154" t="str">
        <f>_xlfn.XLOOKUP("mg/cm2",D153:D156,G153:G156,"N/A")</f>
        <v>No</v>
      </c>
      <c r="S154" t="str">
        <f>IF(COUNTIF(O156:O157,"Yes"),"Yes","No")</f>
        <v>No</v>
      </c>
      <c r="U154" t="s">
        <v>95</v>
      </c>
      <c r="V154" t="str">
        <f>R153</f>
        <v>No</v>
      </c>
      <c r="W154" t="str">
        <f>S153</f>
        <v>No</v>
      </c>
      <c r="X154" t="str">
        <f t="shared" ref="X154:X157" si="73">IF(V154="N/A","N/A",IF(W154="N/A", "N/A", IF(V154=W154, "Yes","No")))</f>
        <v>Yes</v>
      </c>
    </row>
    <row r="155" spans="1:32" x14ac:dyDescent="0.2">
      <c r="A155" t="s">
        <v>191</v>
      </c>
      <c r="B155" t="s">
        <v>211</v>
      </c>
      <c r="C155">
        <v>0</v>
      </c>
      <c r="D155" t="s">
        <v>4</v>
      </c>
      <c r="E155" t="s">
        <v>9</v>
      </c>
      <c r="F155" s="2" t="str">
        <f t="shared" ref="F155" si="74">IF(C155&gt;=$W$2,"Yes","No")</f>
        <v>No</v>
      </c>
      <c r="G155" t="s">
        <v>9</v>
      </c>
      <c r="H155" t="s">
        <v>43</v>
      </c>
      <c r="J155" s="2" t="s">
        <v>15</v>
      </c>
      <c r="K155">
        <v>12.1</v>
      </c>
      <c r="L155" t="s">
        <v>12</v>
      </c>
      <c r="M155" t="s">
        <v>112</v>
      </c>
      <c r="N155" t="str">
        <f t="shared" si="72"/>
        <v>No</v>
      </c>
      <c r="O155" t="str">
        <f t="shared" si="71"/>
        <v>No</v>
      </c>
      <c r="Q155" s="2" t="s">
        <v>117</v>
      </c>
      <c r="R155" t="str">
        <f>_xlfn.XLOOKUP("ug/ft2",D153:D156,F153:F156,"N/A")</f>
        <v>No</v>
      </c>
      <c r="S155" t="str">
        <f>IF(COUNTIF(O158:O161,"Yes"),"Yes","No")</f>
        <v>No</v>
      </c>
      <c r="U155" t="s">
        <v>163</v>
      </c>
      <c r="V155" t="s">
        <v>9</v>
      </c>
      <c r="W155" t="str">
        <f>O157</f>
        <v>No</v>
      </c>
      <c r="X155" t="str">
        <f t="shared" si="73"/>
        <v>Yes</v>
      </c>
    </row>
    <row r="156" spans="1:32" x14ac:dyDescent="0.2">
      <c r="A156" t="s">
        <v>201</v>
      </c>
      <c r="B156" t="s">
        <v>214</v>
      </c>
      <c r="C156">
        <v>6.8</v>
      </c>
      <c r="D156" t="s">
        <v>33</v>
      </c>
      <c r="E156" t="s">
        <v>9</v>
      </c>
      <c r="F156" s="2" t="str">
        <f>IF(C156&gt;$W$6,"Yes","No")</f>
        <v>No</v>
      </c>
      <c r="G156" t="s">
        <v>9</v>
      </c>
      <c r="J156" s="2" t="s">
        <v>19</v>
      </c>
      <c r="K156">
        <v>23</v>
      </c>
      <c r="L156" t="s">
        <v>12</v>
      </c>
      <c r="M156" t="s">
        <v>46</v>
      </c>
      <c r="N156" t="str">
        <f>IF(K156="N/A","No", IF(K156&gt;5000,"Yes","No"))</f>
        <v>No</v>
      </c>
      <c r="O156" t="str">
        <f t="shared" ref="O156:O157" si="75">IF(K156="Not","No",IF(K156="n/a","N/A",IF(K156&gt;$Y$2,"Yes","No")))</f>
        <v>No</v>
      </c>
      <c r="Q156" s="2" t="s">
        <v>118</v>
      </c>
      <c r="R156" t="str">
        <f>IF(COUNTIF(R153:R155,"Yes"),"Yes","No")</f>
        <v>No</v>
      </c>
      <c r="S156" t="str">
        <f>IF(COUNTIF(S153:S155,"Yes"),"Yes","No")</f>
        <v>No</v>
      </c>
      <c r="U156" t="s">
        <v>164</v>
      </c>
      <c r="V156" t="s">
        <v>9</v>
      </c>
      <c r="W156" t="str">
        <f>O156</f>
        <v>No</v>
      </c>
      <c r="X156" t="str">
        <f t="shared" si="73"/>
        <v>Yes</v>
      </c>
    </row>
    <row r="157" spans="1:32" x14ac:dyDescent="0.2">
      <c r="J157" s="2" t="s">
        <v>22</v>
      </c>
      <c r="K157">
        <v>2.5</v>
      </c>
      <c r="L157" t="s">
        <v>12</v>
      </c>
      <c r="M157" t="s">
        <v>43</v>
      </c>
      <c r="N157" t="str">
        <f>IF(K157="N/A","No", IF(K157&gt;5000,"Yes","No"))</f>
        <v>No</v>
      </c>
      <c r="O157" t="str">
        <f t="shared" si="75"/>
        <v>No</v>
      </c>
      <c r="U157" t="s">
        <v>162</v>
      </c>
      <c r="V157" t="str">
        <f>R154</f>
        <v>No</v>
      </c>
      <c r="W157" t="str">
        <f>S154</f>
        <v>No</v>
      </c>
      <c r="X157" t="str">
        <f t="shared" si="73"/>
        <v>Yes</v>
      </c>
    </row>
    <row r="158" spans="1:32" x14ac:dyDescent="0.2">
      <c r="J158" s="2" t="s">
        <v>25</v>
      </c>
      <c r="K158">
        <v>2.5</v>
      </c>
      <c r="L158" t="s">
        <v>12</v>
      </c>
      <c r="M158" t="s">
        <v>126</v>
      </c>
      <c r="N158" t="str">
        <f>IF(K158="N/A","No", IF(K158&gt;20,"Yes","No"))</f>
        <v>No</v>
      </c>
      <c r="O158" t="str">
        <f t="shared" ref="O158:O159" si="76">IF(K158="Not","No",IF(K158="n/a","N/A",IF(K158&gt;$Y$6,"Yes","No")))</f>
        <v>No</v>
      </c>
      <c r="U158" t="s">
        <v>101</v>
      </c>
      <c r="V158" t="s">
        <v>9</v>
      </c>
      <c r="W158" t="s">
        <v>9</v>
      </c>
      <c r="X158" t="str">
        <f>IF(V158="N/A","N/A",IF(W158="N/A", "N/A", IF(V158=W158, "Yes","No")))</f>
        <v>Yes</v>
      </c>
    </row>
    <row r="159" spans="1:32" x14ac:dyDescent="0.2">
      <c r="J159" s="2" t="s">
        <v>29</v>
      </c>
      <c r="K159">
        <v>2.5</v>
      </c>
      <c r="L159" t="s">
        <v>12</v>
      </c>
      <c r="M159" t="s">
        <v>222</v>
      </c>
      <c r="N159" t="str">
        <f>IF(K159="N/A","No", IF(K159&gt;20,"Yes","No"))</f>
        <v>No</v>
      </c>
      <c r="O159" t="str">
        <f t="shared" si="76"/>
        <v>No</v>
      </c>
      <c r="U159" t="s">
        <v>104</v>
      </c>
      <c r="V159" t="s">
        <v>120</v>
      </c>
      <c r="W159" t="str">
        <f>O160</f>
        <v>No</v>
      </c>
      <c r="X159" t="str">
        <f>IF(V159="N/A","N/A",IF(W159="N/A", "N/A", IF(V159=W159, "Yes","No")))</f>
        <v>N/A</v>
      </c>
    </row>
    <row r="160" spans="1:32" x14ac:dyDescent="0.2">
      <c r="J160" s="2" t="s">
        <v>34</v>
      </c>
      <c r="K160">
        <v>2.5</v>
      </c>
      <c r="L160" t="s">
        <v>12</v>
      </c>
      <c r="M160" t="s">
        <v>210</v>
      </c>
      <c r="N160" t="str">
        <f>IF(K160="N/A","No", IF(K160&gt;230,"Yes","No"))</f>
        <v>No</v>
      </c>
      <c r="O160" t="str">
        <f>IF(K160="Not","No",IF(K160="n/a","N/A",IF(K160&gt;$Y$5,"Yes","No")))</f>
        <v>No</v>
      </c>
      <c r="U160" t="s">
        <v>106</v>
      </c>
      <c r="V160" t="str">
        <f>R155</f>
        <v>No</v>
      </c>
      <c r="W160" t="str">
        <f>S155</f>
        <v>No</v>
      </c>
      <c r="X160" t="str">
        <f>IF(V160="N/A","N/A",IF(W160="N/A", "N/A", IF(V160=W160, "Yes","No")))</f>
        <v>Yes</v>
      </c>
    </row>
    <row r="161" spans="1:32" x14ac:dyDescent="0.2">
      <c r="J161" s="2" t="s">
        <v>208</v>
      </c>
      <c r="K161">
        <v>8.8000000000000007</v>
      </c>
      <c r="L161" t="s">
        <v>12</v>
      </c>
      <c r="M161" t="s">
        <v>223</v>
      </c>
      <c r="N161" t="str">
        <f>IF(K161="N/A","No", IF(K161&gt;20,"Yes","No"))</f>
        <v>No</v>
      </c>
      <c r="O161" t="str">
        <f>IF(K161="Not","No",IF(K161="n/a","N/A",IF(K161&gt;$Y$7,"Yes","No")))</f>
        <v>No</v>
      </c>
      <c r="U161" t="s">
        <v>121</v>
      </c>
      <c r="V161" t="str">
        <f>R156</f>
        <v>No</v>
      </c>
      <c r="W161" t="str">
        <f>S156</f>
        <v>No</v>
      </c>
      <c r="X161" t="str">
        <f>IF(V161="N/A","N/A",IF(W161="N/A", "N/A", IF(V161=W161, "Yes","No")))</f>
        <v>Yes</v>
      </c>
    </row>
    <row r="163" spans="1:32" x14ac:dyDescent="0.2">
      <c r="A163" s="1">
        <f>VLOOKUP(C163,'Grid - LRA Samples'!$A$2:$B$108, 2,FALSE)</f>
        <v>859</v>
      </c>
      <c r="B163" t="s">
        <v>111</v>
      </c>
      <c r="C163">
        <v>24</v>
      </c>
    </row>
    <row r="164" spans="1:32" x14ac:dyDescent="0.2">
      <c r="A164" s="5" t="s">
        <v>0</v>
      </c>
      <c r="E164" s="2" t="s">
        <v>274</v>
      </c>
      <c r="F164" s="2" t="s">
        <v>275</v>
      </c>
      <c r="G164" t="s">
        <v>119</v>
      </c>
      <c r="J164" s="5" t="s">
        <v>1</v>
      </c>
      <c r="N164" s="2" t="s">
        <v>277</v>
      </c>
      <c r="O164" t="s">
        <v>278</v>
      </c>
      <c r="Q164" s="5" t="s">
        <v>115</v>
      </c>
      <c r="R164" s="5" t="s">
        <v>0</v>
      </c>
      <c r="S164" s="5" t="s">
        <v>1</v>
      </c>
      <c r="U164" s="5" t="s">
        <v>115</v>
      </c>
      <c r="V164" s="5" t="s">
        <v>0</v>
      </c>
      <c r="W164" s="5" t="s">
        <v>1</v>
      </c>
      <c r="X164" s="5" t="s">
        <v>122</v>
      </c>
      <c r="AA164" t="str">
        <f>IF(R165="Yes","LRA-Soil","")</f>
        <v/>
      </c>
      <c r="AB164" t="str">
        <f>IF(R166="Yes","LRA-Paint","")</f>
        <v>LRA-Paint</v>
      </c>
      <c r="AC164" t="str">
        <f>IF(R167="Yes","LRA-Dust","")</f>
        <v>LRA-Dust</v>
      </c>
      <c r="AD164" t="str">
        <f>IF(S165="Yes","LSK-Soil","")</f>
        <v/>
      </c>
      <c r="AE164" t="str">
        <f>IF(S166="Yes","LSK-Paint","")</f>
        <v/>
      </c>
      <c r="AF164" t="str">
        <f>IF(S167="Yes","LSK-Dust","")</f>
        <v/>
      </c>
    </row>
    <row r="165" spans="1:32" x14ac:dyDescent="0.2">
      <c r="A165" t="s">
        <v>63</v>
      </c>
      <c r="B165" t="s">
        <v>10</v>
      </c>
      <c r="C165">
        <v>9.1999999999999993</v>
      </c>
      <c r="D165" t="s">
        <v>4</v>
      </c>
      <c r="E165" t="s">
        <v>5</v>
      </c>
      <c r="F165" s="2" t="str">
        <f t="shared" ref="F165:F170" si="77">IF(C165&gt;=$W$2,"Yes","No")</f>
        <v>Yes</v>
      </c>
      <c r="G165" t="s">
        <v>5</v>
      </c>
      <c r="H165" t="s">
        <v>46</v>
      </c>
      <c r="J165" s="2" t="s">
        <v>6</v>
      </c>
      <c r="K165">
        <v>127</v>
      </c>
      <c r="L165" t="s">
        <v>12</v>
      </c>
      <c r="M165" t="s">
        <v>114</v>
      </c>
      <c r="N165" t="str">
        <f>IF(K165="N/A","No", IF(K165&gt;1200,"Yes","No"))</f>
        <v>No</v>
      </c>
      <c r="O165" t="str">
        <f t="shared" ref="O165:O167" si="78">IF(K165="Not","No",IF(K165="n/a","N/A",IF(K165&gt;$Y$3,"Yes","No")))</f>
        <v>No</v>
      </c>
      <c r="Q165" s="2" t="s">
        <v>116</v>
      </c>
      <c r="R165" t="str">
        <f>_xlfn.XLOOKUP("ppm",D165:D176,F165:F176,"N/A")</f>
        <v>N/A</v>
      </c>
      <c r="S165" t="str">
        <f>IF(COUNTIF(O165:O167,"Yes"),"Yes","No")</f>
        <v>No</v>
      </c>
      <c r="U165" t="s">
        <v>92</v>
      </c>
      <c r="V165" t="s">
        <v>120</v>
      </c>
      <c r="W165" t="s">
        <v>120</v>
      </c>
      <c r="X165" t="str">
        <f>IF(V165="N/A","N/A",IF(W165="N/A", "N/A", IF(V165=W165, "Yes","No")))</f>
        <v>N/A</v>
      </c>
    </row>
    <row r="166" spans="1:32" x14ac:dyDescent="0.2">
      <c r="A166" t="s">
        <v>63</v>
      </c>
      <c r="B166" t="s">
        <v>24</v>
      </c>
      <c r="C166">
        <v>8.6</v>
      </c>
      <c r="D166" t="s">
        <v>4</v>
      </c>
      <c r="E166" t="s">
        <v>5</v>
      </c>
      <c r="F166" s="2" t="str">
        <f t="shared" si="77"/>
        <v>Yes</v>
      </c>
      <c r="G166" t="s">
        <v>5</v>
      </c>
      <c r="H166" t="s">
        <v>46</v>
      </c>
      <c r="J166" s="2" t="s">
        <v>11</v>
      </c>
      <c r="K166">
        <v>216</v>
      </c>
      <c r="L166" t="s">
        <v>12</v>
      </c>
      <c r="M166" t="s">
        <v>67</v>
      </c>
      <c r="N166" t="str">
        <f t="shared" ref="N166:N167" si="79">IF(K166="N/A","No", IF(K166&gt;1200,"Yes","No"))</f>
        <v>No</v>
      </c>
      <c r="O166" t="str">
        <f t="shared" si="78"/>
        <v>No</v>
      </c>
      <c r="Q166" s="2" t="s">
        <v>98</v>
      </c>
      <c r="R166" t="str">
        <f>_xlfn.XLOOKUP("mg/cm2",D165:D176,G165:G176,"N/A")</f>
        <v>Yes</v>
      </c>
      <c r="S166" t="str">
        <f>IF(COUNTIF(O168:O169,"Yes"),"Yes","No")</f>
        <v>No</v>
      </c>
      <c r="U166" t="s">
        <v>95</v>
      </c>
      <c r="V166" t="str">
        <f>R165</f>
        <v>N/A</v>
      </c>
      <c r="W166" t="str">
        <f>S165</f>
        <v>No</v>
      </c>
      <c r="X166" t="str">
        <f t="shared" ref="X166:X169" si="80">IF(V166="N/A","N/A",IF(W166="N/A", "N/A", IF(V166=W166, "Yes","No")))</f>
        <v>N/A</v>
      </c>
    </row>
    <row r="167" spans="1:32" x14ac:dyDescent="0.2">
      <c r="A167" t="s">
        <v>63</v>
      </c>
      <c r="B167" t="s">
        <v>24</v>
      </c>
      <c r="C167">
        <v>10.1</v>
      </c>
      <c r="D167" t="s">
        <v>4</v>
      </c>
      <c r="E167" t="s">
        <v>5</v>
      </c>
      <c r="F167" s="2" t="str">
        <f t="shared" si="77"/>
        <v>Yes</v>
      </c>
      <c r="G167" t="s">
        <v>5</v>
      </c>
      <c r="H167" t="s">
        <v>46</v>
      </c>
      <c r="J167" s="2" t="s">
        <v>15</v>
      </c>
      <c r="K167">
        <v>26</v>
      </c>
      <c r="L167" t="s">
        <v>12</v>
      </c>
      <c r="M167" t="s">
        <v>112</v>
      </c>
      <c r="N167" t="str">
        <f t="shared" si="79"/>
        <v>No</v>
      </c>
      <c r="O167" t="str">
        <f t="shared" si="78"/>
        <v>No</v>
      </c>
      <c r="Q167" s="2" t="s">
        <v>117</v>
      </c>
      <c r="R167" t="str">
        <f>_xlfn.XLOOKUP("ug/ft2",D165:D176,F165:F176,"N/A")</f>
        <v>Yes</v>
      </c>
      <c r="S167" t="str">
        <f>IF(COUNTIF(O170:O173,"Yes"),"Yes","No")</f>
        <v>No</v>
      </c>
      <c r="U167" t="s">
        <v>163</v>
      </c>
      <c r="V167" t="s">
        <v>5</v>
      </c>
      <c r="W167" t="str">
        <f>O169</f>
        <v>No</v>
      </c>
      <c r="X167" t="str">
        <f t="shared" si="80"/>
        <v>No</v>
      </c>
    </row>
    <row r="168" spans="1:32" x14ac:dyDescent="0.2">
      <c r="A168" t="s">
        <v>63</v>
      </c>
      <c r="B168" t="s">
        <v>24</v>
      </c>
      <c r="C168">
        <v>8.6</v>
      </c>
      <c r="D168" t="s">
        <v>4</v>
      </c>
      <c r="E168" t="s">
        <v>5</v>
      </c>
      <c r="F168" s="2" t="str">
        <f t="shared" si="77"/>
        <v>Yes</v>
      </c>
      <c r="G168" t="s">
        <v>5</v>
      </c>
      <c r="H168" t="s">
        <v>46</v>
      </c>
      <c r="J168" s="2" t="s">
        <v>19</v>
      </c>
      <c r="K168">
        <v>103</v>
      </c>
      <c r="L168" t="s">
        <v>12</v>
      </c>
      <c r="M168" t="s">
        <v>46</v>
      </c>
      <c r="N168" t="str">
        <f>IF(K168="N/A","No", IF(K168&gt;5000,"Yes","No"))</f>
        <v>No</v>
      </c>
      <c r="O168" t="str">
        <f t="shared" ref="O168:O169" si="81">IF(K168="Not","No",IF(K168="n/a","N/A",IF(K168&gt;$Y$2,"Yes","No")))</f>
        <v>No</v>
      </c>
      <c r="Q168" s="2" t="s">
        <v>118</v>
      </c>
      <c r="R168" t="str">
        <f>IF(COUNTIF(R165:R167,"Yes"),"Yes","No")</f>
        <v>Yes</v>
      </c>
      <c r="S168" t="str">
        <f>IF(COUNTIF(S165:S167,"Yes"),"Yes","No")</f>
        <v>No</v>
      </c>
      <c r="U168" t="s">
        <v>164</v>
      </c>
      <c r="V168" t="s">
        <v>5</v>
      </c>
      <c r="W168" t="str">
        <f>O168</f>
        <v>No</v>
      </c>
      <c r="X168" t="str">
        <f t="shared" si="80"/>
        <v>No</v>
      </c>
    </row>
    <row r="169" spans="1:32" x14ac:dyDescent="0.2">
      <c r="A169" t="s">
        <v>245</v>
      </c>
      <c r="B169" t="s">
        <v>246</v>
      </c>
      <c r="C169">
        <v>4.4000000000000004</v>
      </c>
      <c r="D169" t="s">
        <v>4</v>
      </c>
      <c r="E169" t="s">
        <v>5</v>
      </c>
      <c r="F169" s="2" t="str">
        <f t="shared" si="77"/>
        <v>Yes</v>
      </c>
      <c r="G169" t="s">
        <v>5</v>
      </c>
      <c r="H169" t="s">
        <v>43</v>
      </c>
      <c r="J169" s="2" t="s">
        <v>22</v>
      </c>
      <c r="K169">
        <v>17</v>
      </c>
      <c r="L169" t="s">
        <v>12</v>
      </c>
      <c r="M169" t="s">
        <v>43</v>
      </c>
      <c r="N169" t="str">
        <f>IF(K169="N/A","No", IF(K169&gt;5000,"Yes","No"))</f>
        <v>No</v>
      </c>
      <c r="O169" t="str">
        <f t="shared" si="81"/>
        <v>No</v>
      </c>
      <c r="U169" t="s">
        <v>162</v>
      </c>
      <c r="V169" t="str">
        <f>R166</f>
        <v>Yes</v>
      </c>
      <c r="W169" t="str">
        <f>S166</f>
        <v>No</v>
      </c>
      <c r="X169" t="str">
        <f t="shared" si="80"/>
        <v>No</v>
      </c>
    </row>
    <row r="170" spans="1:32" x14ac:dyDescent="0.2">
      <c r="A170" t="s">
        <v>247</v>
      </c>
      <c r="B170" t="s">
        <v>246</v>
      </c>
      <c r="C170">
        <v>5.2</v>
      </c>
      <c r="D170" t="s">
        <v>4</v>
      </c>
      <c r="E170" t="s">
        <v>5</v>
      </c>
      <c r="F170" s="2" t="str">
        <f t="shared" si="77"/>
        <v>Yes</v>
      </c>
      <c r="G170" t="s">
        <v>5</v>
      </c>
      <c r="H170" t="s">
        <v>43</v>
      </c>
      <c r="J170" s="2" t="s">
        <v>25</v>
      </c>
      <c r="K170">
        <v>2.5</v>
      </c>
      <c r="L170" t="s">
        <v>12</v>
      </c>
      <c r="M170" t="s">
        <v>126</v>
      </c>
      <c r="N170" t="str">
        <f>IF(K170="N/A","No", IF(K170&gt;20,"Yes","No"))</f>
        <v>No</v>
      </c>
      <c r="O170" t="str">
        <f t="shared" ref="O170:O171" si="82">IF(K170="Not","No",IF(K170="n/a","N/A",IF(K170&gt;$Y$6,"Yes","No")))</f>
        <v>No</v>
      </c>
      <c r="U170" t="s">
        <v>101</v>
      </c>
      <c r="V170" t="s">
        <v>5</v>
      </c>
      <c r="W170" t="s">
        <v>5</v>
      </c>
      <c r="X170" t="str">
        <f>IF(V170="N/A","N/A",IF(W170="N/A", "N/A", IF(V170=W170, "Yes","No")))</f>
        <v>Yes</v>
      </c>
    </row>
    <row r="171" spans="1:32" x14ac:dyDescent="0.2">
      <c r="A171" t="s">
        <v>156</v>
      </c>
      <c r="B171" t="s">
        <v>32</v>
      </c>
      <c r="C171">
        <v>14</v>
      </c>
      <c r="D171" t="s">
        <v>33</v>
      </c>
      <c r="E171" t="s">
        <v>5</v>
      </c>
      <c r="F171" s="2" t="str">
        <f t="shared" ref="F171:F174" si="83">IF(C171&gt;$W$6,"Yes","No")</f>
        <v>Yes</v>
      </c>
      <c r="G171" t="s">
        <v>5</v>
      </c>
      <c r="J171" s="2" t="s">
        <v>29</v>
      </c>
      <c r="K171">
        <v>13</v>
      </c>
      <c r="L171" t="s">
        <v>12</v>
      </c>
      <c r="M171" t="s">
        <v>222</v>
      </c>
      <c r="N171" t="str">
        <f>IF(K171="N/A","No", IF(K171&gt;20,"Yes","No"))</f>
        <v>No</v>
      </c>
      <c r="O171" t="str">
        <f t="shared" si="82"/>
        <v>No</v>
      </c>
      <c r="U171" t="s">
        <v>104</v>
      </c>
      <c r="V171" t="s">
        <v>5</v>
      </c>
      <c r="W171" t="str">
        <f>O172</f>
        <v>No</v>
      </c>
      <c r="X171" t="str">
        <f>IF(V171="N/A","N/A",IF(W171="N/A", "N/A", IF(V171=W171, "Yes","No")))</f>
        <v>No</v>
      </c>
    </row>
    <row r="172" spans="1:32" x14ac:dyDescent="0.2">
      <c r="A172" t="s">
        <v>159</v>
      </c>
      <c r="B172" t="s">
        <v>32</v>
      </c>
      <c r="C172">
        <v>21.2</v>
      </c>
      <c r="D172" t="s">
        <v>33</v>
      </c>
      <c r="E172" t="s">
        <v>5</v>
      </c>
      <c r="F172" s="2" t="str">
        <f t="shared" si="83"/>
        <v>Yes</v>
      </c>
      <c r="G172" t="s">
        <v>5</v>
      </c>
      <c r="J172" s="2" t="s">
        <v>34</v>
      </c>
      <c r="K172">
        <v>6</v>
      </c>
      <c r="L172" t="s">
        <v>12</v>
      </c>
      <c r="M172" t="s">
        <v>210</v>
      </c>
      <c r="N172" t="str">
        <f>IF(K172="N/A","No", IF(K172&gt;230,"Yes","No"))</f>
        <v>No</v>
      </c>
      <c r="O172" t="str">
        <f>IF(K172="Not","No",IF(K172="n/a","N/A",IF(K172&gt;$Y$5,"Yes","No")))</f>
        <v>No</v>
      </c>
      <c r="U172" t="s">
        <v>106</v>
      </c>
      <c r="V172" t="str">
        <f>R167</f>
        <v>Yes</v>
      </c>
      <c r="W172" s="14" t="str">
        <f>S167</f>
        <v>No</v>
      </c>
      <c r="X172" t="str">
        <f>IF(V172="N/A","N/A",IF(W172="N/A", "N/A", IF(V172=W172, "Yes","No")))</f>
        <v>No</v>
      </c>
    </row>
    <row r="173" spans="1:32" x14ac:dyDescent="0.2">
      <c r="A173" t="s">
        <v>248</v>
      </c>
      <c r="B173" t="s">
        <v>32</v>
      </c>
      <c r="C173">
        <v>15.9</v>
      </c>
      <c r="D173" t="s">
        <v>33</v>
      </c>
      <c r="E173" t="s">
        <v>5</v>
      </c>
      <c r="F173" s="2" t="str">
        <f t="shared" si="83"/>
        <v>Yes</v>
      </c>
      <c r="G173" t="s">
        <v>5</v>
      </c>
      <c r="J173" s="2" t="s">
        <v>208</v>
      </c>
      <c r="K173">
        <v>23.7</v>
      </c>
      <c r="L173" t="s">
        <v>12</v>
      </c>
      <c r="M173" t="s">
        <v>223</v>
      </c>
      <c r="N173" t="str">
        <f>IF(K173="N/A","No", IF(K173&gt;20,"Yes","No"))</f>
        <v>Yes</v>
      </c>
      <c r="O173" t="str">
        <f>IF(K173="Not","No",IF(K173="n/a","N/A",IF(K173&gt;$Y$7,"Yes","No")))</f>
        <v>No</v>
      </c>
      <c r="U173" t="s">
        <v>121</v>
      </c>
      <c r="V173" t="str">
        <f>R168</f>
        <v>Yes</v>
      </c>
      <c r="W173" t="str">
        <f>S168</f>
        <v>No</v>
      </c>
      <c r="X173" t="str">
        <f>IF(V173="N/A","N/A",IF(W173="N/A", "N/A", IF(V173=W173, "Yes","No")))</f>
        <v>No</v>
      </c>
    </row>
    <row r="174" spans="1:32" x14ac:dyDescent="0.2">
      <c r="A174" t="s">
        <v>157</v>
      </c>
      <c r="B174" t="s">
        <v>32</v>
      </c>
      <c r="C174">
        <v>78.8</v>
      </c>
      <c r="D174" t="s">
        <v>33</v>
      </c>
      <c r="E174" t="s">
        <v>5</v>
      </c>
      <c r="F174" s="2" t="str">
        <f t="shared" si="83"/>
        <v>Yes</v>
      </c>
      <c r="G174" t="s">
        <v>5</v>
      </c>
    </row>
    <row r="175" spans="1:32" x14ac:dyDescent="0.2">
      <c r="A175" t="s">
        <v>157</v>
      </c>
      <c r="B175" t="s">
        <v>54</v>
      </c>
      <c r="C175">
        <v>108</v>
      </c>
      <c r="D175" t="s">
        <v>33</v>
      </c>
      <c r="E175" t="s">
        <v>5</v>
      </c>
      <c r="F175" s="2" t="str">
        <f>IF(C175&gt;=$W$5,"Yes","No")</f>
        <v>Yes</v>
      </c>
      <c r="G175" t="s">
        <v>5</v>
      </c>
    </row>
    <row r="176" spans="1:32" x14ac:dyDescent="0.2">
      <c r="A176" t="s">
        <v>71</v>
      </c>
      <c r="B176" t="s">
        <v>32</v>
      </c>
      <c r="C176">
        <v>11.9</v>
      </c>
      <c r="D176" t="s">
        <v>33</v>
      </c>
      <c r="E176" t="s">
        <v>5</v>
      </c>
      <c r="F176" s="2" t="str">
        <f>IF(C176&gt;$W$6,"Yes","No")</f>
        <v>Yes</v>
      </c>
      <c r="G176" t="s">
        <v>5</v>
      </c>
    </row>
    <row r="179" spans="1:32" x14ac:dyDescent="0.2">
      <c r="A179" s="1">
        <f>VLOOKUP(C179,'Grid - LRA Samples'!$A$2:$B$108, 2,FALSE)</f>
        <v>862</v>
      </c>
      <c r="B179" t="s">
        <v>111</v>
      </c>
      <c r="C179">
        <v>25</v>
      </c>
    </row>
    <row r="180" spans="1:32" x14ac:dyDescent="0.2">
      <c r="A180" s="5" t="s">
        <v>0</v>
      </c>
      <c r="E180" s="2" t="s">
        <v>274</v>
      </c>
      <c r="F180" s="2" t="s">
        <v>275</v>
      </c>
      <c r="G180" t="s">
        <v>119</v>
      </c>
      <c r="J180" s="5" t="s">
        <v>1</v>
      </c>
      <c r="N180" s="2" t="s">
        <v>277</v>
      </c>
      <c r="O180" t="s">
        <v>278</v>
      </c>
      <c r="Q180" s="5" t="s">
        <v>115</v>
      </c>
      <c r="R180" s="5" t="s">
        <v>0</v>
      </c>
      <c r="S180" s="5" t="s">
        <v>1</v>
      </c>
      <c r="U180" s="5" t="s">
        <v>115</v>
      </c>
      <c r="V180" s="5" t="s">
        <v>0</v>
      </c>
      <c r="W180" s="5" t="s">
        <v>1</v>
      </c>
      <c r="X180" s="5" t="s">
        <v>122</v>
      </c>
      <c r="AA180" t="str">
        <f>IF(R181="Yes","LRA-Soil","")</f>
        <v>LRA-Soil</v>
      </c>
      <c r="AB180" t="str">
        <f>IF(R182="Yes","LRA-Paint","")</f>
        <v>LRA-Paint</v>
      </c>
      <c r="AC180" t="str">
        <f>IF(R183="Yes","LRA-Dust","")</f>
        <v/>
      </c>
      <c r="AD180" t="str">
        <f>IF(S181="Yes","LSK-Soil","")</f>
        <v>LSK-Soil</v>
      </c>
      <c r="AE180" t="str">
        <f>IF(S182="Yes","LSK-Paint","")</f>
        <v/>
      </c>
      <c r="AF180" t="str">
        <f>IF(S183="Yes","LSK-Dust","")</f>
        <v/>
      </c>
    </row>
    <row r="181" spans="1:32" x14ac:dyDescent="0.2">
      <c r="A181" t="s">
        <v>185</v>
      </c>
      <c r="B181" t="s">
        <v>211</v>
      </c>
      <c r="C181">
        <v>6.2</v>
      </c>
      <c r="D181" t="s">
        <v>4</v>
      </c>
      <c r="E181" t="s">
        <v>5</v>
      </c>
      <c r="F181" s="2" t="str">
        <f t="shared" ref="F181" si="84">IF(C181&gt;=$W$2,"Yes","No")</f>
        <v>Yes</v>
      </c>
      <c r="G181" t="s">
        <v>5</v>
      </c>
      <c r="H181" t="s">
        <v>46</v>
      </c>
      <c r="J181" s="2" t="s">
        <v>6</v>
      </c>
      <c r="K181">
        <v>508</v>
      </c>
      <c r="L181" t="s">
        <v>12</v>
      </c>
      <c r="M181" t="s">
        <v>114</v>
      </c>
      <c r="N181" t="str">
        <f>IF(K181="N/A","No", IF(K181&gt;1200,"Yes","No"))</f>
        <v>No</v>
      </c>
      <c r="O181" t="str">
        <f t="shared" ref="O181:O183" si="85">IF(K181="Not","No",IF(K181="n/a","N/A",IF(K181&gt;$Y$3,"Yes","No")))</f>
        <v>Yes</v>
      </c>
      <c r="Q181" s="2" t="s">
        <v>116</v>
      </c>
      <c r="R181" t="str">
        <f>_xlfn.XLOOKUP("ppm",D181:D184,F181:F184,"N/A")</f>
        <v>Yes</v>
      </c>
      <c r="S181" t="str">
        <f>IF(COUNTIF(O181:O183,"Yes"),"Yes","No")</f>
        <v>Yes</v>
      </c>
      <c r="U181" t="s">
        <v>92</v>
      </c>
      <c r="V181" t="s">
        <v>120</v>
      </c>
      <c r="W181" t="s">
        <v>120</v>
      </c>
      <c r="X181" t="str">
        <f>IF(V181="N/A","N/A",IF(W181="N/A", "N/A", IF(V181=W181, "Yes","No")))</f>
        <v>N/A</v>
      </c>
    </row>
    <row r="182" spans="1:32" x14ac:dyDescent="0.2">
      <c r="A182" t="s">
        <v>200</v>
      </c>
      <c r="B182" t="s">
        <v>202</v>
      </c>
      <c r="C182">
        <v>1060</v>
      </c>
      <c r="D182" t="s">
        <v>12</v>
      </c>
      <c r="E182" t="s">
        <v>9</v>
      </c>
      <c r="F182" s="2" t="str">
        <f>IF(C182&gt;$W$3,"Yes","No")</f>
        <v>Yes</v>
      </c>
      <c r="G182" t="s">
        <v>9</v>
      </c>
      <c r="J182" s="2" t="s">
        <v>11</v>
      </c>
      <c r="K182">
        <v>637</v>
      </c>
      <c r="L182" t="s">
        <v>12</v>
      </c>
      <c r="M182" t="s">
        <v>67</v>
      </c>
      <c r="N182" t="str">
        <f t="shared" ref="N182:N183" si="86">IF(K182="N/A","No", IF(K182&gt;1200,"Yes","No"))</f>
        <v>No</v>
      </c>
      <c r="O182" t="str">
        <f t="shared" si="85"/>
        <v>Yes</v>
      </c>
      <c r="Q182" s="2" t="s">
        <v>98</v>
      </c>
      <c r="R182" t="str">
        <f>_xlfn.XLOOKUP("mg/cm2",D181:D184,G181:G184,"N/A")</f>
        <v>Yes</v>
      </c>
      <c r="S182" t="str">
        <f>IF(COUNTIF(O184:O185,"Yes"),"Yes","No")</f>
        <v>No</v>
      </c>
      <c r="U182" t="s">
        <v>95</v>
      </c>
      <c r="V182" t="str">
        <f>R181</f>
        <v>Yes</v>
      </c>
      <c r="W182" t="str">
        <f>S181</f>
        <v>Yes</v>
      </c>
      <c r="X182" t="str">
        <f t="shared" ref="X182:X185" si="87">IF(V182="N/A","N/A",IF(W182="N/A", "N/A", IF(V182=W182, "Yes","No")))</f>
        <v>Yes</v>
      </c>
    </row>
    <row r="183" spans="1:32" x14ac:dyDescent="0.2">
      <c r="A183" t="s">
        <v>237</v>
      </c>
      <c r="B183" t="s">
        <v>221</v>
      </c>
      <c r="C183">
        <v>4.0999999999999996</v>
      </c>
      <c r="D183" t="s">
        <v>4</v>
      </c>
      <c r="E183" t="s">
        <v>5</v>
      </c>
      <c r="F183" s="2" t="str">
        <f t="shared" ref="F183" si="88">IF(C183&gt;=$W$2,"Yes","No")</f>
        <v>Yes</v>
      </c>
      <c r="G183" t="s">
        <v>5</v>
      </c>
      <c r="H183" t="s">
        <v>43</v>
      </c>
      <c r="J183" s="2" t="s">
        <v>15</v>
      </c>
      <c r="K183">
        <v>4069</v>
      </c>
      <c r="L183" t="s">
        <v>12</v>
      </c>
      <c r="M183" t="s">
        <v>112</v>
      </c>
      <c r="N183" t="str">
        <f t="shared" si="86"/>
        <v>Yes</v>
      </c>
      <c r="O183" t="str">
        <f t="shared" si="85"/>
        <v>Yes</v>
      </c>
      <c r="Q183" s="2" t="s">
        <v>117</v>
      </c>
      <c r="R183" t="str">
        <f>_xlfn.XLOOKUP("ug/ft2",D181:D192,F181:F192,"N/A")</f>
        <v>No</v>
      </c>
      <c r="S183" t="str">
        <f>IF(COUNTIF(O186:O189,"Yes"),"Yes","No")</f>
        <v>No</v>
      </c>
      <c r="U183" t="s">
        <v>163</v>
      </c>
      <c r="V183" t="s">
        <v>5</v>
      </c>
      <c r="W183" t="str">
        <f>O185</f>
        <v>No</v>
      </c>
      <c r="X183" t="str">
        <f t="shared" si="87"/>
        <v>No</v>
      </c>
    </row>
    <row r="184" spans="1:32" x14ac:dyDescent="0.2">
      <c r="A184" t="s">
        <v>249</v>
      </c>
      <c r="B184" t="s">
        <v>192</v>
      </c>
      <c r="C184">
        <v>67.8</v>
      </c>
      <c r="D184" t="s">
        <v>33</v>
      </c>
      <c r="E184" t="s">
        <v>9</v>
      </c>
      <c r="F184" s="2" t="str">
        <f>IF(C184&gt;=$W$5,"Yes","No")</f>
        <v>No</v>
      </c>
      <c r="G184" t="s">
        <v>9</v>
      </c>
      <c r="J184" s="2" t="s">
        <v>19</v>
      </c>
      <c r="K184">
        <v>104</v>
      </c>
      <c r="L184" t="s">
        <v>12</v>
      </c>
      <c r="M184" t="s">
        <v>46</v>
      </c>
      <c r="N184" t="str">
        <f>IF(K184="N/A","No", IF(K184&gt;5000,"Yes","No"))</f>
        <v>No</v>
      </c>
      <c r="O184" t="str">
        <f t="shared" ref="O184:O185" si="89">IF(K184="Not","No",IF(K184="n/a","N/A",IF(K184&gt;$Y$2,"Yes","No")))</f>
        <v>No</v>
      </c>
      <c r="Q184" s="2" t="s">
        <v>118</v>
      </c>
      <c r="R184" t="str">
        <f>IF(COUNTIF(R181:R183,"Yes"),"Yes","No")</f>
        <v>Yes</v>
      </c>
      <c r="S184" t="str">
        <f>IF(COUNTIF(S181:S183,"Yes"),"Yes","No")</f>
        <v>Yes</v>
      </c>
      <c r="U184" t="s">
        <v>164</v>
      </c>
      <c r="V184" t="s">
        <v>5</v>
      </c>
      <c r="W184" t="str">
        <f>O184</f>
        <v>No</v>
      </c>
      <c r="X184" t="str">
        <f t="shared" si="87"/>
        <v>No</v>
      </c>
    </row>
    <row r="185" spans="1:32" x14ac:dyDescent="0.2">
      <c r="J185" s="2" t="s">
        <v>22</v>
      </c>
      <c r="K185">
        <v>449</v>
      </c>
      <c r="L185" t="s">
        <v>12</v>
      </c>
      <c r="M185" t="s">
        <v>43</v>
      </c>
      <c r="N185" t="str">
        <f>IF(K185="N/A","No", IF(K185&gt;5000,"Yes","No"))</f>
        <v>No</v>
      </c>
      <c r="O185" t="str">
        <f t="shared" si="89"/>
        <v>No</v>
      </c>
      <c r="U185" t="s">
        <v>162</v>
      </c>
      <c r="V185" t="str">
        <f>R182</f>
        <v>Yes</v>
      </c>
      <c r="W185" t="str">
        <f>S182</f>
        <v>No</v>
      </c>
      <c r="X185" t="str">
        <f t="shared" si="87"/>
        <v>No</v>
      </c>
    </row>
    <row r="186" spans="1:32" x14ac:dyDescent="0.2">
      <c r="J186" s="2" t="s">
        <v>25</v>
      </c>
      <c r="K186">
        <v>2.5</v>
      </c>
      <c r="L186" t="s">
        <v>12</v>
      </c>
      <c r="M186" t="s">
        <v>126</v>
      </c>
      <c r="N186" t="str">
        <f>IF(K186="N/A","No", IF(K186&gt;20,"Yes","No"))</f>
        <v>No</v>
      </c>
      <c r="O186" t="str">
        <f t="shared" ref="O186:O187" si="90">IF(K186="Not","No",IF(K186="n/a","N/A",IF(K186&gt;$Y$6,"Yes","No")))</f>
        <v>No</v>
      </c>
      <c r="U186" t="s">
        <v>101</v>
      </c>
      <c r="V186" t="s">
        <v>120</v>
      </c>
      <c r="W186" s="19" t="s">
        <v>9</v>
      </c>
      <c r="X186" t="str">
        <f>IF(V186="N/A","N/A",IF(W186="N/A", "N/A", IF(V186=W186, "Yes","No")))</f>
        <v>N/A</v>
      </c>
    </row>
    <row r="187" spans="1:32" x14ac:dyDescent="0.2">
      <c r="J187" s="2" t="s">
        <v>29</v>
      </c>
      <c r="K187">
        <v>14</v>
      </c>
      <c r="L187" t="s">
        <v>12</v>
      </c>
      <c r="M187" t="s">
        <v>222</v>
      </c>
      <c r="N187" t="str">
        <f>IF(K187="N/A","No", IF(K187&gt;20,"Yes","No"))</f>
        <v>No</v>
      </c>
      <c r="O187" t="str">
        <f t="shared" si="90"/>
        <v>No</v>
      </c>
      <c r="U187" t="s">
        <v>104</v>
      </c>
      <c r="V187" t="s">
        <v>9</v>
      </c>
      <c r="W187" t="str">
        <f>O188</f>
        <v>No</v>
      </c>
      <c r="X187" t="str">
        <f>IF(V187="N/A","N/A",IF(W187="N/A", "N/A", IF(V187=W187, "Yes","No")))</f>
        <v>Yes</v>
      </c>
    </row>
    <row r="188" spans="1:32" x14ac:dyDescent="0.2">
      <c r="J188" s="2" t="s">
        <v>34</v>
      </c>
      <c r="K188">
        <v>2.5</v>
      </c>
      <c r="L188" t="s">
        <v>12</v>
      </c>
      <c r="M188" t="s">
        <v>210</v>
      </c>
      <c r="N188" t="str">
        <f>IF(K188="N/A","No", IF(K188&gt;230,"Yes","No"))</f>
        <v>No</v>
      </c>
      <c r="O188" t="str">
        <f>IF(K188="Not","No",IF(K188="n/a","N/A",IF(K188&gt;$Y$5,"Yes","No")))</f>
        <v>No</v>
      </c>
      <c r="U188" t="s">
        <v>106</v>
      </c>
      <c r="V188" t="str">
        <f>R183</f>
        <v>No</v>
      </c>
      <c r="W188" s="14" t="str">
        <f>S183</f>
        <v>No</v>
      </c>
      <c r="X188" t="str">
        <f>IF(V188="N/A","N/A",IF(W188="N/A", "N/A", IF(V188=W188, "Yes","No")))</f>
        <v>Yes</v>
      </c>
    </row>
    <row r="189" spans="1:32" x14ac:dyDescent="0.2">
      <c r="J189" s="2" t="s">
        <v>208</v>
      </c>
      <c r="K189">
        <v>112</v>
      </c>
      <c r="L189" t="s">
        <v>12</v>
      </c>
      <c r="M189" t="s">
        <v>223</v>
      </c>
      <c r="N189" t="str">
        <f>IF(K189="N/A","No", IF(K189&gt;20,"Yes","No"))</f>
        <v>Yes</v>
      </c>
      <c r="O189" t="str">
        <f>IF(K189="Not","No",IF(K189="n/a","N/A",IF(K189&gt;$Y$7,"Yes","No")))</f>
        <v>No</v>
      </c>
      <c r="U189" t="s">
        <v>121</v>
      </c>
      <c r="V189" t="str">
        <f>R184</f>
        <v>Yes</v>
      </c>
      <c r="W189" t="str">
        <f>S184</f>
        <v>Yes</v>
      </c>
      <c r="X189" t="str">
        <f>IF(V189="N/A","N/A",IF(W189="N/A", "N/A", IF(V189=W189, "Yes","No")))</f>
        <v>Yes</v>
      </c>
    </row>
    <row r="190" spans="1:32" x14ac:dyDescent="0.2">
      <c r="A190" s="11"/>
    </row>
    <row r="191" spans="1:32" x14ac:dyDescent="0.2">
      <c r="A191" s="1">
        <f>VLOOKUP(C191,'Grid - LRA Samples'!$A$2:$B$108, 2,FALSE)</f>
        <v>863</v>
      </c>
      <c r="B191" t="s">
        <v>111</v>
      </c>
      <c r="C191">
        <v>26</v>
      </c>
    </row>
    <row r="192" spans="1:32" x14ac:dyDescent="0.2">
      <c r="A192" s="5" t="s">
        <v>0</v>
      </c>
      <c r="E192" s="2" t="s">
        <v>274</v>
      </c>
      <c r="F192" s="2" t="s">
        <v>275</v>
      </c>
      <c r="G192" t="s">
        <v>119</v>
      </c>
      <c r="J192" s="5" t="s">
        <v>1</v>
      </c>
      <c r="N192" s="2" t="s">
        <v>277</v>
      </c>
      <c r="O192" t="s">
        <v>278</v>
      </c>
      <c r="Q192" s="5" t="s">
        <v>115</v>
      </c>
      <c r="R192" s="5" t="s">
        <v>0</v>
      </c>
      <c r="S192" s="5" t="s">
        <v>1</v>
      </c>
      <c r="U192" s="5" t="s">
        <v>115</v>
      </c>
      <c r="V192" s="5" t="s">
        <v>0</v>
      </c>
      <c r="W192" s="5" t="s">
        <v>1</v>
      </c>
      <c r="X192" s="5" t="s">
        <v>122</v>
      </c>
      <c r="AA192" t="str">
        <f>IF(R193="Yes","LRA-Soil","")</f>
        <v/>
      </c>
      <c r="AB192" t="str">
        <f>IF(R194="Yes","LRA-Paint","")</f>
        <v/>
      </c>
      <c r="AC192" t="str">
        <f>IF(R195="Yes","LRA-Dust","")</f>
        <v/>
      </c>
      <c r="AD192" t="str">
        <f>IF(S193="Yes","LSK-Soil","")</f>
        <v/>
      </c>
      <c r="AE192" t="str">
        <f>IF(S194="Yes","LSK-Paint","")</f>
        <v/>
      </c>
      <c r="AF192" t="str">
        <f>IF(S195="Yes","LSK-Dust","")</f>
        <v/>
      </c>
    </row>
    <row r="193" spans="1:32" x14ac:dyDescent="0.2">
      <c r="A193" t="s">
        <v>185</v>
      </c>
      <c r="B193" t="s">
        <v>221</v>
      </c>
      <c r="C193">
        <v>0</v>
      </c>
      <c r="D193" t="s">
        <v>4</v>
      </c>
      <c r="E193" t="s">
        <v>9</v>
      </c>
      <c r="F193" s="2" t="str">
        <f t="shared" ref="F193" si="91">IF(C193&gt;=$W$2,"Yes","No")</f>
        <v>No</v>
      </c>
      <c r="G193" t="s">
        <v>9</v>
      </c>
      <c r="H193" t="s">
        <v>46</v>
      </c>
      <c r="J193" s="2" t="s">
        <v>6</v>
      </c>
      <c r="K193">
        <v>54</v>
      </c>
      <c r="L193" t="s">
        <v>12</v>
      </c>
      <c r="M193" t="s">
        <v>114</v>
      </c>
      <c r="N193" t="str">
        <f>IF(K193="N/A","No", IF(K193&gt;1200,"Yes","No"))</f>
        <v>No</v>
      </c>
      <c r="O193" t="str">
        <f t="shared" ref="O193:O195" si="92">IF(K193="Not","No",IF(K193="n/a","N/A",IF(K193&gt;$Y$3,"Yes","No")))</f>
        <v>No</v>
      </c>
      <c r="Q193" s="2" t="s">
        <v>116</v>
      </c>
      <c r="R193" t="str">
        <f>_xlfn.XLOOKUP("ppm",D193:D196,F193:F196,"N/A")</f>
        <v>No</v>
      </c>
      <c r="S193" t="str">
        <f>IF(COUNTIF(O193:O195,"Yes"),"Yes","No")</f>
        <v>No</v>
      </c>
      <c r="U193" t="s">
        <v>92</v>
      </c>
      <c r="V193" t="s">
        <v>120</v>
      </c>
      <c r="W193" t="s">
        <v>120</v>
      </c>
      <c r="X193" t="str">
        <f>IF(V193="N/A","N/A",IF(W193="N/A", "N/A", IF(V193=W193, "Yes","No")))</f>
        <v>N/A</v>
      </c>
    </row>
    <row r="194" spans="1:32" x14ac:dyDescent="0.2">
      <c r="A194" t="s">
        <v>200</v>
      </c>
      <c r="B194" t="s">
        <v>202</v>
      </c>
      <c r="C194">
        <v>34.200000000000003</v>
      </c>
      <c r="D194" t="s">
        <v>12</v>
      </c>
      <c r="E194" t="s">
        <v>9</v>
      </c>
      <c r="F194" s="2" t="str">
        <f>IF(C194&gt;$W$3,"Yes","No")</f>
        <v>No</v>
      </c>
      <c r="G194" t="s">
        <v>9</v>
      </c>
      <c r="J194" s="2" t="s">
        <v>11</v>
      </c>
      <c r="K194">
        <v>29.3</v>
      </c>
      <c r="L194" t="s">
        <v>12</v>
      </c>
      <c r="M194" t="s">
        <v>67</v>
      </c>
      <c r="N194" t="str">
        <f t="shared" ref="N194:N195" si="93">IF(K194="N/A","No", IF(K194&gt;1200,"Yes","No"))</f>
        <v>No</v>
      </c>
      <c r="O194" t="str">
        <f t="shared" si="92"/>
        <v>No</v>
      </c>
      <c r="Q194" s="2" t="s">
        <v>98</v>
      </c>
      <c r="R194" t="str">
        <f>_xlfn.XLOOKUP("mg/cm2",D193:D196,G193:G196,"N/A")</f>
        <v>No</v>
      </c>
      <c r="S194" t="str">
        <f>IF(COUNTIF(O196:O197,"Yes"),"Yes","No")</f>
        <v>No</v>
      </c>
      <c r="U194" t="s">
        <v>95</v>
      </c>
      <c r="V194" t="str">
        <f>R193</f>
        <v>No</v>
      </c>
      <c r="W194" t="str">
        <f>S193</f>
        <v>No</v>
      </c>
      <c r="X194" t="str">
        <f t="shared" ref="X194:X197" si="94">IF(V194="N/A","N/A",IF(W194="N/A", "N/A", IF(V194=W194, "Yes","No")))</f>
        <v>Yes</v>
      </c>
    </row>
    <row r="195" spans="1:32" x14ac:dyDescent="0.2">
      <c r="A195" t="s">
        <v>191</v>
      </c>
      <c r="B195" t="s">
        <v>189</v>
      </c>
      <c r="C195">
        <v>0</v>
      </c>
      <c r="D195" t="s">
        <v>4</v>
      </c>
      <c r="E195" t="s">
        <v>9</v>
      </c>
      <c r="F195" s="2" t="str">
        <f t="shared" ref="F195" si="95">IF(C195&gt;=$W$2,"Yes","No")</f>
        <v>No</v>
      </c>
      <c r="G195" t="s">
        <v>9</v>
      </c>
      <c r="H195" t="s">
        <v>43</v>
      </c>
      <c r="J195" s="2" t="s">
        <v>15</v>
      </c>
      <c r="K195">
        <v>21.7</v>
      </c>
      <c r="L195" t="s">
        <v>12</v>
      </c>
      <c r="M195" t="s">
        <v>112</v>
      </c>
      <c r="N195" t="str">
        <f t="shared" si="93"/>
        <v>No</v>
      </c>
      <c r="O195" t="str">
        <f t="shared" si="92"/>
        <v>No</v>
      </c>
      <c r="Q195" s="2" t="s">
        <v>117</v>
      </c>
      <c r="R195" t="str">
        <f>_xlfn.XLOOKUP("ug/ft2",D193:D204,F193:F204,"N/A")</f>
        <v>No</v>
      </c>
      <c r="S195" t="str">
        <f>IF(COUNTIF(O198:O201,"Yes"),"Yes","No")</f>
        <v>No</v>
      </c>
      <c r="U195" t="s">
        <v>163</v>
      </c>
      <c r="V195" t="s">
        <v>9</v>
      </c>
      <c r="W195" t="s">
        <v>120</v>
      </c>
      <c r="X195" t="str">
        <f t="shared" si="94"/>
        <v>N/A</v>
      </c>
    </row>
    <row r="196" spans="1:32" x14ac:dyDescent="0.2">
      <c r="A196" t="s">
        <v>191</v>
      </c>
      <c r="B196" t="s">
        <v>192</v>
      </c>
      <c r="C196">
        <v>31.8</v>
      </c>
      <c r="D196" t="s">
        <v>33</v>
      </c>
      <c r="E196" t="s">
        <v>9</v>
      </c>
      <c r="F196" s="2" t="str">
        <f>IF(C196&gt;=$W$5,"Yes","No")</f>
        <v>No</v>
      </c>
      <c r="G196" t="s">
        <v>9</v>
      </c>
      <c r="J196" s="2" t="s">
        <v>19</v>
      </c>
      <c r="K196" t="s">
        <v>120</v>
      </c>
      <c r="L196" t="s">
        <v>12</v>
      </c>
      <c r="M196" t="s">
        <v>46</v>
      </c>
      <c r="N196" t="str">
        <f>IF(K196="N/A","No", IF(K196&gt;5000,"Yes","No"))</f>
        <v>No</v>
      </c>
      <c r="O196" t="str">
        <f t="shared" ref="O196:O197" si="96">IF(K196="Not","No",IF(K196="n/a","N/A",IF(K196&gt;$Y$2,"Yes","No")))</f>
        <v>N/A</v>
      </c>
      <c r="Q196" s="2" t="s">
        <v>118</v>
      </c>
      <c r="R196" t="str">
        <f>IF(COUNTIF(R193:R195,"Yes"),"Yes","No")</f>
        <v>No</v>
      </c>
      <c r="S196" t="str">
        <f>IF(COUNTIF(S193:S195,"Yes"),"Yes","No")</f>
        <v>No</v>
      </c>
      <c r="U196" t="s">
        <v>164</v>
      </c>
      <c r="V196" t="s">
        <v>9</v>
      </c>
      <c r="W196" t="s">
        <v>120</v>
      </c>
      <c r="X196" t="str">
        <f t="shared" si="94"/>
        <v>N/A</v>
      </c>
    </row>
    <row r="197" spans="1:32" x14ac:dyDescent="0.2">
      <c r="J197" s="2" t="s">
        <v>22</v>
      </c>
      <c r="K197" t="s">
        <v>120</v>
      </c>
      <c r="L197" t="s">
        <v>12</v>
      </c>
      <c r="M197" t="s">
        <v>43</v>
      </c>
      <c r="N197" t="str">
        <f>IF(K197="N/A","No", IF(K197&gt;5000,"Yes","No"))</f>
        <v>No</v>
      </c>
      <c r="O197" t="str">
        <f t="shared" si="96"/>
        <v>N/A</v>
      </c>
      <c r="U197" t="s">
        <v>162</v>
      </c>
      <c r="V197" t="str">
        <f>R194</f>
        <v>No</v>
      </c>
      <c r="W197" t="s">
        <v>120</v>
      </c>
      <c r="X197" t="str">
        <f t="shared" si="94"/>
        <v>N/A</v>
      </c>
    </row>
    <row r="198" spans="1:32" x14ac:dyDescent="0.2">
      <c r="J198" s="2" t="s">
        <v>25</v>
      </c>
      <c r="K198">
        <v>2.5</v>
      </c>
      <c r="L198" t="s">
        <v>12</v>
      </c>
      <c r="M198" t="s">
        <v>126</v>
      </c>
      <c r="N198" t="str">
        <f>IF(K198="N/A","No", IF(K198&gt;20,"Yes","No"))</f>
        <v>No</v>
      </c>
      <c r="O198" t="str">
        <f t="shared" ref="O198:O199" si="97">IF(K198="Not","No",IF(K198="n/a","N/A",IF(K198&gt;$Y$6,"Yes","No")))</f>
        <v>No</v>
      </c>
      <c r="U198" t="s">
        <v>101</v>
      </c>
      <c r="V198" t="s">
        <v>120</v>
      </c>
      <c r="W198" s="19" t="s">
        <v>9</v>
      </c>
      <c r="X198" t="str">
        <f>IF(V198="N/A","N/A",IF(W198="N/A", "N/A", IF(V198=W198, "Yes","No")))</f>
        <v>N/A</v>
      </c>
    </row>
    <row r="199" spans="1:32" x14ac:dyDescent="0.2">
      <c r="J199" s="2" t="s">
        <v>29</v>
      </c>
      <c r="K199">
        <v>2.5</v>
      </c>
      <c r="L199" t="s">
        <v>12</v>
      </c>
      <c r="M199" t="s">
        <v>222</v>
      </c>
      <c r="N199" t="str">
        <f>IF(K199="N/A","No", IF(K199&gt;20,"Yes","No"))</f>
        <v>No</v>
      </c>
      <c r="O199" t="str">
        <f t="shared" si="97"/>
        <v>No</v>
      </c>
      <c r="U199" t="s">
        <v>104</v>
      </c>
      <c r="V199" t="s">
        <v>9</v>
      </c>
      <c r="W199" t="str">
        <f>O200</f>
        <v>No</v>
      </c>
      <c r="X199" t="str">
        <f>IF(V199="N/A","N/A",IF(W199="N/A", "N/A", IF(V199=W199, "Yes","No")))</f>
        <v>Yes</v>
      </c>
    </row>
    <row r="200" spans="1:32" x14ac:dyDescent="0.2">
      <c r="J200" s="2" t="s">
        <v>34</v>
      </c>
      <c r="K200">
        <v>2.5</v>
      </c>
      <c r="L200" t="s">
        <v>12</v>
      </c>
      <c r="M200" t="s">
        <v>210</v>
      </c>
      <c r="N200" t="str">
        <f>IF(K200="N/A","No", IF(K200&gt;230,"Yes","No"))</f>
        <v>No</v>
      </c>
      <c r="O200" t="str">
        <f>IF(K200="Not","No",IF(K200="n/a","N/A",IF(K200&gt;$Y$5,"Yes","No")))</f>
        <v>No</v>
      </c>
      <c r="U200" t="s">
        <v>106</v>
      </c>
      <c r="V200" t="str">
        <f>R195</f>
        <v>No</v>
      </c>
      <c r="W200" s="14" t="str">
        <f>S195</f>
        <v>No</v>
      </c>
      <c r="X200" t="str">
        <f>IF(V200="N/A","N/A",IF(W200="N/A", "N/A", IF(V200=W200, "Yes","No")))</f>
        <v>Yes</v>
      </c>
    </row>
    <row r="201" spans="1:32" x14ac:dyDescent="0.2">
      <c r="J201" s="2" t="s">
        <v>208</v>
      </c>
      <c r="K201">
        <v>22.5</v>
      </c>
      <c r="L201" t="s">
        <v>12</v>
      </c>
      <c r="M201" t="s">
        <v>223</v>
      </c>
      <c r="N201" t="str">
        <f>IF(K201="N/A","No", IF(K201&gt;20,"Yes","No"))</f>
        <v>Yes</v>
      </c>
      <c r="O201" t="str">
        <f>IF(K201="Not","No",IF(K201="n/a","N/A",IF(K201&gt;$Y$7,"Yes","No")))</f>
        <v>No</v>
      </c>
      <c r="U201" t="s">
        <v>121</v>
      </c>
      <c r="V201" t="str">
        <f>R196</f>
        <v>No</v>
      </c>
      <c r="W201" t="str">
        <f>S196</f>
        <v>No</v>
      </c>
      <c r="X201" t="str">
        <f>IF(V201="N/A","N/A",IF(W201="N/A", "N/A", IF(V201=W201, "Yes","No")))</f>
        <v>Yes</v>
      </c>
    </row>
    <row r="203" spans="1:32" x14ac:dyDescent="0.2">
      <c r="A203" s="1">
        <f>VLOOKUP(C203,'Grid - LRA Samples'!$A$2:$B$108, 2,FALSE)</f>
        <v>872</v>
      </c>
      <c r="B203" t="s">
        <v>111</v>
      </c>
      <c r="C203">
        <v>27</v>
      </c>
    </row>
    <row r="204" spans="1:32" x14ac:dyDescent="0.2">
      <c r="A204" s="5" t="s">
        <v>0</v>
      </c>
      <c r="E204" s="2" t="s">
        <v>274</v>
      </c>
      <c r="F204" s="2" t="s">
        <v>275</v>
      </c>
      <c r="G204" t="s">
        <v>119</v>
      </c>
      <c r="J204" s="5" t="s">
        <v>1</v>
      </c>
      <c r="N204" s="2" t="s">
        <v>277</v>
      </c>
      <c r="O204" t="s">
        <v>278</v>
      </c>
      <c r="Q204" s="5" t="s">
        <v>115</v>
      </c>
      <c r="R204" s="5" t="s">
        <v>0</v>
      </c>
      <c r="S204" s="5" t="s">
        <v>1</v>
      </c>
      <c r="U204" s="5" t="s">
        <v>115</v>
      </c>
      <c r="V204" s="5" t="s">
        <v>0</v>
      </c>
      <c r="W204" s="5" t="s">
        <v>1</v>
      </c>
      <c r="X204" s="5" t="s">
        <v>122</v>
      </c>
      <c r="AA204" t="str">
        <f>IF(R205="Yes","LRA-Soil","")</f>
        <v/>
      </c>
      <c r="AB204" t="str">
        <f>IF(R206="Yes","LRA-Paint","")</f>
        <v/>
      </c>
      <c r="AC204" t="str">
        <f>IF(R207="Yes","LRA-Dust","")</f>
        <v>LRA-Dust</v>
      </c>
      <c r="AD204" t="str">
        <f>IF(S205="Yes","LSK-Soil","")</f>
        <v>LSK-Soil</v>
      </c>
      <c r="AE204" t="str">
        <f>IF(S206="Yes","LSK-Paint","")</f>
        <v/>
      </c>
      <c r="AF204" t="str">
        <f>IF(S207="Yes","LSK-Dust","")</f>
        <v/>
      </c>
    </row>
    <row r="205" spans="1:32" x14ac:dyDescent="0.2">
      <c r="A205" t="s">
        <v>185</v>
      </c>
      <c r="B205" t="s">
        <v>217</v>
      </c>
      <c r="C205">
        <v>0</v>
      </c>
      <c r="D205" t="s">
        <v>4</v>
      </c>
      <c r="E205" t="s">
        <v>9</v>
      </c>
      <c r="F205" s="2" t="str">
        <f t="shared" ref="F205" si="98">IF(C205&gt;=$W$2,"Yes","No")</f>
        <v>No</v>
      </c>
      <c r="G205" t="s">
        <v>9</v>
      </c>
      <c r="H205" t="s">
        <v>46</v>
      </c>
      <c r="J205" s="2" t="s">
        <v>6</v>
      </c>
      <c r="K205">
        <v>54.9</v>
      </c>
      <c r="L205" t="s">
        <v>12</v>
      </c>
      <c r="M205" t="s">
        <v>114</v>
      </c>
      <c r="N205" t="str">
        <f>IF(K205="N/A","No", IF(K205&gt;1200,"Yes","No"))</f>
        <v>No</v>
      </c>
      <c r="O205" t="str">
        <f t="shared" ref="O205:O207" si="99">IF(K205="Not","No",IF(K205="n/a","N/A",IF(K205&gt;$Y$3,"Yes","No")))</f>
        <v>No</v>
      </c>
      <c r="Q205" s="2" t="s">
        <v>116</v>
      </c>
      <c r="R205" t="str">
        <f>_xlfn.XLOOKUP("mg/Kg",D205:D208,F205:F208,"N/A")</f>
        <v>No</v>
      </c>
      <c r="S205" t="str">
        <f>IF(COUNTIF(O205:O207,"Yes"),"Yes","No")</f>
        <v>Yes</v>
      </c>
      <c r="U205" t="s">
        <v>92</v>
      </c>
      <c r="V205" t="s">
        <v>120</v>
      </c>
      <c r="W205" t="s">
        <v>120</v>
      </c>
      <c r="X205" t="str">
        <f>IF(V205="N/A","N/A",IF(W205="N/A", "N/A", IF(V205=W205, "Yes","No")))</f>
        <v>N/A</v>
      </c>
    </row>
    <row r="206" spans="1:32" x14ac:dyDescent="0.2">
      <c r="A206" t="s">
        <v>200</v>
      </c>
      <c r="B206" t="s">
        <v>240</v>
      </c>
      <c r="C206">
        <v>143</v>
      </c>
      <c r="D206" t="s">
        <v>37</v>
      </c>
      <c r="E206" t="s">
        <v>9</v>
      </c>
      <c r="F206" s="2" t="str">
        <f>IF(C206&gt;$W$3,"Yes","No")</f>
        <v>No</v>
      </c>
      <c r="G206" t="s">
        <v>9</v>
      </c>
      <c r="J206" s="2" t="s">
        <v>11</v>
      </c>
      <c r="K206">
        <v>195</v>
      </c>
      <c r="L206" t="s">
        <v>12</v>
      </c>
      <c r="M206" t="s">
        <v>67</v>
      </c>
      <c r="N206" t="str">
        <f t="shared" ref="N206:N207" si="100">IF(K206="N/A","No", IF(K206&gt;1200,"Yes","No"))</f>
        <v>No</v>
      </c>
      <c r="O206" t="str">
        <f t="shared" si="99"/>
        <v>No</v>
      </c>
      <c r="Q206" s="2" t="s">
        <v>98</v>
      </c>
      <c r="R206" t="str">
        <f>_xlfn.XLOOKUP("mg/cm2",D205:D208,G205:G208,"N/A")</f>
        <v>No</v>
      </c>
      <c r="S206" t="str">
        <f>IF(COUNTIF(O208:O209,"Yes"),"Yes","No")</f>
        <v>No</v>
      </c>
      <c r="U206" t="s">
        <v>95</v>
      </c>
      <c r="V206" t="str">
        <f>R205</f>
        <v>No</v>
      </c>
      <c r="W206" t="str">
        <f>S205</f>
        <v>Yes</v>
      </c>
      <c r="X206" t="str">
        <f t="shared" ref="X206:X209" si="101">IF(V206="N/A","N/A",IF(W206="N/A", "N/A", IF(V206=W206, "Yes","No")))</f>
        <v>No</v>
      </c>
    </row>
    <row r="207" spans="1:32" x14ac:dyDescent="0.2">
      <c r="A207" t="s">
        <v>249</v>
      </c>
      <c r="B207" t="s">
        <v>189</v>
      </c>
      <c r="C207">
        <v>0</v>
      </c>
      <c r="D207" t="s">
        <v>4</v>
      </c>
      <c r="E207" t="s">
        <v>9</v>
      </c>
      <c r="F207" s="2" t="str">
        <f t="shared" ref="F207" si="102">IF(C207&gt;=$W$2,"Yes","No")</f>
        <v>No</v>
      </c>
      <c r="G207" t="s">
        <v>9</v>
      </c>
      <c r="H207" t="s">
        <v>43</v>
      </c>
      <c r="J207" s="2" t="s">
        <v>15</v>
      </c>
      <c r="K207">
        <v>499</v>
      </c>
      <c r="L207" t="s">
        <v>12</v>
      </c>
      <c r="M207" t="s">
        <v>112</v>
      </c>
      <c r="N207" t="str">
        <f t="shared" si="100"/>
        <v>No</v>
      </c>
      <c r="O207" t="str">
        <f t="shared" si="99"/>
        <v>Yes</v>
      </c>
      <c r="Q207" s="2" t="s">
        <v>117</v>
      </c>
      <c r="R207" t="str">
        <f>_xlfn.XLOOKUP("ug/ft2",D205:D216,F205:F216,"N/A")</f>
        <v>Yes</v>
      </c>
      <c r="S207" t="str">
        <f>IF(COUNTIF(O210:O213,"Yes"),"Yes","No")</f>
        <v>No</v>
      </c>
      <c r="U207" t="s">
        <v>163</v>
      </c>
      <c r="V207" t="s">
        <v>9</v>
      </c>
      <c r="W207" t="str">
        <f>O209</f>
        <v>No</v>
      </c>
      <c r="X207" t="str">
        <f t="shared" si="101"/>
        <v>Yes</v>
      </c>
    </row>
    <row r="208" spans="1:32" x14ac:dyDescent="0.2">
      <c r="A208" t="s">
        <v>201</v>
      </c>
      <c r="B208" t="s">
        <v>214</v>
      </c>
      <c r="C208">
        <v>33</v>
      </c>
      <c r="D208" t="s">
        <v>33</v>
      </c>
      <c r="E208" t="s">
        <v>5</v>
      </c>
      <c r="F208" s="2" t="str">
        <f>IF(C208&gt;$W$6,"Yes","No")</f>
        <v>Yes</v>
      </c>
      <c r="G208" t="s">
        <v>5</v>
      </c>
      <c r="J208" s="2" t="s">
        <v>19</v>
      </c>
      <c r="K208">
        <v>1819</v>
      </c>
      <c r="L208" t="s">
        <v>12</v>
      </c>
      <c r="M208" t="s">
        <v>46</v>
      </c>
      <c r="N208" t="str">
        <f>IF(K208="N/A","No", IF(K208&gt;5000,"Yes","No"))</f>
        <v>No</v>
      </c>
      <c r="O208" t="str">
        <f t="shared" ref="O208:O209" si="103">IF(K208="Not","No",IF(K208="n/a","N/A",IF(K208&gt;$Y$2,"Yes","No")))</f>
        <v>No</v>
      </c>
      <c r="Q208" s="2" t="s">
        <v>118</v>
      </c>
      <c r="R208" t="str">
        <f>IF(COUNTIF(R205:R207,"Yes"),"Yes","No")</f>
        <v>Yes</v>
      </c>
      <c r="S208" t="str">
        <f>IF(COUNTIF(S205:S207,"Yes"),"Yes","No")</f>
        <v>Yes</v>
      </c>
      <c r="U208" t="s">
        <v>164</v>
      </c>
      <c r="V208" t="s">
        <v>9</v>
      </c>
      <c r="W208" t="str">
        <f>O208</f>
        <v>No</v>
      </c>
      <c r="X208" t="str">
        <f t="shared" si="101"/>
        <v>Yes</v>
      </c>
    </row>
    <row r="209" spans="1:32" x14ac:dyDescent="0.2">
      <c r="J209" s="2" t="s">
        <v>22</v>
      </c>
      <c r="K209">
        <v>2.5</v>
      </c>
      <c r="L209" t="s">
        <v>12</v>
      </c>
      <c r="M209" t="s">
        <v>43</v>
      </c>
      <c r="N209" t="str">
        <f>IF(K209="N/A","No", IF(K209&gt;5000,"Yes","No"))</f>
        <v>No</v>
      </c>
      <c r="O209" t="str">
        <f t="shared" si="103"/>
        <v>No</v>
      </c>
      <c r="U209" t="s">
        <v>162</v>
      </c>
      <c r="V209" t="str">
        <f>R206</f>
        <v>No</v>
      </c>
      <c r="W209" t="str">
        <f>S206</f>
        <v>No</v>
      </c>
      <c r="X209" t="str">
        <f t="shared" si="101"/>
        <v>Yes</v>
      </c>
    </row>
    <row r="210" spans="1:32" x14ac:dyDescent="0.2">
      <c r="J210" s="2" t="s">
        <v>25</v>
      </c>
      <c r="K210">
        <v>2.5</v>
      </c>
      <c r="L210" t="s">
        <v>12</v>
      </c>
      <c r="M210" t="s">
        <v>126</v>
      </c>
      <c r="N210" t="str">
        <f>IF(K210="N/A","No", IF(K210&gt;20,"Yes","No"))</f>
        <v>No</v>
      </c>
      <c r="O210" t="str">
        <f t="shared" ref="O210:O211" si="104">IF(K210="Not","No",IF(K210="n/a","N/A",IF(K210&gt;$Y$6,"Yes","No")))</f>
        <v>No</v>
      </c>
      <c r="U210" t="s">
        <v>101</v>
      </c>
      <c r="V210" t="s">
        <v>5</v>
      </c>
      <c r="W210" s="19" t="s">
        <v>9</v>
      </c>
      <c r="X210" t="str">
        <f>IF(V210="N/A","N/A",IF(W210="N/A", "N/A", IF(V210=W210, "Yes","No")))</f>
        <v>No</v>
      </c>
    </row>
    <row r="211" spans="1:32" x14ac:dyDescent="0.2">
      <c r="J211" s="2" t="s">
        <v>29</v>
      </c>
      <c r="K211">
        <v>2.5</v>
      </c>
      <c r="L211" t="s">
        <v>12</v>
      </c>
      <c r="M211" t="s">
        <v>222</v>
      </c>
      <c r="N211" t="str">
        <f>IF(K211="N/A","No", IF(K211&gt;20,"Yes","No"))</f>
        <v>No</v>
      </c>
      <c r="O211" t="str">
        <f t="shared" si="104"/>
        <v>No</v>
      </c>
      <c r="U211" t="s">
        <v>104</v>
      </c>
      <c r="V211" t="s">
        <v>120</v>
      </c>
      <c r="W211" t="str">
        <f>O212</f>
        <v>No</v>
      </c>
      <c r="X211" t="str">
        <f>IF(V211="N/A","N/A",IF(W211="N/A", "N/A", IF(V211=W211, "Yes","No")))</f>
        <v>N/A</v>
      </c>
    </row>
    <row r="212" spans="1:32" x14ac:dyDescent="0.2">
      <c r="J212" s="2" t="s">
        <v>34</v>
      </c>
      <c r="K212">
        <v>2.5</v>
      </c>
      <c r="L212" t="s">
        <v>12</v>
      </c>
      <c r="M212" t="s">
        <v>210</v>
      </c>
      <c r="N212" t="str">
        <f>IF(K212="N/A","No", IF(K212&gt;230,"Yes","No"))</f>
        <v>No</v>
      </c>
      <c r="O212" t="str">
        <f>IF(K212="Not","No",IF(K212="n/a","N/A",IF(K212&gt;$Y$5,"Yes","No")))</f>
        <v>No</v>
      </c>
      <c r="U212" t="s">
        <v>106</v>
      </c>
      <c r="V212" t="str">
        <f>R207</f>
        <v>Yes</v>
      </c>
      <c r="W212" s="14" t="str">
        <f>S207</f>
        <v>No</v>
      </c>
      <c r="X212" t="str">
        <f>IF(V212="N/A","N/A",IF(W212="N/A", "N/A", IF(V212=W212, "Yes","No")))</f>
        <v>No</v>
      </c>
    </row>
    <row r="213" spans="1:32" x14ac:dyDescent="0.2">
      <c r="J213" s="2" t="s">
        <v>208</v>
      </c>
      <c r="K213">
        <v>32</v>
      </c>
      <c r="L213" t="s">
        <v>12</v>
      </c>
      <c r="M213" t="s">
        <v>223</v>
      </c>
      <c r="N213" t="str">
        <f>IF(K213="N/A","No", IF(K213&gt;20,"Yes","No"))</f>
        <v>Yes</v>
      </c>
      <c r="O213" t="str">
        <f>IF(K213="Not","No",IF(K213="n/a","N/A",IF(K213&gt;$Y$7,"Yes","No")))</f>
        <v>No</v>
      </c>
      <c r="U213" t="s">
        <v>121</v>
      </c>
      <c r="V213" t="str">
        <f>R208</f>
        <v>Yes</v>
      </c>
      <c r="W213" t="str">
        <f>S208</f>
        <v>Yes</v>
      </c>
      <c r="X213" t="str">
        <f>IF(V213="N/A","N/A",IF(W213="N/A", "N/A", IF(V213=W213, "Yes","No")))</f>
        <v>Yes</v>
      </c>
    </row>
    <row r="215" spans="1:32" x14ac:dyDescent="0.2">
      <c r="A215" s="1">
        <f>VLOOKUP(C215,'Grid - LRA Samples'!$A$2:$B$108, 2,FALSE)</f>
        <v>1040</v>
      </c>
      <c r="B215" t="s">
        <v>111</v>
      </c>
      <c r="C215">
        <v>28</v>
      </c>
    </row>
    <row r="216" spans="1:32" x14ac:dyDescent="0.2">
      <c r="A216" s="5" t="s">
        <v>0</v>
      </c>
      <c r="E216" s="2" t="s">
        <v>274</v>
      </c>
      <c r="F216" s="2" t="s">
        <v>275</v>
      </c>
      <c r="G216" t="s">
        <v>119</v>
      </c>
      <c r="J216" s="5" t="s">
        <v>1</v>
      </c>
      <c r="N216" s="2" t="s">
        <v>277</v>
      </c>
      <c r="O216" t="s">
        <v>278</v>
      </c>
      <c r="Q216" s="5" t="s">
        <v>115</v>
      </c>
      <c r="R216" s="5" t="s">
        <v>0</v>
      </c>
      <c r="S216" s="5" t="s">
        <v>1</v>
      </c>
      <c r="U216" s="5" t="s">
        <v>115</v>
      </c>
      <c r="V216" s="5" t="s">
        <v>0</v>
      </c>
      <c r="W216" s="5" t="s">
        <v>1</v>
      </c>
      <c r="X216" s="5" t="s">
        <v>122</v>
      </c>
      <c r="AA216" t="str">
        <f>IF(R217="Yes","LRA-Soil","")</f>
        <v>LRA-Soil</v>
      </c>
      <c r="AB216" t="str">
        <f>IF(R218="Yes","LRA-Paint","")</f>
        <v>LRA-Paint</v>
      </c>
      <c r="AC216" t="str">
        <f>IF(R219="Yes","LRA-Dust","")</f>
        <v>LRA-Dust</v>
      </c>
      <c r="AD216" t="str">
        <f>IF(S217="Yes","LSK-Soil","")</f>
        <v/>
      </c>
      <c r="AE216" t="str">
        <f>IF(S218="Yes","LSK-Paint","")</f>
        <v>LSK-Paint</v>
      </c>
      <c r="AF216" t="str">
        <f>IF(S219="Yes","LSK-Dust","")</f>
        <v>LSK-Dust</v>
      </c>
    </row>
    <row r="217" spans="1:32" x14ac:dyDescent="0.2">
      <c r="A217" t="s">
        <v>185</v>
      </c>
      <c r="B217" t="s">
        <v>220</v>
      </c>
      <c r="C217">
        <v>13.9</v>
      </c>
      <c r="D217" t="s">
        <v>4</v>
      </c>
      <c r="E217" t="s">
        <v>5</v>
      </c>
      <c r="F217" s="2" t="str">
        <f t="shared" ref="F217" si="105">IF(C217&gt;=$W$2,"Yes","No")</f>
        <v>Yes</v>
      </c>
      <c r="G217" t="s">
        <v>5</v>
      </c>
      <c r="H217" t="s">
        <v>46</v>
      </c>
      <c r="J217" s="2" t="s">
        <v>6</v>
      </c>
      <c r="K217">
        <v>67.7</v>
      </c>
      <c r="L217" t="s">
        <v>12</v>
      </c>
      <c r="M217" t="s">
        <v>114</v>
      </c>
      <c r="N217" t="str">
        <f>IF(K217="N/A","No", IF(K217&gt;1200,"Yes","No"))</f>
        <v>No</v>
      </c>
      <c r="O217" t="str">
        <f t="shared" ref="O217:O219" si="106">IF(K217="Not","No",IF(K217="n/a","N/A",IF(K217&gt;$Y$3,"Yes","No")))</f>
        <v>No</v>
      </c>
      <c r="Q217" s="2" t="s">
        <v>116</v>
      </c>
      <c r="R217" t="str">
        <f>_xlfn.XLOOKUP("ppm",D217:D220,F217:F220,"N/A")</f>
        <v>Yes</v>
      </c>
      <c r="S217" t="str">
        <f>IF(COUNTIF(O217:O219,"Yes"),"Yes","No")</f>
        <v>No</v>
      </c>
      <c r="U217" t="s">
        <v>92</v>
      </c>
      <c r="V217" t="s">
        <v>120</v>
      </c>
      <c r="W217" t="s">
        <v>120</v>
      </c>
      <c r="X217" t="str">
        <f>IF(V217="N/A","N/A",IF(W217="N/A", "N/A", IF(V217=W217, "Yes","No")))</f>
        <v>N/A</v>
      </c>
    </row>
    <row r="218" spans="1:32" x14ac:dyDescent="0.2">
      <c r="A218" t="s">
        <v>200</v>
      </c>
      <c r="B218" t="s">
        <v>202</v>
      </c>
      <c r="C218">
        <v>800</v>
      </c>
      <c r="D218" t="s">
        <v>12</v>
      </c>
      <c r="E218" t="s">
        <v>9</v>
      </c>
      <c r="F218" s="2" t="str">
        <f>IF(C218&gt;$W$3,"Yes","No")</f>
        <v>Yes</v>
      </c>
      <c r="G218" t="s">
        <v>5</v>
      </c>
      <c r="J218" s="2" t="s">
        <v>11</v>
      </c>
      <c r="K218">
        <v>269</v>
      </c>
      <c r="L218" t="s">
        <v>12</v>
      </c>
      <c r="M218" t="s">
        <v>67</v>
      </c>
      <c r="N218" t="str">
        <f t="shared" ref="N218:N219" si="107">IF(K218="N/A","No", IF(K218&gt;1200,"Yes","No"))</f>
        <v>No</v>
      </c>
      <c r="O218" t="str">
        <f t="shared" si="106"/>
        <v>No</v>
      </c>
      <c r="Q218" s="2" t="s">
        <v>98</v>
      </c>
      <c r="R218" t="str">
        <f>_xlfn.XLOOKUP("mg/cm2",D217:D220,G217:G220,"N/A")</f>
        <v>Yes</v>
      </c>
      <c r="S218" t="str">
        <f>IF(COUNTIF(O220:O221,"Yes"),"Yes","No")</f>
        <v>Yes</v>
      </c>
      <c r="U218" t="s">
        <v>95</v>
      </c>
      <c r="V218" t="str">
        <f>R217</f>
        <v>Yes</v>
      </c>
      <c r="W218" t="str">
        <f>S217</f>
        <v>No</v>
      </c>
      <c r="X218" t="str">
        <f t="shared" ref="X218:X221" si="108">IF(V218="N/A","N/A",IF(W218="N/A", "N/A", IF(V218=W218, "Yes","No")))</f>
        <v>No</v>
      </c>
    </row>
    <row r="219" spans="1:32" x14ac:dyDescent="0.2">
      <c r="A219" t="s">
        <v>249</v>
      </c>
      <c r="B219" t="s">
        <v>221</v>
      </c>
      <c r="C219">
        <v>5</v>
      </c>
      <c r="D219" t="s">
        <v>4</v>
      </c>
      <c r="E219" t="s">
        <v>5</v>
      </c>
      <c r="F219" s="2" t="str">
        <f t="shared" ref="F219" si="109">IF(C219&gt;=$W$2,"Yes","No")</f>
        <v>Yes</v>
      </c>
      <c r="G219" t="s">
        <v>5</v>
      </c>
      <c r="H219" t="s">
        <v>43</v>
      </c>
      <c r="J219" s="2" t="s">
        <v>15</v>
      </c>
      <c r="K219">
        <v>269</v>
      </c>
      <c r="L219" t="s">
        <v>12</v>
      </c>
      <c r="M219" t="s">
        <v>112</v>
      </c>
      <c r="N219" t="str">
        <f t="shared" si="107"/>
        <v>No</v>
      </c>
      <c r="O219" t="str">
        <f t="shared" si="106"/>
        <v>No</v>
      </c>
      <c r="Q219" s="2" t="s">
        <v>117</v>
      </c>
      <c r="R219" t="str">
        <f>_xlfn.XLOOKUP("ug/ft2",D217:D228,F217:F228,"N/A")</f>
        <v>Yes</v>
      </c>
      <c r="S219" t="str">
        <f>IF(COUNTIF(O222:O225,"Yes"),"Yes","No")</f>
        <v>Yes</v>
      </c>
      <c r="U219" t="s">
        <v>163</v>
      </c>
      <c r="V219" t="s">
        <v>5</v>
      </c>
      <c r="W219" t="str">
        <f>O221</f>
        <v>No</v>
      </c>
      <c r="X219" t="str">
        <f t="shared" si="108"/>
        <v>No</v>
      </c>
    </row>
    <row r="220" spans="1:32" x14ac:dyDescent="0.2">
      <c r="A220" t="s">
        <v>212</v>
      </c>
      <c r="B220" t="s">
        <v>214</v>
      </c>
      <c r="C220">
        <v>52000</v>
      </c>
      <c r="D220" t="s">
        <v>33</v>
      </c>
      <c r="E220" t="s">
        <v>5</v>
      </c>
      <c r="F220" s="2" t="str">
        <f>IF(C220&gt;$W$6,"Yes","No")</f>
        <v>Yes</v>
      </c>
      <c r="G220" t="s">
        <v>5</v>
      </c>
      <c r="J220" s="2" t="s">
        <v>19</v>
      </c>
      <c r="K220">
        <v>11855</v>
      </c>
      <c r="L220" t="s">
        <v>12</v>
      </c>
      <c r="M220" t="s">
        <v>46</v>
      </c>
      <c r="N220" t="str">
        <f>IF(K220="N/A","No", IF(K220&gt;5000,"Yes","No"))</f>
        <v>Yes</v>
      </c>
      <c r="O220" t="str">
        <f t="shared" ref="O220:O221" si="110">IF(K220="Not","No",IF(K220="n/a","N/A",IF(K220&gt;$Y$2,"Yes","No")))</f>
        <v>Yes</v>
      </c>
      <c r="Q220" s="2" t="s">
        <v>118</v>
      </c>
      <c r="R220" t="str">
        <f>IF(COUNTIF(R217:R219,"Yes"),"Yes","No")</f>
        <v>Yes</v>
      </c>
      <c r="S220" t="str">
        <f>IF(COUNTIF(S217:S219,"Yes"),"Yes","No")</f>
        <v>Yes</v>
      </c>
      <c r="U220" t="s">
        <v>164</v>
      </c>
      <c r="V220" t="s">
        <v>5</v>
      </c>
      <c r="W220" t="str">
        <f>O220</f>
        <v>Yes</v>
      </c>
      <c r="X220" t="str">
        <f t="shared" si="108"/>
        <v>Yes</v>
      </c>
    </row>
    <row r="221" spans="1:32" x14ac:dyDescent="0.2">
      <c r="J221" s="2" t="s">
        <v>22</v>
      </c>
      <c r="K221">
        <v>3021</v>
      </c>
      <c r="L221" t="s">
        <v>12</v>
      </c>
      <c r="M221" t="s">
        <v>43</v>
      </c>
      <c r="N221" t="str">
        <f>IF(K221="N/A","No", IF(K221&gt;5000,"Yes","No"))</f>
        <v>No</v>
      </c>
      <c r="O221" t="str">
        <f t="shared" si="110"/>
        <v>No</v>
      </c>
      <c r="U221" t="s">
        <v>162</v>
      </c>
      <c r="V221" t="str">
        <f>R218</f>
        <v>Yes</v>
      </c>
      <c r="W221" t="str">
        <f>S218</f>
        <v>Yes</v>
      </c>
      <c r="X221" t="str">
        <f t="shared" si="108"/>
        <v>Yes</v>
      </c>
    </row>
    <row r="222" spans="1:32" x14ac:dyDescent="0.2">
      <c r="J222" s="2" t="s">
        <v>25</v>
      </c>
      <c r="K222">
        <v>30</v>
      </c>
      <c r="L222" t="s">
        <v>12</v>
      </c>
      <c r="M222" t="s">
        <v>126</v>
      </c>
      <c r="N222" t="str">
        <f>IF(K222="N/A","No", IF(K222&gt;20,"Yes","No"))</f>
        <v>Yes</v>
      </c>
      <c r="O222" t="str">
        <f t="shared" ref="O222:O223" si="111">IF(K222="Not","No",IF(K222="n/a","N/A",IF(K222&gt;$Y$6,"Yes","No")))</f>
        <v>Yes</v>
      </c>
      <c r="U222" t="s">
        <v>101</v>
      </c>
      <c r="V222" t="s">
        <v>5</v>
      </c>
      <c r="W222" t="s">
        <v>5</v>
      </c>
      <c r="X222" t="str">
        <f>IF(V222="N/A","N/A",IF(W222="N/A", "N/A", IF(V222=W222, "Yes","No")))</f>
        <v>Yes</v>
      </c>
    </row>
    <row r="223" spans="1:32" x14ac:dyDescent="0.2">
      <c r="J223" s="2" t="s">
        <v>29</v>
      </c>
      <c r="K223">
        <v>13</v>
      </c>
      <c r="L223" t="s">
        <v>12</v>
      </c>
      <c r="M223" t="s">
        <v>222</v>
      </c>
      <c r="N223" t="str">
        <f>IF(K223="N/A","No", IF(K223&gt;20,"Yes","No"))</f>
        <v>No</v>
      </c>
      <c r="O223" t="str">
        <f t="shared" si="111"/>
        <v>No</v>
      </c>
      <c r="U223" t="s">
        <v>104</v>
      </c>
      <c r="V223" t="s">
        <v>120</v>
      </c>
      <c r="W223" t="str">
        <f>O224</f>
        <v>No</v>
      </c>
      <c r="X223" t="str">
        <f>IF(V223="N/A","N/A",IF(W223="N/A", "N/A", IF(V223=W223, "Yes","No")))</f>
        <v>N/A</v>
      </c>
    </row>
    <row r="224" spans="1:32" x14ac:dyDescent="0.2">
      <c r="J224" s="2" t="s">
        <v>34</v>
      </c>
      <c r="K224">
        <v>11</v>
      </c>
      <c r="L224" t="s">
        <v>12</v>
      </c>
      <c r="M224" t="s">
        <v>210</v>
      </c>
      <c r="N224" t="str">
        <f>IF(K224="N/A","No", IF(K224&gt;230,"Yes","No"))</f>
        <v>No</v>
      </c>
      <c r="O224" t="str">
        <f>IF(K224="Not","No",IF(K224="n/a","N/A",IF(K224&gt;$Y$5,"Yes","No")))</f>
        <v>No</v>
      </c>
      <c r="U224" t="s">
        <v>106</v>
      </c>
      <c r="V224" t="str">
        <f>R219</f>
        <v>Yes</v>
      </c>
      <c r="W224" t="str">
        <f>S219</f>
        <v>Yes</v>
      </c>
      <c r="X224" t="str">
        <f>IF(V224="N/A","N/A",IF(W224="N/A", "N/A", IF(V224=W224, "Yes","No")))</f>
        <v>Yes</v>
      </c>
    </row>
    <row r="225" spans="1:32" x14ac:dyDescent="0.2">
      <c r="J225" s="2" t="s">
        <v>208</v>
      </c>
      <c r="K225">
        <v>336</v>
      </c>
      <c r="L225" t="s">
        <v>12</v>
      </c>
      <c r="M225" t="s">
        <v>223</v>
      </c>
      <c r="N225" t="str">
        <f>IF(K225="N/A","No", IF(K225&gt;20,"Yes","No"))</f>
        <v>Yes</v>
      </c>
      <c r="O225" t="str">
        <f>IF(K225="Not","No",IF(K225="n/a","N/A",IF(K225&gt;$Y$7,"Yes","No")))</f>
        <v>No</v>
      </c>
      <c r="U225" t="s">
        <v>121</v>
      </c>
      <c r="V225" t="str">
        <f>R220</f>
        <v>Yes</v>
      </c>
      <c r="W225" t="str">
        <f>S220</f>
        <v>Yes</v>
      </c>
      <c r="X225" t="str">
        <f>IF(V225="N/A","N/A",IF(W225="N/A", "N/A", IF(V225=W225, "Yes","No")))</f>
        <v>Yes</v>
      </c>
    </row>
    <row r="227" spans="1:32" x14ac:dyDescent="0.2">
      <c r="A227" s="1">
        <f>VLOOKUP(C227,'Grid - LRA Samples'!$A$2:$B$108, 2,FALSE)</f>
        <v>1144</v>
      </c>
      <c r="B227" t="s">
        <v>111</v>
      </c>
      <c r="C227">
        <v>29</v>
      </c>
    </row>
    <row r="228" spans="1:32" x14ac:dyDescent="0.2">
      <c r="A228" s="5" t="s">
        <v>0</v>
      </c>
      <c r="E228" s="2" t="s">
        <v>274</v>
      </c>
      <c r="F228" s="2" t="s">
        <v>275</v>
      </c>
      <c r="G228" t="s">
        <v>119</v>
      </c>
      <c r="J228" s="5" t="s">
        <v>1</v>
      </c>
      <c r="N228" s="2" t="s">
        <v>277</v>
      </c>
      <c r="O228" t="s">
        <v>278</v>
      </c>
      <c r="Q228" s="5" t="s">
        <v>115</v>
      </c>
      <c r="R228" s="5" t="s">
        <v>0</v>
      </c>
      <c r="S228" s="5" t="s">
        <v>1</v>
      </c>
      <c r="U228" s="5" t="s">
        <v>115</v>
      </c>
      <c r="V228" s="5" t="s">
        <v>0</v>
      </c>
      <c r="W228" s="5" t="s">
        <v>1</v>
      </c>
      <c r="X228" s="5" t="s">
        <v>122</v>
      </c>
      <c r="AA228" t="str">
        <f>IF(R229="Yes","LRA-Soil","")</f>
        <v/>
      </c>
      <c r="AB228" t="str">
        <f>IF(R230="Yes","LRA-Paint","")</f>
        <v/>
      </c>
      <c r="AC228" t="str">
        <f>IF(R231="Yes","LRA-Dust","")</f>
        <v>LRA-Dust</v>
      </c>
      <c r="AD228" t="str">
        <f>IF(S229="Yes","LSK-Soil","")</f>
        <v/>
      </c>
      <c r="AE228" t="str">
        <f>IF(S230="Yes","LSK-Paint","")</f>
        <v/>
      </c>
      <c r="AF228" t="str">
        <f>IF(S231="Yes","LSK-Dust","")</f>
        <v/>
      </c>
    </row>
    <row r="229" spans="1:32" x14ac:dyDescent="0.2">
      <c r="A229" t="s">
        <v>63</v>
      </c>
      <c r="B229" t="s">
        <v>18</v>
      </c>
      <c r="C229">
        <v>0.7</v>
      </c>
      <c r="D229" t="s">
        <v>4</v>
      </c>
      <c r="E229" t="s">
        <v>9</v>
      </c>
      <c r="F229" s="2" t="str">
        <f t="shared" ref="F229" si="112">IF(C229&gt;=$W$2,"Yes","No")</f>
        <v>No</v>
      </c>
      <c r="G229" t="s">
        <v>9</v>
      </c>
      <c r="H229" t="s">
        <v>46</v>
      </c>
      <c r="J229" s="2" t="s">
        <v>6</v>
      </c>
      <c r="K229">
        <v>70</v>
      </c>
      <c r="L229" t="s">
        <v>12</v>
      </c>
      <c r="M229" t="s">
        <v>114</v>
      </c>
      <c r="N229" t="str">
        <f>IF(K229="N/A","No", IF(K229&gt;1200,"Yes","No"))</f>
        <v>No</v>
      </c>
      <c r="O229" t="str">
        <f t="shared" ref="O229:O231" si="113">IF(K229="Not","No",IF(K229="n/a","N/A",IF(K229&gt;$Y$3,"Yes","No")))</f>
        <v>No</v>
      </c>
      <c r="Q229" s="2" t="s">
        <v>116</v>
      </c>
      <c r="R229" t="str">
        <f>_xlfn.XLOOKUP("ppm",D229:D232,F229:F232,"N/A")</f>
        <v>No</v>
      </c>
      <c r="S229" t="str">
        <f>IF(COUNTIF(O229:O231,"Yes"),"Yes","No")</f>
        <v>No</v>
      </c>
      <c r="U229" t="s">
        <v>92</v>
      </c>
      <c r="V229" t="s">
        <v>120</v>
      </c>
      <c r="W229" t="s">
        <v>120</v>
      </c>
      <c r="X229" t="str">
        <f>IF(V229="N/A","N/A",IF(W229="N/A", "N/A", IF(V229=W229, "Yes","No")))</f>
        <v>N/A</v>
      </c>
    </row>
    <row r="230" spans="1:32" x14ac:dyDescent="0.2">
      <c r="A230" t="s">
        <v>68</v>
      </c>
      <c r="B230" t="s">
        <v>69</v>
      </c>
      <c r="C230" s="14">
        <v>0.18</v>
      </c>
      <c r="D230" t="s">
        <v>12</v>
      </c>
      <c r="E230" t="s">
        <v>9</v>
      </c>
      <c r="F230" s="2" t="str">
        <f>IF(C230&gt;$W$3,"Yes","No")</f>
        <v>No</v>
      </c>
      <c r="G230" t="s">
        <v>9</v>
      </c>
      <c r="J230" s="2" t="s">
        <v>11</v>
      </c>
      <c r="K230">
        <v>80.8</v>
      </c>
      <c r="L230" t="s">
        <v>12</v>
      </c>
      <c r="M230" t="s">
        <v>67</v>
      </c>
      <c r="N230" t="str">
        <f t="shared" ref="N230:N231" si="114">IF(K230="N/A","No", IF(K230&gt;1200,"Yes","No"))</f>
        <v>No</v>
      </c>
      <c r="O230" t="str">
        <f t="shared" si="113"/>
        <v>No</v>
      </c>
      <c r="Q230" s="2" t="s">
        <v>98</v>
      </c>
      <c r="R230" t="str">
        <f>_xlfn.XLOOKUP("mg/cm2",D229:D236,G229:G236,"N/A")</f>
        <v>No</v>
      </c>
      <c r="S230" t="str">
        <f>IF(COUNTIF(O232:O233,"Yes"),"Yes","No")</f>
        <v>No</v>
      </c>
      <c r="U230" t="s">
        <v>95</v>
      </c>
      <c r="V230" t="str">
        <f>R229</f>
        <v>No</v>
      </c>
      <c r="W230" t="str">
        <f>S229</f>
        <v>No</v>
      </c>
      <c r="X230" t="str">
        <f t="shared" ref="X230:X233" si="115">IF(V230="N/A","N/A",IF(W230="N/A", "N/A", IF(V230=W230, "Yes","No")))</f>
        <v>Yes</v>
      </c>
    </row>
    <row r="231" spans="1:32" x14ac:dyDescent="0.2">
      <c r="A231" t="s">
        <v>70</v>
      </c>
      <c r="B231" t="s">
        <v>40</v>
      </c>
      <c r="C231">
        <v>0.7</v>
      </c>
      <c r="D231" t="s">
        <v>4</v>
      </c>
      <c r="E231" t="s">
        <v>9</v>
      </c>
      <c r="F231" s="2" t="str">
        <f t="shared" ref="F231" si="116">IF(C231&gt;=$W$2,"Yes","No")</f>
        <v>No</v>
      </c>
      <c r="G231" t="s">
        <v>9</v>
      </c>
      <c r="H231" t="s">
        <v>43</v>
      </c>
      <c r="J231" s="2" t="s">
        <v>15</v>
      </c>
      <c r="K231">
        <v>186</v>
      </c>
      <c r="L231" t="s">
        <v>12</v>
      </c>
      <c r="M231" t="s">
        <v>112</v>
      </c>
      <c r="N231" t="str">
        <f t="shared" si="114"/>
        <v>No</v>
      </c>
      <c r="O231" t="str">
        <f t="shared" si="113"/>
        <v>No</v>
      </c>
      <c r="Q231" s="2" t="s">
        <v>117</v>
      </c>
      <c r="R231" s="30" t="s">
        <v>5</v>
      </c>
      <c r="S231" t="str">
        <f>IF(COUNTIF(O234:O237,"Yes"),"Yes","No")</f>
        <v>No</v>
      </c>
      <c r="U231" t="s">
        <v>163</v>
      </c>
      <c r="V231" t="s">
        <v>9</v>
      </c>
      <c r="W231" t="str">
        <f>O233</f>
        <v>No</v>
      </c>
      <c r="X231" t="str">
        <f t="shared" si="115"/>
        <v>Yes</v>
      </c>
    </row>
    <row r="232" spans="1:32" x14ac:dyDescent="0.2">
      <c r="A232" t="s">
        <v>156</v>
      </c>
      <c r="B232" t="s">
        <v>32</v>
      </c>
      <c r="C232">
        <v>2.5</v>
      </c>
      <c r="D232" t="s">
        <v>33</v>
      </c>
      <c r="E232" t="s">
        <v>9</v>
      </c>
      <c r="F232" s="2" t="str">
        <f t="shared" ref="F232:F233" si="117">IF(C232&gt;$W$6,"Yes","No")</f>
        <v>No</v>
      </c>
      <c r="G232" t="s">
        <v>9</v>
      </c>
      <c r="J232" s="2" t="s">
        <v>19</v>
      </c>
      <c r="K232">
        <v>27</v>
      </c>
      <c r="L232" t="s">
        <v>12</v>
      </c>
      <c r="M232" t="s">
        <v>46</v>
      </c>
      <c r="N232" t="str">
        <f>IF(K232="N/A","No", IF(K232&gt;5000,"Yes","No"))</f>
        <v>No</v>
      </c>
      <c r="O232" t="str">
        <f t="shared" ref="O232:O233" si="118">IF(K232="Not","No",IF(K232="n/a","N/A",IF(K232&gt;$Y$2,"Yes","No")))</f>
        <v>No</v>
      </c>
      <c r="Q232" s="2" t="s">
        <v>118</v>
      </c>
      <c r="R232" t="str">
        <f>IF(COUNTIF(R229:R231,"Yes"),"Yes","No")</f>
        <v>Yes</v>
      </c>
      <c r="S232" t="str">
        <f>IF(COUNTIF(S229:S231,"Yes"),"Yes","No")</f>
        <v>No</v>
      </c>
      <c r="U232" t="s">
        <v>164</v>
      </c>
      <c r="V232" t="s">
        <v>9</v>
      </c>
      <c r="W232" t="str">
        <f>O232</f>
        <v>No</v>
      </c>
      <c r="X232" t="str">
        <f t="shared" si="115"/>
        <v>Yes</v>
      </c>
    </row>
    <row r="233" spans="1:32" x14ac:dyDescent="0.2">
      <c r="A233" t="s">
        <v>159</v>
      </c>
      <c r="B233" t="s">
        <v>32</v>
      </c>
      <c r="C233">
        <v>2.2999999999999998</v>
      </c>
      <c r="D233" t="s">
        <v>33</v>
      </c>
      <c r="E233" t="s">
        <v>9</v>
      </c>
      <c r="F233" s="2" t="str">
        <f t="shared" si="117"/>
        <v>No</v>
      </c>
      <c r="G233" t="s">
        <v>9</v>
      </c>
      <c r="J233" s="2" t="s">
        <v>22</v>
      </c>
      <c r="K233">
        <v>2.5</v>
      </c>
      <c r="L233" t="s">
        <v>12</v>
      </c>
      <c r="M233" t="s">
        <v>43</v>
      </c>
      <c r="N233" t="str">
        <f>IF(K233="N/A","No", IF(K233&gt;5000,"Yes","No"))</f>
        <v>No</v>
      </c>
      <c r="O233" t="str">
        <f t="shared" si="118"/>
        <v>No</v>
      </c>
      <c r="U233" t="s">
        <v>162</v>
      </c>
      <c r="V233" t="str">
        <f>R230</f>
        <v>No</v>
      </c>
      <c r="W233" t="str">
        <f>S230</f>
        <v>No</v>
      </c>
      <c r="X233" t="str">
        <f t="shared" si="115"/>
        <v>Yes</v>
      </c>
    </row>
    <row r="234" spans="1:32" x14ac:dyDescent="0.2">
      <c r="A234" t="s">
        <v>159</v>
      </c>
      <c r="B234" t="s">
        <v>54</v>
      </c>
      <c r="C234">
        <v>1.8</v>
      </c>
      <c r="D234" t="s">
        <v>33</v>
      </c>
      <c r="E234" t="s">
        <v>9</v>
      </c>
      <c r="F234" s="2" t="str">
        <f>IF(C234&gt;=$W$5,"Yes","No")</f>
        <v>No</v>
      </c>
      <c r="G234" t="s">
        <v>9</v>
      </c>
      <c r="J234" s="2" t="s">
        <v>25</v>
      </c>
      <c r="K234">
        <v>2.5</v>
      </c>
      <c r="L234" t="s">
        <v>12</v>
      </c>
      <c r="M234" t="s">
        <v>126</v>
      </c>
      <c r="N234" t="str">
        <f>IF(K234="N/A","No", IF(K234&gt;20,"Yes","No"))</f>
        <v>No</v>
      </c>
      <c r="O234" t="str">
        <f t="shared" ref="O234:O235" si="119">IF(K234="Not","No",IF(K234="n/a","N/A",IF(K234&gt;$Y$6,"Yes","No")))</f>
        <v>No</v>
      </c>
      <c r="U234" t="s">
        <v>101</v>
      </c>
      <c r="V234" t="s">
        <v>5</v>
      </c>
      <c r="W234" t="s">
        <v>9</v>
      </c>
      <c r="X234" t="str">
        <f>IF(V234="N/A","N/A",IF(W234="N/A", "N/A", IF(V234=W234, "Yes","No")))</f>
        <v>No</v>
      </c>
    </row>
    <row r="235" spans="1:32" x14ac:dyDescent="0.2">
      <c r="A235" t="s">
        <v>71</v>
      </c>
      <c r="B235" t="s">
        <v>32</v>
      </c>
      <c r="C235">
        <v>5.5</v>
      </c>
      <c r="D235" t="s">
        <v>33</v>
      </c>
      <c r="E235" t="s">
        <v>9</v>
      </c>
      <c r="F235" s="2" t="str">
        <f t="shared" ref="F235:F236" si="120">IF(C235&gt;$W$6,"Yes","No")</f>
        <v>No</v>
      </c>
      <c r="G235" t="s">
        <v>9</v>
      </c>
      <c r="J235" s="2" t="s">
        <v>29</v>
      </c>
      <c r="K235">
        <v>2.5</v>
      </c>
      <c r="L235" t="s">
        <v>12</v>
      </c>
      <c r="M235" t="s">
        <v>222</v>
      </c>
      <c r="N235" t="str">
        <f>IF(K235="N/A","No", IF(K235&gt;20,"Yes","No"))</f>
        <v>No</v>
      </c>
      <c r="O235" t="str">
        <f t="shared" si="119"/>
        <v>No</v>
      </c>
      <c r="U235" t="s">
        <v>104</v>
      </c>
      <c r="V235" t="s">
        <v>9</v>
      </c>
      <c r="W235" t="str">
        <f>O236</f>
        <v>No</v>
      </c>
      <c r="X235" t="str">
        <f>IF(V235="N/A","N/A",IF(W235="N/A", "N/A", IF(V235=W235, "Yes","No")))</f>
        <v>Yes</v>
      </c>
    </row>
    <row r="236" spans="1:32" x14ac:dyDescent="0.2">
      <c r="A236" t="s">
        <v>71</v>
      </c>
      <c r="B236" t="s">
        <v>32</v>
      </c>
      <c r="C236">
        <v>30.7</v>
      </c>
      <c r="D236" t="s">
        <v>33</v>
      </c>
      <c r="E236" t="s">
        <v>5</v>
      </c>
      <c r="F236" s="2" t="str">
        <f t="shared" si="120"/>
        <v>Yes</v>
      </c>
      <c r="G236" t="s">
        <v>5</v>
      </c>
      <c r="J236" s="2" t="s">
        <v>34</v>
      </c>
      <c r="K236">
        <v>5</v>
      </c>
      <c r="L236" t="s">
        <v>12</v>
      </c>
      <c r="M236" t="s">
        <v>210</v>
      </c>
      <c r="N236" t="str">
        <f>IF(K236="N/A","No", IF(K236&gt;230,"Yes","No"))</f>
        <v>No</v>
      </c>
      <c r="O236" t="str">
        <f>IF(K236="Not","No",IF(K236="n/a","N/A",IF(K236&gt;$Y$5,"Yes","No")))</f>
        <v>No</v>
      </c>
      <c r="U236" t="s">
        <v>106</v>
      </c>
      <c r="V236" t="str">
        <f>R231</f>
        <v>Yes</v>
      </c>
      <c r="W236" t="str">
        <f>S231</f>
        <v>No</v>
      </c>
      <c r="X236" t="str">
        <f>IF(V236="N/A","N/A",IF(W236="N/A", "N/A", IF(V236=W236, "Yes","No")))</f>
        <v>No</v>
      </c>
    </row>
    <row r="237" spans="1:32" x14ac:dyDescent="0.2">
      <c r="J237" s="2" t="s">
        <v>208</v>
      </c>
      <c r="K237" t="s">
        <v>120</v>
      </c>
      <c r="L237" t="s">
        <v>12</v>
      </c>
      <c r="M237" t="s">
        <v>223</v>
      </c>
      <c r="N237" t="str">
        <f>IF(K237="N/A","No", IF(K237&gt;20,"Yes","No"))</f>
        <v>No</v>
      </c>
      <c r="O237" t="str">
        <f>IF(K237="Not","No",IF(K237="n/a","N/A",IF(K237&gt;$Y$7,"Yes","No")))</f>
        <v>N/A</v>
      </c>
      <c r="U237" t="s">
        <v>121</v>
      </c>
      <c r="V237" t="str">
        <f>R232</f>
        <v>Yes</v>
      </c>
      <c r="W237" t="str">
        <f>S232</f>
        <v>No</v>
      </c>
      <c r="X237" t="str">
        <f>IF(V237="N/A","N/A",IF(W237="N/A", "N/A", IF(V237=W237, "Yes","No")))</f>
        <v>No</v>
      </c>
    </row>
    <row r="239" spans="1:32" x14ac:dyDescent="0.2">
      <c r="A239" s="1">
        <f>VLOOKUP(C239,'Grid - LRA Samples'!$A$2:$B$108, 2,FALSE)</f>
        <v>1151</v>
      </c>
      <c r="B239" t="s">
        <v>111</v>
      </c>
      <c r="C239">
        <v>30</v>
      </c>
    </row>
    <row r="240" spans="1:32" x14ac:dyDescent="0.2">
      <c r="A240" s="5" t="s">
        <v>0</v>
      </c>
      <c r="E240" s="2" t="s">
        <v>274</v>
      </c>
      <c r="F240" s="2" t="s">
        <v>275</v>
      </c>
      <c r="G240" t="s">
        <v>119</v>
      </c>
      <c r="J240" s="5" t="s">
        <v>1</v>
      </c>
      <c r="N240" s="2" t="s">
        <v>277</v>
      </c>
      <c r="O240" t="s">
        <v>278</v>
      </c>
      <c r="Q240" s="5" t="s">
        <v>115</v>
      </c>
      <c r="R240" s="5" t="s">
        <v>0</v>
      </c>
      <c r="S240" s="5" t="s">
        <v>1</v>
      </c>
      <c r="U240" s="5" t="s">
        <v>115</v>
      </c>
      <c r="V240" s="5" t="s">
        <v>0</v>
      </c>
      <c r="W240" s="5" t="s">
        <v>1</v>
      </c>
      <c r="X240" s="5" t="s">
        <v>122</v>
      </c>
      <c r="AA240" t="str">
        <f>IF(R241="Yes","LRA-Soil","")</f>
        <v/>
      </c>
      <c r="AB240" t="str">
        <f>IF(R242="Yes","LRA-Paint","")</f>
        <v/>
      </c>
      <c r="AC240" t="str">
        <f>IF(R243="Yes","LRA-Dust","")</f>
        <v>LRA-Dust</v>
      </c>
      <c r="AD240" t="str">
        <f>IF(S241="Yes","LSK-Soil","")</f>
        <v/>
      </c>
      <c r="AE240" t="str">
        <f>IF(S242="Yes","LSK-Paint","")</f>
        <v/>
      </c>
      <c r="AF240" t="str">
        <f>IF(S243="Yes","LSK-Dust","")</f>
        <v/>
      </c>
    </row>
    <row r="241" spans="1:32" x14ac:dyDescent="0.2">
      <c r="A241" t="s">
        <v>250</v>
      </c>
      <c r="B241" t="s">
        <v>251</v>
      </c>
      <c r="C241">
        <v>0</v>
      </c>
      <c r="D241" t="s">
        <v>4</v>
      </c>
      <c r="E241" t="s">
        <v>9</v>
      </c>
      <c r="F241" s="2" t="str">
        <f t="shared" ref="F241:F242" si="121">IF(C241&gt;=$W$2,"Yes","No")</f>
        <v>No</v>
      </c>
      <c r="G241" t="s">
        <v>9</v>
      </c>
      <c r="H241" t="s">
        <v>46</v>
      </c>
      <c r="J241" s="2" t="s">
        <v>6</v>
      </c>
      <c r="K241">
        <v>18.7</v>
      </c>
      <c r="L241" t="s">
        <v>12</v>
      </c>
      <c r="M241" t="s">
        <v>114</v>
      </c>
      <c r="N241" t="str">
        <f>IF(K241="N/A","No", IF(K241&gt;1200,"Yes","No"))</f>
        <v>No</v>
      </c>
      <c r="O241" t="str">
        <f t="shared" ref="O241:O243" si="122">IF(K241="Not","No",IF(K241="n/a","N/A",IF(K241&gt;$Y$3,"Yes","No")))</f>
        <v>No</v>
      </c>
      <c r="Q241" s="2" t="s">
        <v>116</v>
      </c>
      <c r="R241" t="str">
        <f>_xlfn.XLOOKUP("ppm",D241:D244,F241:F244,"N/A")</f>
        <v>N/A</v>
      </c>
      <c r="S241" t="str">
        <f>IF(COUNTIF(O241:O243,"Yes"),"Yes","No")</f>
        <v>No</v>
      </c>
      <c r="U241" t="s">
        <v>92</v>
      </c>
      <c r="V241" t="s">
        <v>120</v>
      </c>
      <c r="W241" t="s">
        <v>120</v>
      </c>
      <c r="X241" t="str">
        <f>IF(V241="N/A","N/A",IF(W241="N/A", "N/A", IF(V241=W241, "Yes","No")))</f>
        <v>N/A</v>
      </c>
    </row>
    <row r="242" spans="1:32" x14ac:dyDescent="0.2">
      <c r="A242" t="s">
        <v>201</v>
      </c>
      <c r="B242" t="s">
        <v>236</v>
      </c>
      <c r="C242">
        <v>0</v>
      </c>
      <c r="D242" t="s">
        <v>4</v>
      </c>
      <c r="E242" t="s">
        <v>9</v>
      </c>
      <c r="F242" s="2" t="str">
        <f t="shared" si="121"/>
        <v>No</v>
      </c>
      <c r="G242" t="s">
        <v>9</v>
      </c>
      <c r="H242" t="s">
        <v>43</v>
      </c>
      <c r="J242" s="2" t="s">
        <v>11</v>
      </c>
      <c r="K242">
        <v>9.3000000000000007</v>
      </c>
      <c r="L242" t="s">
        <v>12</v>
      </c>
      <c r="M242" t="s">
        <v>67</v>
      </c>
      <c r="N242" t="str">
        <f t="shared" ref="N242:N243" si="123">IF(K242="N/A","No", IF(K242&gt;1200,"Yes","No"))</f>
        <v>No</v>
      </c>
      <c r="O242" t="str">
        <f t="shared" si="122"/>
        <v>No</v>
      </c>
      <c r="Q242" s="2" t="s">
        <v>98</v>
      </c>
      <c r="R242" t="str">
        <f>_xlfn.XLOOKUP("mg/cm2",D241:D244,G241:G244,"N/A")</f>
        <v>No</v>
      </c>
      <c r="S242" t="str">
        <f>IF(COUNTIF(O244:O245,"Yes"),"Yes","No")</f>
        <v>No</v>
      </c>
      <c r="U242" t="s">
        <v>95</v>
      </c>
      <c r="V242" t="str">
        <f>R241</f>
        <v>N/A</v>
      </c>
      <c r="W242" t="str">
        <f>S241</f>
        <v>No</v>
      </c>
      <c r="X242" t="str">
        <f t="shared" ref="X242:X245" si="124">IF(V242="N/A","N/A",IF(W242="N/A", "N/A", IF(V242=W242, "Yes","No")))</f>
        <v>N/A</v>
      </c>
    </row>
    <row r="243" spans="1:32" x14ac:dyDescent="0.2">
      <c r="A243" t="s">
        <v>201</v>
      </c>
      <c r="B243" t="s">
        <v>214</v>
      </c>
      <c r="C243">
        <v>14</v>
      </c>
      <c r="D243" t="s">
        <v>33</v>
      </c>
      <c r="E243" t="s">
        <v>5</v>
      </c>
      <c r="F243" s="2" t="str">
        <f>IF(C243&gt;$W$6,"Yes","No")</f>
        <v>Yes</v>
      </c>
      <c r="G243" t="s">
        <v>9</v>
      </c>
      <c r="J243" s="2" t="s">
        <v>15</v>
      </c>
      <c r="K243">
        <v>13.5</v>
      </c>
      <c r="L243" t="s">
        <v>12</v>
      </c>
      <c r="M243" t="s">
        <v>112</v>
      </c>
      <c r="N243" t="str">
        <f t="shared" si="123"/>
        <v>No</v>
      </c>
      <c r="O243" t="str">
        <f t="shared" si="122"/>
        <v>No</v>
      </c>
      <c r="Q243" s="2" t="s">
        <v>117</v>
      </c>
      <c r="R243" t="str">
        <f>_xlfn.XLOOKUP("ug/ft2",D241:D252,F241:F252,"N/A")</f>
        <v>Yes</v>
      </c>
      <c r="S243" t="str">
        <f>IF(COUNTIF(O246:O249,"Yes"),"Yes","No")</f>
        <v>No</v>
      </c>
      <c r="U243" t="s">
        <v>163</v>
      </c>
      <c r="V243" t="s">
        <v>9</v>
      </c>
      <c r="W243" t="str">
        <f>O245</f>
        <v>No</v>
      </c>
      <c r="X243" t="str">
        <f t="shared" si="124"/>
        <v>Yes</v>
      </c>
    </row>
    <row r="244" spans="1:32" x14ac:dyDescent="0.2">
      <c r="J244" s="2" t="s">
        <v>19</v>
      </c>
      <c r="K244">
        <v>2.5</v>
      </c>
      <c r="L244" t="s">
        <v>12</v>
      </c>
      <c r="M244" t="s">
        <v>46</v>
      </c>
      <c r="N244" t="str">
        <f>IF(K244="N/A","No", IF(K244&gt;5000,"Yes","No"))</f>
        <v>No</v>
      </c>
      <c r="O244" t="str">
        <f>IF(K244="Not","No",IF(K244="n/a","N/A",IF(K244&gt;$Y$2,"Yes","No")))</f>
        <v>No</v>
      </c>
      <c r="Q244" s="2" t="s">
        <v>118</v>
      </c>
      <c r="R244" t="str">
        <f>IF(COUNTIF(R241:R243,"Yes"),"Yes","No")</f>
        <v>Yes</v>
      </c>
      <c r="S244" t="str">
        <f>IF(COUNTIF(S241:S243,"Yes"),"Yes","No")</f>
        <v>No</v>
      </c>
      <c r="U244" t="s">
        <v>164</v>
      </c>
      <c r="V244" t="s">
        <v>9</v>
      </c>
      <c r="W244" t="str">
        <f>O244</f>
        <v>No</v>
      </c>
      <c r="X244" t="str">
        <f t="shared" si="124"/>
        <v>Yes</v>
      </c>
    </row>
    <row r="245" spans="1:32" x14ac:dyDescent="0.2">
      <c r="J245" s="2" t="s">
        <v>22</v>
      </c>
      <c r="K245">
        <v>2.5</v>
      </c>
      <c r="L245" t="s">
        <v>12</v>
      </c>
      <c r="M245" t="s">
        <v>43</v>
      </c>
      <c r="N245" t="str">
        <f>IF(K245="N/A","No", IF(K245&gt;5000,"Yes","No"))</f>
        <v>No</v>
      </c>
      <c r="O245" t="str">
        <f>IF(K245="Not","No",IF(K245="n/a","N/A",IF(K245&gt;$Y$2,"Yes","No")))</f>
        <v>No</v>
      </c>
      <c r="U245" t="s">
        <v>162</v>
      </c>
      <c r="V245" t="str">
        <f>R242</f>
        <v>No</v>
      </c>
      <c r="W245" t="str">
        <f>S242</f>
        <v>No</v>
      </c>
      <c r="X245" t="str">
        <f t="shared" si="124"/>
        <v>Yes</v>
      </c>
    </row>
    <row r="246" spans="1:32" x14ac:dyDescent="0.2">
      <c r="J246" s="2" t="s">
        <v>25</v>
      </c>
      <c r="K246">
        <v>2.5</v>
      </c>
      <c r="L246" t="s">
        <v>12</v>
      </c>
      <c r="M246" t="s">
        <v>126</v>
      </c>
      <c r="N246" t="str">
        <f>IF(K246="N/A","No", IF(K246&gt;20,"Yes","No"))</f>
        <v>No</v>
      </c>
      <c r="O246" t="str">
        <f t="shared" ref="O246:O247" si="125">IF(K246="Not","No",IF(K246="n/a","N/A",IF(K246&gt;$Y$6,"Yes","No")))</f>
        <v>No</v>
      </c>
      <c r="U246" t="s">
        <v>101</v>
      </c>
      <c r="V246" t="s">
        <v>9</v>
      </c>
      <c r="W246" t="s">
        <v>9</v>
      </c>
      <c r="X246" t="str">
        <f>IF(V246="N/A","N/A",IF(W246="N/A", "N/A", IF(V246=W246, "Yes","No")))</f>
        <v>Yes</v>
      </c>
    </row>
    <row r="247" spans="1:32" x14ac:dyDescent="0.2">
      <c r="J247" s="2" t="s">
        <v>29</v>
      </c>
      <c r="K247">
        <v>2.5</v>
      </c>
      <c r="L247" t="s">
        <v>12</v>
      </c>
      <c r="M247" t="s">
        <v>222</v>
      </c>
      <c r="N247" t="str">
        <f>IF(K247="N/A","No", IF(K247&gt;20,"Yes","No"))</f>
        <v>No</v>
      </c>
      <c r="O247" t="str">
        <f t="shared" si="125"/>
        <v>No</v>
      </c>
      <c r="U247" t="s">
        <v>104</v>
      </c>
      <c r="V247" s="19" t="s">
        <v>120</v>
      </c>
      <c r="W247" t="str">
        <f>O248</f>
        <v>No</v>
      </c>
      <c r="X247" t="str">
        <f>IF(V247="N/A","N/A",IF(W247="N/A", "N/A", IF(V247=W247, "Yes","No")))</f>
        <v>N/A</v>
      </c>
    </row>
    <row r="248" spans="1:32" x14ac:dyDescent="0.2">
      <c r="J248" s="2" t="s">
        <v>34</v>
      </c>
      <c r="K248">
        <v>2.5</v>
      </c>
      <c r="L248" t="s">
        <v>12</v>
      </c>
      <c r="M248" t="s">
        <v>210</v>
      </c>
      <c r="N248" t="str">
        <f>IF(K248="N/A","No", IF(K248&gt;230,"Yes","No"))</f>
        <v>No</v>
      </c>
      <c r="O248" t="str">
        <f>IF(K248="Not","No",IF(K248="n/a","N/A",IF(K248&gt;$Y$5,"Yes","No")))</f>
        <v>No</v>
      </c>
      <c r="U248" t="s">
        <v>106</v>
      </c>
      <c r="V248" t="str">
        <f>R243</f>
        <v>Yes</v>
      </c>
      <c r="W248" s="14" t="str">
        <f>S243</f>
        <v>No</v>
      </c>
      <c r="X248" t="str">
        <f>IF(V248="N/A","N/A",IF(W248="N/A", "N/A", IF(V248=W248, "Yes","No")))</f>
        <v>No</v>
      </c>
    </row>
    <row r="249" spans="1:32" x14ac:dyDescent="0.2">
      <c r="J249" s="2" t="s">
        <v>208</v>
      </c>
      <c r="K249">
        <v>26.5</v>
      </c>
      <c r="L249" t="s">
        <v>12</v>
      </c>
      <c r="M249" t="s">
        <v>223</v>
      </c>
      <c r="N249" t="str">
        <f>IF(K249="N/A","No", IF(K249&gt;20,"Yes","No"))</f>
        <v>Yes</v>
      </c>
      <c r="O249" t="str">
        <f>IF(K249="Not","No",IF(K249="n/a","N/A",IF(K249&gt;$Y$7,"Yes","No")))</f>
        <v>No</v>
      </c>
      <c r="U249" t="s">
        <v>121</v>
      </c>
      <c r="V249" t="str">
        <f>R244</f>
        <v>Yes</v>
      </c>
      <c r="W249" t="str">
        <f>S244</f>
        <v>No</v>
      </c>
      <c r="X249" t="str">
        <f>IF(V249="N/A","N/A",IF(W249="N/A", "N/A", IF(V249=W249, "Yes","No")))</f>
        <v>No</v>
      </c>
    </row>
    <row r="251" spans="1:32" x14ac:dyDescent="0.2">
      <c r="A251" s="1">
        <f>VLOOKUP(C251,'Grid - LRA Samples'!$A$2:$B$108, 2,FALSE)</f>
        <v>1152</v>
      </c>
      <c r="B251" t="s">
        <v>111</v>
      </c>
      <c r="C251">
        <v>31</v>
      </c>
    </row>
    <row r="252" spans="1:32" x14ac:dyDescent="0.2">
      <c r="A252" s="5" t="s">
        <v>0</v>
      </c>
      <c r="E252" s="2" t="s">
        <v>274</v>
      </c>
      <c r="F252" s="2" t="s">
        <v>275</v>
      </c>
      <c r="G252" t="s">
        <v>119</v>
      </c>
      <c r="J252" s="5" t="s">
        <v>1</v>
      </c>
      <c r="N252" s="2" t="s">
        <v>277</v>
      </c>
      <c r="O252" t="s">
        <v>278</v>
      </c>
      <c r="Q252" s="5" t="s">
        <v>115</v>
      </c>
      <c r="R252" s="5" t="s">
        <v>0</v>
      </c>
      <c r="S252" s="5" t="s">
        <v>1</v>
      </c>
      <c r="U252" s="5" t="s">
        <v>115</v>
      </c>
      <c r="V252" s="5" t="s">
        <v>0</v>
      </c>
      <c r="W252" s="5" t="s">
        <v>1</v>
      </c>
      <c r="X252" s="5" t="s">
        <v>122</v>
      </c>
      <c r="AA252" t="str">
        <f>IF(R253="Yes","LRA-Soil","")</f>
        <v>LRA-Soil</v>
      </c>
      <c r="AB252" t="str">
        <f>IF(R254="Yes","LRA-Paint","")</f>
        <v>LRA-Paint</v>
      </c>
      <c r="AC252" t="str">
        <f>IF(R255="Yes","LRA-Dust","")</f>
        <v/>
      </c>
      <c r="AD252" t="str">
        <f>IF(S253="Yes","LSK-Soil","")</f>
        <v>LSK-Soil</v>
      </c>
      <c r="AE252" t="str">
        <f>IF(S254="Yes","LSK-Paint","")</f>
        <v>LSK-Paint</v>
      </c>
      <c r="AF252" t="str">
        <f>IF(S255="Yes","LSK-Dust","")</f>
        <v/>
      </c>
    </row>
    <row r="253" spans="1:32" x14ac:dyDescent="0.2">
      <c r="A253" t="s">
        <v>185</v>
      </c>
      <c r="B253" t="s">
        <v>217</v>
      </c>
      <c r="C253">
        <v>31.1</v>
      </c>
      <c r="D253" t="s">
        <v>4</v>
      </c>
      <c r="E253" t="s">
        <v>5</v>
      </c>
      <c r="F253" s="2" t="str">
        <f t="shared" ref="F253" si="126">IF(C253&gt;=$W$2,"Yes","No")</f>
        <v>Yes</v>
      </c>
      <c r="G253" t="s">
        <v>5</v>
      </c>
      <c r="H253" t="s">
        <v>46</v>
      </c>
      <c r="J253" s="2" t="s">
        <v>6</v>
      </c>
      <c r="K253">
        <v>58.9</v>
      </c>
      <c r="L253" t="s">
        <v>12</v>
      </c>
      <c r="M253" t="s">
        <v>114</v>
      </c>
      <c r="N253" t="str">
        <f>IF(K253="N/A","No", IF(K253&gt;1200,"Yes","No"))</f>
        <v>No</v>
      </c>
      <c r="O253" t="str">
        <f t="shared" ref="O253:O255" si="127">IF(K253="Not","No",IF(K253="n/a","N/A",IF(K253&gt;$Y$3,"Yes","No")))</f>
        <v>No</v>
      </c>
      <c r="Q253" s="2" t="s">
        <v>116</v>
      </c>
      <c r="R253" t="str">
        <f>_xlfn.XLOOKUP("mg/Kg",D253:D256,F253:F256,"N/A")</f>
        <v>Yes</v>
      </c>
      <c r="S253" t="str">
        <f>IF(COUNTIF(O253:O255,"Yes"),"Yes","No")</f>
        <v>Yes</v>
      </c>
      <c r="U253" t="s">
        <v>92</v>
      </c>
      <c r="V253" t="s">
        <v>120</v>
      </c>
      <c r="W253" t="s">
        <v>120</v>
      </c>
      <c r="X253" t="str">
        <f>IF(V253="N/A","N/A",IF(W253="N/A", "N/A", IF(V253=W253, "Yes","No")))</f>
        <v>N/A</v>
      </c>
    </row>
    <row r="254" spans="1:32" x14ac:dyDescent="0.2">
      <c r="A254" t="s">
        <v>200</v>
      </c>
      <c r="B254" t="s">
        <v>286</v>
      </c>
      <c r="C254">
        <v>1640</v>
      </c>
      <c r="D254" t="s">
        <v>37</v>
      </c>
      <c r="E254" t="s">
        <v>5</v>
      </c>
      <c r="F254" s="2" t="str">
        <f>IF(C254&gt;$W$3,"Yes","No")</f>
        <v>Yes</v>
      </c>
      <c r="G254" t="s">
        <v>5</v>
      </c>
      <c r="J254" s="2" t="s">
        <v>11</v>
      </c>
      <c r="K254">
        <v>30.7</v>
      </c>
      <c r="L254" t="s">
        <v>12</v>
      </c>
      <c r="M254" t="s">
        <v>67</v>
      </c>
      <c r="N254" t="str">
        <f t="shared" ref="N254:N255" si="128">IF(K254="N/A","No", IF(K254&gt;1200,"Yes","No"))</f>
        <v>No</v>
      </c>
      <c r="O254" t="str">
        <f t="shared" si="127"/>
        <v>No</v>
      </c>
      <c r="Q254" s="2" t="s">
        <v>98</v>
      </c>
      <c r="R254" t="str">
        <f>_xlfn.XLOOKUP("mg/cm2",D253:D266,G253:G266,"N/A")</f>
        <v>Yes</v>
      </c>
      <c r="S254" t="str">
        <f>IF(COUNTIF(O256:O257,"Yes"),"Yes","No")</f>
        <v>Yes</v>
      </c>
      <c r="U254" t="s">
        <v>95</v>
      </c>
      <c r="V254" t="str">
        <f>R253</f>
        <v>Yes</v>
      </c>
      <c r="W254" t="str">
        <f>S253</f>
        <v>Yes</v>
      </c>
      <c r="X254" t="str">
        <f t="shared" ref="X254:X257" si="129">IF(V254="N/A","N/A",IF(W254="N/A", "N/A", IF(V254=W254, "Yes","No")))</f>
        <v>Yes</v>
      </c>
    </row>
    <row r="255" spans="1:32" x14ac:dyDescent="0.2">
      <c r="A255" t="s">
        <v>287</v>
      </c>
      <c r="B255" t="s">
        <v>221</v>
      </c>
      <c r="C255">
        <v>9.4</v>
      </c>
      <c r="D255" t="s">
        <v>4</v>
      </c>
      <c r="E255" t="s">
        <v>5</v>
      </c>
      <c r="F255" s="2" t="str">
        <f t="shared" ref="F255:F265" si="130">IF(C255&gt;=$W$2,"Yes","No")</f>
        <v>Yes</v>
      </c>
      <c r="G255" t="s">
        <v>5</v>
      </c>
      <c r="H255" t="s">
        <v>43</v>
      </c>
      <c r="J255" s="2" t="s">
        <v>15</v>
      </c>
      <c r="K255">
        <v>459</v>
      </c>
      <c r="L255" t="s">
        <v>12</v>
      </c>
      <c r="M255" t="s">
        <v>112</v>
      </c>
      <c r="N255" t="str">
        <f t="shared" si="128"/>
        <v>No</v>
      </c>
      <c r="O255" t="str">
        <f t="shared" si="127"/>
        <v>Yes</v>
      </c>
      <c r="Q255" s="2" t="s">
        <v>117</v>
      </c>
      <c r="R255" s="30" t="s">
        <v>9</v>
      </c>
      <c r="S255" t="str">
        <f>IF(COUNTIF(O258:O261,"Yes"),"Yes","No")</f>
        <v>No</v>
      </c>
      <c r="U255" t="s">
        <v>163</v>
      </c>
      <c r="V255" t="s">
        <v>5</v>
      </c>
      <c r="W255" t="str">
        <f>O257</f>
        <v>No</v>
      </c>
      <c r="X255" t="str">
        <f t="shared" si="129"/>
        <v>No</v>
      </c>
    </row>
    <row r="256" spans="1:32" x14ac:dyDescent="0.2">
      <c r="A256" t="s">
        <v>287</v>
      </c>
      <c r="B256" t="s">
        <v>236</v>
      </c>
      <c r="C256">
        <v>32.9</v>
      </c>
      <c r="D256" t="s">
        <v>4</v>
      </c>
      <c r="E256" t="s">
        <v>5</v>
      </c>
      <c r="F256" s="2" t="str">
        <f t="shared" si="130"/>
        <v>Yes</v>
      </c>
      <c r="G256" t="s">
        <v>5</v>
      </c>
      <c r="H256" t="s">
        <v>43</v>
      </c>
      <c r="J256" s="2" t="s">
        <v>19</v>
      </c>
      <c r="K256">
        <v>18072</v>
      </c>
      <c r="L256" t="s">
        <v>12</v>
      </c>
      <c r="M256" t="s">
        <v>46</v>
      </c>
      <c r="N256" t="str">
        <f>IF(K256="N/A","No", IF(K256&gt;5000,"Yes","No"))</f>
        <v>Yes</v>
      </c>
      <c r="O256" t="str">
        <f>IF(K256="Not","No",IF(K256="n/a","N/A",IF(K256&gt;$Y$2,"Yes","No")))</f>
        <v>Yes</v>
      </c>
      <c r="Q256" s="2" t="s">
        <v>118</v>
      </c>
      <c r="R256" t="str">
        <f>IF(COUNTIF(R253:R255,"Yes"),"Yes","No")</f>
        <v>Yes</v>
      </c>
      <c r="S256" t="str">
        <f>IF(COUNTIF(S253:S255,"Yes"),"Yes","No")</f>
        <v>Yes</v>
      </c>
      <c r="U256" t="s">
        <v>164</v>
      </c>
      <c r="V256" t="s">
        <v>5</v>
      </c>
      <c r="W256" t="str">
        <f>O256</f>
        <v>Yes</v>
      </c>
      <c r="X256" t="str">
        <f t="shared" si="129"/>
        <v>Yes</v>
      </c>
    </row>
    <row r="257" spans="1:32" x14ac:dyDescent="0.2">
      <c r="A257" t="s">
        <v>213</v>
      </c>
      <c r="B257" t="s">
        <v>238</v>
      </c>
      <c r="C257">
        <v>10.8</v>
      </c>
      <c r="D257" t="s">
        <v>4</v>
      </c>
      <c r="E257" t="s">
        <v>5</v>
      </c>
      <c r="F257" s="2" t="str">
        <f t="shared" si="130"/>
        <v>Yes</v>
      </c>
      <c r="G257" t="s">
        <v>5</v>
      </c>
      <c r="H257" t="s">
        <v>43</v>
      </c>
      <c r="J257" s="2" t="s">
        <v>22</v>
      </c>
      <c r="K257">
        <v>573</v>
      </c>
      <c r="L257" t="s">
        <v>12</v>
      </c>
      <c r="M257" t="s">
        <v>43</v>
      </c>
      <c r="N257" t="str">
        <f>IF(K257="N/A","No", IF(K257&gt;5000,"Yes","No"))</f>
        <v>No</v>
      </c>
      <c r="O257" t="str">
        <f>IF(K257="Not","No",IF(K257="n/a","N/A",IF(K257&gt;$Y$2,"Yes","No")))</f>
        <v>No</v>
      </c>
      <c r="U257" t="s">
        <v>162</v>
      </c>
      <c r="V257" t="str">
        <f>R254</f>
        <v>Yes</v>
      </c>
      <c r="W257" t="str">
        <f>S254</f>
        <v>Yes</v>
      </c>
      <c r="X257" t="str">
        <f t="shared" si="129"/>
        <v>Yes</v>
      </c>
    </row>
    <row r="258" spans="1:32" x14ac:dyDescent="0.2">
      <c r="A258" t="s">
        <v>213</v>
      </c>
      <c r="B258" t="s">
        <v>236</v>
      </c>
      <c r="C258">
        <v>10.5</v>
      </c>
      <c r="D258" t="s">
        <v>4</v>
      </c>
      <c r="E258" t="s">
        <v>5</v>
      </c>
      <c r="F258" s="2" t="str">
        <f t="shared" si="130"/>
        <v>Yes</v>
      </c>
      <c r="G258" t="s">
        <v>9</v>
      </c>
      <c r="H258" t="s">
        <v>43</v>
      </c>
      <c r="J258" s="2" t="s">
        <v>25</v>
      </c>
      <c r="K258">
        <v>4</v>
      </c>
      <c r="L258" t="s">
        <v>12</v>
      </c>
      <c r="M258" t="s">
        <v>126</v>
      </c>
      <c r="N258" t="str">
        <f>IF(K258="N/A","No", IF(K258&gt;20,"Yes","No"))</f>
        <v>No</v>
      </c>
      <c r="O258" t="str">
        <f t="shared" ref="O258:O259" si="131">IF(K258="Not","No",IF(K258="n/a","N/A",IF(K258&gt;$Y$6,"Yes","No")))</f>
        <v>No</v>
      </c>
      <c r="U258" t="s">
        <v>101</v>
      </c>
      <c r="V258" t="s">
        <v>9</v>
      </c>
      <c r="W258" t="s">
        <v>9</v>
      </c>
      <c r="X258" t="str">
        <f>IF(V258="N/A","N/A",IF(W258="N/A", "N/A", IF(V258=W258, "Yes","No")))</f>
        <v>Yes</v>
      </c>
    </row>
    <row r="259" spans="1:32" x14ac:dyDescent="0.2">
      <c r="A259" t="s">
        <v>213</v>
      </c>
      <c r="B259" t="s">
        <v>211</v>
      </c>
      <c r="C259">
        <v>5.8</v>
      </c>
      <c r="D259" t="s">
        <v>4</v>
      </c>
      <c r="E259" t="s">
        <v>5</v>
      </c>
      <c r="F259" s="2" t="str">
        <f t="shared" si="130"/>
        <v>Yes</v>
      </c>
      <c r="G259" t="s">
        <v>5</v>
      </c>
      <c r="H259" t="s">
        <v>43</v>
      </c>
      <c r="J259" s="2" t="s">
        <v>29</v>
      </c>
      <c r="K259">
        <v>10</v>
      </c>
      <c r="L259" t="s">
        <v>12</v>
      </c>
      <c r="M259" t="s">
        <v>222</v>
      </c>
      <c r="N259" t="str">
        <f>IF(K259="N/A","No", IF(K259&gt;20,"Yes","No"))</f>
        <v>No</v>
      </c>
      <c r="O259" t="str">
        <f t="shared" si="131"/>
        <v>No</v>
      </c>
      <c r="U259" t="s">
        <v>104</v>
      </c>
      <c r="V259" t="s">
        <v>120</v>
      </c>
      <c r="W259" t="str">
        <f>O260</f>
        <v>No</v>
      </c>
      <c r="X259" t="str">
        <f>IF(V259="N/A","N/A",IF(W259="N/A", "N/A", IF(V259=W259, "Yes","No")))</f>
        <v>N/A</v>
      </c>
    </row>
    <row r="260" spans="1:32" x14ac:dyDescent="0.2">
      <c r="A260" t="s">
        <v>212</v>
      </c>
      <c r="B260" t="s">
        <v>238</v>
      </c>
      <c r="C260">
        <v>8.4</v>
      </c>
      <c r="D260" t="s">
        <v>4</v>
      </c>
      <c r="E260" t="s">
        <v>5</v>
      </c>
      <c r="F260" s="2" t="str">
        <f t="shared" si="130"/>
        <v>Yes</v>
      </c>
      <c r="G260" t="s">
        <v>5</v>
      </c>
      <c r="H260" t="s">
        <v>43</v>
      </c>
      <c r="J260" s="2" t="s">
        <v>34</v>
      </c>
      <c r="K260">
        <v>2.5</v>
      </c>
      <c r="L260" t="s">
        <v>12</v>
      </c>
      <c r="M260" t="s">
        <v>210</v>
      </c>
      <c r="N260" t="str">
        <f>IF(K260="N/A","No", IF(K260&gt;230,"Yes","No"))</f>
        <v>No</v>
      </c>
      <c r="O260" t="str">
        <f>IF(K260="Not","No",IF(K260="n/a","N/A",IF(K260&gt;$Y$5,"Yes","No")))</f>
        <v>No</v>
      </c>
      <c r="U260" t="s">
        <v>106</v>
      </c>
      <c r="V260" t="str">
        <f>R255</f>
        <v>No</v>
      </c>
      <c r="W260" t="str">
        <f>S255</f>
        <v>No</v>
      </c>
      <c r="X260" t="str">
        <f>IF(V260="N/A","N/A",IF(W260="N/A", "N/A", IF(V260=W260, "Yes","No")))</f>
        <v>Yes</v>
      </c>
    </row>
    <row r="261" spans="1:32" x14ac:dyDescent="0.2">
      <c r="A261" t="s">
        <v>212</v>
      </c>
      <c r="B261" t="s">
        <v>221</v>
      </c>
      <c r="C261">
        <v>7.7</v>
      </c>
      <c r="D261" t="s">
        <v>4</v>
      </c>
      <c r="E261" t="s">
        <v>5</v>
      </c>
      <c r="F261" s="2" t="str">
        <f t="shared" si="130"/>
        <v>Yes</v>
      </c>
      <c r="G261" t="s">
        <v>9</v>
      </c>
      <c r="H261" t="s">
        <v>43</v>
      </c>
      <c r="J261" s="2" t="s">
        <v>208</v>
      </c>
      <c r="K261">
        <v>89</v>
      </c>
      <c r="L261" t="s">
        <v>12</v>
      </c>
      <c r="M261" t="s">
        <v>223</v>
      </c>
      <c r="N261" t="str">
        <f>IF(K261="N/A","No", IF(K261&gt;20,"Yes","No"))</f>
        <v>Yes</v>
      </c>
      <c r="O261" t="str">
        <f>IF(K261="Not","No",IF(K261="n/a","N/A",IF(K261&gt;$Y$7,"Yes","No")))</f>
        <v>No</v>
      </c>
      <c r="U261" t="s">
        <v>121</v>
      </c>
      <c r="V261" t="str">
        <f>R256</f>
        <v>Yes</v>
      </c>
      <c r="W261" t="str">
        <f>S256</f>
        <v>Yes</v>
      </c>
      <c r="X261" t="str">
        <f>IF(V261="N/A","N/A",IF(W261="N/A", "N/A", IF(V261=W261, "Yes","No")))</f>
        <v>Yes</v>
      </c>
    </row>
    <row r="262" spans="1:32" x14ac:dyDescent="0.2">
      <c r="A262" t="s">
        <v>212</v>
      </c>
      <c r="B262" t="s">
        <v>211</v>
      </c>
      <c r="C262">
        <v>5.4</v>
      </c>
      <c r="D262" t="s">
        <v>4</v>
      </c>
      <c r="E262" t="s">
        <v>5</v>
      </c>
      <c r="F262" s="2" t="str">
        <f t="shared" si="130"/>
        <v>Yes</v>
      </c>
      <c r="G262" t="s">
        <v>9</v>
      </c>
      <c r="H262" t="s">
        <v>43</v>
      </c>
    </row>
    <row r="263" spans="1:32" x14ac:dyDescent="0.2">
      <c r="A263" t="s">
        <v>249</v>
      </c>
      <c r="B263" t="s">
        <v>236</v>
      </c>
      <c r="C263">
        <v>6.9</v>
      </c>
      <c r="D263" t="s">
        <v>4</v>
      </c>
      <c r="E263" t="s">
        <v>5</v>
      </c>
      <c r="F263" s="2" t="str">
        <f t="shared" si="130"/>
        <v>Yes</v>
      </c>
      <c r="G263" t="s">
        <v>5</v>
      </c>
      <c r="H263" t="s">
        <v>43</v>
      </c>
    </row>
    <row r="264" spans="1:32" x14ac:dyDescent="0.2">
      <c r="A264" t="s">
        <v>249</v>
      </c>
      <c r="B264" t="s">
        <v>211</v>
      </c>
      <c r="C264">
        <v>10.5</v>
      </c>
      <c r="D264" t="s">
        <v>4</v>
      </c>
      <c r="E264" t="s">
        <v>5</v>
      </c>
      <c r="F264" s="2" t="str">
        <f t="shared" si="130"/>
        <v>Yes</v>
      </c>
      <c r="G264" t="s">
        <v>5</v>
      </c>
      <c r="H264" t="s">
        <v>43</v>
      </c>
    </row>
    <row r="265" spans="1:32" x14ac:dyDescent="0.2">
      <c r="A265" t="s">
        <v>249</v>
      </c>
      <c r="B265" t="s">
        <v>211</v>
      </c>
      <c r="C265">
        <v>7.8</v>
      </c>
      <c r="D265" t="s">
        <v>4</v>
      </c>
      <c r="E265" t="s">
        <v>5</v>
      </c>
      <c r="F265" s="2" t="str">
        <f t="shared" si="130"/>
        <v>Yes</v>
      </c>
      <c r="G265" t="s">
        <v>5</v>
      </c>
      <c r="H265" t="s">
        <v>43</v>
      </c>
    </row>
    <row r="266" spans="1:32" x14ac:dyDescent="0.2">
      <c r="A266" t="s">
        <v>201</v>
      </c>
      <c r="B266" t="s">
        <v>214</v>
      </c>
      <c r="C266">
        <v>3</v>
      </c>
      <c r="D266" t="s">
        <v>33</v>
      </c>
      <c r="E266" t="s">
        <v>9</v>
      </c>
      <c r="F266" s="2" t="str">
        <f>IF(C266&gt;$W$6,"Yes","No")</f>
        <v>No</v>
      </c>
      <c r="G266" t="s">
        <v>9</v>
      </c>
    </row>
    <row r="269" spans="1:32" x14ac:dyDescent="0.2">
      <c r="A269" s="1">
        <f>VLOOKUP(C269,'Grid - LRA Samples'!$A$2:$B$108, 2,FALSE)</f>
        <v>1153</v>
      </c>
      <c r="B269" t="s">
        <v>111</v>
      </c>
      <c r="C269">
        <v>32</v>
      </c>
    </row>
    <row r="270" spans="1:32" x14ac:dyDescent="0.2">
      <c r="A270" s="5" t="s">
        <v>0</v>
      </c>
      <c r="E270" s="2" t="s">
        <v>274</v>
      </c>
      <c r="F270" s="2" t="s">
        <v>275</v>
      </c>
      <c r="G270" t="s">
        <v>119</v>
      </c>
      <c r="J270" s="5" t="s">
        <v>1</v>
      </c>
      <c r="N270" s="2" t="s">
        <v>277</v>
      </c>
      <c r="O270" t="s">
        <v>278</v>
      </c>
      <c r="Q270" s="5" t="s">
        <v>115</v>
      </c>
      <c r="R270" s="5" t="s">
        <v>0</v>
      </c>
      <c r="S270" s="5" t="s">
        <v>1</v>
      </c>
      <c r="U270" s="5" t="s">
        <v>115</v>
      </c>
      <c r="V270" s="5" t="s">
        <v>0</v>
      </c>
      <c r="W270" s="5" t="s">
        <v>1</v>
      </c>
      <c r="X270" s="5" t="s">
        <v>122</v>
      </c>
      <c r="AA270" t="str">
        <f>IF(R271="Yes","LRA-Soil","")</f>
        <v>LRA-Soil</v>
      </c>
      <c r="AB270" t="str">
        <f>IF(R272="Yes","LRA-Paint","")</f>
        <v/>
      </c>
      <c r="AC270" t="str">
        <f>IF(R273="Yes","LRA-Dust","")</f>
        <v>LRA-Dust</v>
      </c>
      <c r="AD270" t="str">
        <f>IF(S271="Yes","LSK-Soil","")</f>
        <v>LSK-Soil</v>
      </c>
      <c r="AE270" t="str">
        <f>IF(S272="Yes","LSK-Paint","")</f>
        <v/>
      </c>
      <c r="AF270" t="str">
        <f>IF(S273="Yes","LSK-Dust","")</f>
        <v>LSK-Dust</v>
      </c>
    </row>
    <row r="271" spans="1:32" x14ac:dyDescent="0.2">
      <c r="A271" t="s">
        <v>185</v>
      </c>
      <c r="B271" t="s">
        <v>217</v>
      </c>
      <c r="C271">
        <v>0</v>
      </c>
      <c r="D271" t="s">
        <v>4</v>
      </c>
      <c r="E271" t="s">
        <v>9</v>
      </c>
      <c r="F271" s="2" t="str">
        <f t="shared" ref="F271" si="132">IF(C271&gt;=$W$2,"Yes","No")</f>
        <v>No</v>
      </c>
      <c r="G271" t="s">
        <v>9</v>
      </c>
      <c r="H271" t="s">
        <v>46</v>
      </c>
      <c r="J271" s="2" t="s">
        <v>6</v>
      </c>
      <c r="K271">
        <v>42.1</v>
      </c>
      <c r="L271" t="s">
        <v>12</v>
      </c>
      <c r="M271" t="s">
        <v>114</v>
      </c>
      <c r="N271" t="str">
        <f>IF(K271="N/A","No", IF(K271&gt;1200,"Yes","No"))</f>
        <v>No</v>
      </c>
      <c r="O271" t="str">
        <f t="shared" ref="O271:O273" si="133">IF(K271="Not","No",IF(K271="n/a","N/A",IF(K271&gt;$Y$3,"Yes","No")))</f>
        <v>No</v>
      </c>
      <c r="Q271" s="2" t="s">
        <v>116</v>
      </c>
      <c r="R271" t="str">
        <f>_xlfn.XLOOKUP("mg/Kg",D271:D274,F271:F274,"N/A")</f>
        <v>Yes</v>
      </c>
      <c r="S271" t="str">
        <f>IF(COUNTIF(O271:O273,"Yes"),"Yes","No")</f>
        <v>Yes</v>
      </c>
      <c r="U271" t="s">
        <v>92</v>
      </c>
      <c r="V271" t="s">
        <v>120</v>
      </c>
      <c r="W271" t="s">
        <v>120</v>
      </c>
      <c r="X271" t="str">
        <f>IF(V271="N/A","N/A",IF(W271="N/A", "N/A", IF(V271=W271, "Yes","No")))</f>
        <v>N/A</v>
      </c>
    </row>
    <row r="272" spans="1:32" x14ac:dyDescent="0.2">
      <c r="A272" t="s">
        <v>288</v>
      </c>
      <c r="B272" t="s">
        <v>286</v>
      </c>
      <c r="C272">
        <v>856</v>
      </c>
      <c r="D272" t="s">
        <v>37</v>
      </c>
      <c r="E272" t="s">
        <v>9</v>
      </c>
      <c r="F272" s="2" t="str">
        <f>IF(C272&gt;$W$3,"Yes","No")</f>
        <v>Yes</v>
      </c>
      <c r="G272" t="s">
        <v>9</v>
      </c>
      <c r="J272" s="2" t="s">
        <v>11</v>
      </c>
      <c r="K272">
        <v>42.7</v>
      </c>
      <c r="L272" t="s">
        <v>12</v>
      </c>
      <c r="M272" t="s">
        <v>67</v>
      </c>
      <c r="N272" t="str">
        <f t="shared" ref="N272:N273" si="134">IF(K272="N/A","No", IF(K272&gt;1200,"Yes","No"))</f>
        <v>No</v>
      </c>
      <c r="O272" t="str">
        <f t="shared" si="133"/>
        <v>No</v>
      </c>
      <c r="Q272" s="2" t="s">
        <v>98</v>
      </c>
      <c r="R272" t="str">
        <f>_xlfn.XLOOKUP("mg/cm2",D271:D274,G271:G274,"N/A")</f>
        <v>No</v>
      </c>
      <c r="S272" t="str">
        <f>IF(COUNTIF(O274:O275,"Yes"),"Yes","No")</f>
        <v>No</v>
      </c>
      <c r="U272" t="s">
        <v>95</v>
      </c>
      <c r="V272" t="str">
        <f>R271</f>
        <v>Yes</v>
      </c>
      <c r="W272" t="str">
        <f>S271</f>
        <v>Yes</v>
      </c>
      <c r="X272" t="str">
        <f t="shared" ref="X272:X275" si="135">IF(V272="N/A","N/A",IF(W272="N/A", "N/A", IF(V272=W272, "Yes","No")))</f>
        <v>Yes</v>
      </c>
    </row>
    <row r="273" spans="1:32" x14ac:dyDescent="0.2">
      <c r="A273" t="s">
        <v>201</v>
      </c>
      <c r="B273" t="s">
        <v>236</v>
      </c>
      <c r="C273">
        <v>0</v>
      </c>
      <c r="D273" t="s">
        <v>4</v>
      </c>
      <c r="E273" t="s">
        <v>9</v>
      </c>
      <c r="F273" s="2" t="str">
        <f t="shared" ref="F273" si="136">IF(C273&gt;=$W$2,"Yes","No")</f>
        <v>No</v>
      </c>
      <c r="G273" t="s">
        <v>9</v>
      </c>
      <c r="H273" t="s">
        <v>43</v>
      </c>
      <c r="J273" s="2" t="s">
        <v>15</v>
      </c>
      <c r="K273">
        <v>2778</v>
      </c>
      <c r="L273" t="s">
        <v>12</v>
      </c>
      <c r="M273" t="s">
        <v>112</v>
      </c>
      <c r="N273" t="str">
        <f t="shared" si="134"/>
        <v>Yes</v>
      </c>
      <c r="O273" t="str">
        <f t="shared" si="133"/>
        <v>Yes</v>
      </c>
      <c r="Q273" s="2" t="s">
        <v>117</v>
      </c>
      <c r="R273" t="str">
        <f>_xlfn.XLOOKUP("ug/ft2",D271:D274,F271:F274,"N/A")</f>
        <v>Yes</v>
      </c>
      <c r="S273" t="str">
        <f>IF(COUNTIF(O276:O283,"Yes"),"Yes","No")</f>
        <v>Yes</v>
      </c>
      <c r="U273" t="s">
        <v>163</v>
      </c>
      <c r="V273" t="s">
        <v>9</v>
      </c>
      <c r="W273" t="str">
        <f>O275</f>
        <v>No</v>
      </c>
      <c r="X273" t="str">
        <f t="shared" si="135"/>
        <v>Yes</v>
      </c>
    </row>
    <row r="274" spans="1:32" x14ac:dyDescent="0.2">
      <c r="A274" t="s">
        <v>201</v>
      </c>
      <c r="B274" t="s">
        <v>214</v>
      </c>
      <c r="C274">
        <v>24</v>
      </c>
      <c r="D274" t="s">
        <v>33</v>
      </c>
      <c r="E274" t="s">
        <v>5</v>
      </c>
      <c r="F274" s="2" t="str">
        <f>IF(C274&gt;$W$6,"Yes","No")</f>
        <v>Yes</v>
      </c>
      <c r="G274" t="s">
        <v>5</v>
      </c>
      <c r="J274" s="2" t="s">
        <v>19</v>
      </c>
      <c r="K274">
        <v>2.5</v>
      </c>
      <c r="L274" t="s">
        <v>12</v>
      </c>
      <c r="M274" t="s">
        <v>46</v>
      </c>
      <c r="N274" t="str">
        <f>IF(K274="N/A","No", IF(K274&gt;5000,"Yes","No"))</f>
        <v>No</v>
      </c>
      <c r="O274" t="str">
        <f t="shared" ref="O274:O275" si="137">IF(K274="Not","No",IF(K274="n/a","N/A",IF(K274&gt;$Y$2,"Yes","No")))</f>
        <v>No</v>
      </c>
      <c r="Q274" s="2" t="s">
        <v>118</v>
      </c>
      <c r="R274" t="str">
        <f>IF(COUNTIF(R271:R273,"Yes"),"Yes","No")</f>
        <v>Yes</v>
      </c>
      <c r="S274" t="str">
        <f>IF(COUNTIF(S271:S273,"Yes"),"Yes","No")</f>
        <v>Yes</v>
      </c>
      <c r="U274" t="s">
        <v>164</v>
      </c>
      <c r="V274" t="s">
        <v>9</v>
      </c>
      <c r="W274" t="str">
        <f>O274</f>
        <v>No</v>
      </c>
      <c r="X274" t="str">
        <f t="shared" si="135"/>
        <v>Yes</v>
      </c>
    </row>
    <row r="275" spans="1:32" x14ac:dyDescent="0.2">
      <c r="J275" s="2" t="s">
        <v>22</v>
      </c>
      <c r="K275">
        <v>20</v>
      </c>
      <c r="L275" t="s">
        <v>12</v>
      </c>
      <c r="M275" t="s">
        <v>43</v>
      </c>
      <c r="N275" t="str">
        <f>IF(K275="N/A","No", IF(K275&gt;5000,"Yes","No"))</f>
        <v>No</v>
      </c>
      <c r="O275" t="str">
        <f t="shared" si="137"/>
        <v>No</v>
      </c>
      <c r="U275" t="s">
        <v>162</v>
      </c>
      <c r="V275" t="str">
        <f>R272</f>
        <v>No</v>
      </c>
      <c r="W275" t="str">
        <f>S272</f>
        <v>No</v>
      </c>
      <c r="X275" t="str">
        <f t="shared" si="135"/>
        <v>Yes</v>
      </c>
    </row>
    <row r="276" spans="1:32" x14ac:dyDescent="0.2">
      <c r="J276" s="2" t="s">
        <v>25</v>
      </c>
      <c r="K276">
        <v>93</v>
      </c>
      <c r="L276" t="s">
        <v>12</v>
      </c>
      <c r="M276" t="s">
        <v>126</v>
      </c>
      <c r="N276" t="str">
        <f>IF(K276="N/A","No", IF(K276&gt;20,"Yes","No"))</f>
        <v>Yes</v>
      </c>
      <c r="O276" t="str">
        <f t="shared" ref="O276:O277" si="138">IF(K276="Not","No",IF(K276="n/a","N/A",IF(K276&gt;$Y$6,"Yes","No")))</f>
        <v>Yes</v>
      </c>
      <c r="U276" t="s">
        <v>101</v>
      </c>
      <c r="V276" t="s">
        <v>5</v>
      </c>
      <c r="W276" t="s">
        <v>5</v>
      </c>
      <c r="X276" t="str">
        <f>IF(V276="N/A","N/A",IF(W276="N/A", "N/A", IF(V276=W276, "Yes","No")))</f>
        <v>Yes</v>
      </c>
    </row>
    <row r="277" spans="1:32" x14ac:dyDescent="0.2">
      <c r="J277" s="2" t="s">
        <v>29</v>
      </c>
      <c r="K277">
        <v>8</v>
      </c>
      <c r="L277" t="s">
        <v>12</v>
      </c>
      <c r="M277" t="s">
        <v>222</v>
      </c>
      <c r="N277" t="str">
        <f>IF(K277="N/A","No", IF(K277&gt;20,"Yes","No"))</f>
        <v>No</v>
      </c>
      <c r="O277" t="str">
        <f t="shared" si="138"/>
        <v>No</v>
      </c>
      <c r="U277" t="s">
        <v>104</v>
      </c>
      <c r="V277" t="s">
        <v>120</v>
      </c>
      <c r="W277" t="str">
        <f>O278</f>
        <v>No</v>
      </c>
      <c r="X277" t="str">
        <f>IF(V277="N/A","N/A",IF(W277="N/A", "N/A", IF(V277=W277, "Yes","No")))</f>
        <v>N/A</v>
      </c>
    </row>
    <row r="278" spans="1:32" x14ac:dyDescent="0.2">
      <c r="J278" s="2" t="s">
        <v>34</v>
      </c>
      <c r="K278">
        <v>2.5</v>
      </c>
      <c r="L278" t="s">
        <v>12</v>
      </c>
      <c r="M278" t="s">
        <v>210</v>
      </c>
      <c r="N278" t="str">
        <f>IF(K278="N/A","No", IF(K278&gt;230,"Yes","No"))</f>
        <v>No</v>
      </c>
      <c r="O278" t="str">
        <f>IF(K278="Not","No",IF(K278="n/a","N/A",IF(K278&gt;$Y$5,"Yes","No")))</f>
        <v>No</v>
      </c>
      <c r="U278" t="s">
        <v>106</v>
      </c>
      <c r="V278" t="str">
        <f>R273</f>
        <v>Yes</v>
      </c>
      <c r="W278" t="str">
        <f>S273</f>
        <v>Yes</v>
      </c>
      <c r="X278" t="str">
        <f>IF(V278="N/A","N/A",IF(W278="N/A", "N/A", IF(V278=W278, "Yes","No")))</f>
        <v>Yes</v>
      </c>
    </row>
    <row r="279" spans="1:32" x14ac:dyDescent="0.2">
      <c r="J279" s="2" t="s">
        <v>208</v>
      </c>
      <c r="K279">
        <v>237</v>
      </c>
      <c r="L279" t="s">
        <v>12</v>
      </c>
      <c r="M279" t="s">
        <v>223</v>
      </c>
      <c r="N279" t="str">
        <f>IF(K279="N/A","No", IF(K279&gt;20,"Yes","No"))</f>
        <v>Yes</v>
      </c>
      <c r="O279" t="str">
        <f>IF(K279="Not","No",IF(K279="n/a","N/A",IF(K279&gt;$Y$7,"Yes","No")))</f>
        <v>No</v>
      </c>
      <c r="U279" t="s">
        <v>121</v>
      </c>
      <c r="V279" t="str">
        <f>R274</f>
        <v>Yes</v>
      </c>
      <c r="W279" t="str">
        <f>S274</f>
        <v>Yes</v>
      </c>
      <c r="X279" t="str">
        <f>IF(V279="N/A","N/A",IF(W279="N/A", "N/A", IF(V279=W279, "Yes","No")))</f>
        <v>Yes</v>
      </c>
    </row>
    <row r="280" spans="1:32" x14ac:dyDescent="0.2">
      <c r="J280" s="2"/>
    </row>
    <row r="281" spans="1:32" x14ac:dyDescent="0.2">
      <c r="A281" s="1">
        <f>VLOOKUP(C281,'Grid - LRA Samples'!$A$2:$B$108, 2,FALSE)</f>
        <v>1154</v>
      </c>
      <c r="B281" t="s">
        <v>111</v>
      </c>
      <c r="C281">
        <v>33</v>
      </c>
    </row>
    <row r="282" spans="1:32" x14ac:dyDescent="0.2">
      <c r="A282" s="5" t="s">
        <v>0</v>
      </c>
      <c r="E282" s="2" t="s">
        <v>274</v>
      </c>
      <c r="F282" s="2" t="s">
        <v>275</v>
      </c>
      <c r="G282" t="s">
        <v>119</v>
      </c>
      <c r="J282" s="5" t="s">
        <v>1</v>
      </c>
      <c r="N282" s="2" t="s">
        <v>277</v>
      </c>
      <c r="O282" t="s">
        <v>278</v>
      </c>
      <c r="Q282" s="5" t="s">
        <v>115</v>
      </c>
      <c r="R282" s="5" t="s">
        <v>0</v>
      </c>
      <c r="S282" s="5" t="s">
        <v>1</v>
      </c>
      <c r="U282" s="5" t="s">
        <v>115</v>
      </c>
      <c r="V282" s="5" t="s">
        <v>0</v>
      </c>
      <c r="W282" s="5" t="s">
        <v>1</v>
      </c>
      <c r="X282" s="5" t="s">
        <v>122</v>
      </c>
      <c r="AA282" t="str">
        <f>IF(R283="Yes","LRA-Soil","")</f>
        <v/>
      </c>
      <c r="AB282" t="str">
        <f>IF(R284="Yes","LRA-Paint","")</f>
        <v>LRA-Paint</v>
      </c>
      <c r="AC282" t="str">
        <f>IF(R285="Yes","LRA-Dust","")</f>
        <v/>
      </c>
      <c r="AD282" t="str">
        <f>IF(S283="Yes","LSK-Soil","")</f>
        <v/>
      </c>
      <c r="AE282" t="str">
        <f>IF(S284="Yes","LSK-Paint","")</f>
        <v>LSK-Paint</v>
      </c>
      <c r="AF282" t="str">
        <f>IF(S285="Yes","LSK-Dust","")</f>
        <v/>
      </c>
    </row>
    <row r="283" spans="1:32" x14ac:dyDescent="0.2">
      <c r="A283" t="s">
        <v>185</v>
      </c>
      <c r="B283" t="s">
        <v>220</v>
      </c>
      <c r="C283">
        <v>13.5</v>
      </c>
      <c r="D283" t="s">
        <v>4</v>
      </c>
      <c r="E283" t="s">
        <v>5</v>
      </c>
      <c r="F283" s="2" t="str">
        <f t="shared" ref="F283:F284" si="139">IF(C283&gt;=$W$2,"Yes","No")</f>
        <v>Yes</v>
      </c>
      <c r="G283" t="s">
        <v>5</v>
      </c>
      <c r="H283" t="s">
        <v>46</v>
      </c>
      <c r="J283" s="2" t="s">
        <v>6</v>
      </c>
      <c r="K283">
        <v>41</v>
      </c>
      <c r="L283" t="s">
        <v>12</v>
      </c>
      <c r="M283" t="s">
        <v>114</v>
      </c>
      <c r="N283" t="str">
        <f>IF(K283="N/A","No", IF(K283&gt;1200,"Yes","No"))</f>
        <v>No</v>
      </c>
      <c r="O283" t="str">
        <f t="shared" ref="O283:O285" si="140">IF(K283="Not","No",IF(K283="n/a","N/A",IF(K283&gt;$Y$3,"Yes","No")))</f>
        <v>No</v>
      </c>
      <c r="Q283" s="2" t="s">
        <v>116</v>
      </c>
      <c r="R283" t="str">
        <f>_xlfn.XLOOKUP("mg/Kg",D283:D288,F283:F288,"N/A")</f>
        <v>No</v>
      </c>
      <c r="S283" t="str">
        <f>IF(COUNTIF(O283:O285,"Yes"),"Yes","No")</f>
        <v>No</v>
      </c>
      <c r="U283" t="s">
        <v>92</v>
      </c>
      <c r="V283" t="s">
        <v>120</v>
      </c>
      <c r="W283" t="s">
        <v>120</v>
      </c>
      <c r="X283" t="str">
        <f>IF(V283="N/A","N/A",IF(W283="N/A", "N/A", IF(V283=W283, "Yes","No")))</f>
        <v>N/A</v>
      </c>
    </row>
    <row r="284" spans="1:32" x14ac:dyDescent="0.2">
      <c r="A284" t="s">
        <v>185</v>
      </c>
      <c r="B284" t="s">
        <v>211</v>
      </c>
      <c r="C284">
        <v>14</v>
      </c>
      <c r="D284" t="s">
        <v>4</v>
      </c>
      <c r="E284" t="s">
        <v>5</v>
      </c>
      <c r="F284" s="2" t="str">
        <f t="shared" si="139"/>
        <v>Yes</v>
      </c>
      <c r="G284" t="s">
        <v>5</v>
      </c>
      <c r="H284" t="s">
        <v>46</v>
      </c>
      <c r="J284" s="2" t="s">
        <v>11</v>
      </c>
      <c r="K284">
        <v>12.1</v>
      </c>
      <c r="L284" t="s">
        <v>12</v>
      </c>
      <c r="M284" t="s">
        <v>67</v>
      </c>
      <c r="N284" t="str">
        <f t="shared" ref="N284:N285" si="141">IF(K284="N/A","No", IF(K284&gt;1200,"Yes","No"))</f>
        <v>No</v>
      </c>
      <c r="O284" t="str">
        <f t="shared" si="140"/>
        <v>No</v>
      </c>
      <c r="Q284" s="2" t="s">
        <v>98</v>
      </c>
      <c r="R284" t="str">
        <f>_xlfn.XLOOKUP("mg/cm2",D283:D288,G283:G288,"N/A")</f>
        <v>Yes</v>
      </c>
      <c r="S284" t="str">
        <f>IF(COUNTIF(O286:O287,"Yes"),"Yes","No")</f>
        <v>Yes</v>
      </c>
      <c r="U284" t="s">
        <v>95</v>
      </c>
      <c r="V284" t="str">
        <f>R283</f>
        <v>No</v>
      </c>
      <c r="W284" t="str">
        <f>S283</f>
        <v>No</v>
      </c>
      <c r="X284" t="str">
        <f t="shared" ref="X284:X287" si="142">IF(V284="N/A","N/A",IF(W284="N/A", "N/A", IF(V284=W284, "Yes","No")))</f>
        <v>Yes</v>
      </c>
    </row>
    <row r="285" spans="1:32" x14ac:dyDescent="0.2">
      <c r="A285" t="s">
        <v>200</v>
      </c>
      <c r="B285" t="s">
        <v>286</v>
      </c>
      <c r="C285">
        <v>287</v>
      </c>
      <c r="D285" t="s">
        <v>37</v>
      </c>
      <c r="E285" t="s">
        <v>9</v>
      </c>
      <c r="F285" s="2" t="str">
        <f>IF(C285&gt;$W$3,"Yes","No")</f>
        <v>No</v>
      </c>
      <c r="G285" t="s">
        <v>9</v>
      </c>
      <c r="J285" s="2" t="s">
        <v>15</v>
      </c>
      <c r="K285">
        <v>250</v>
      </c>
      <c r="L285" t="s">
        <v>12</v>
      </c>
      <c r="M285" t="s">
        <v>112</v>
      </c>
      <c r="N285" t="str">
        <f t="shared" si="141"/>
        <v>No</v>
      </c>
      <c r="O285" t="str">
        <f t="shared" si="140"/>
        <v>No</v>
      </c>
      <c r="Q285" s="2" t="s">
        <v>117</v>
      </c>
      <c r="R285" t="str">
        <f>_xlfn.XLOOKUP("ug/ft2",D283:D288,F283:F288,"N/A")</f>
        <v>No</v>
      </c>
      <c r="S285" t="str">
        <f>IF(COUNTIF(O288:O291,"Yes"),"Yes","No")</f>
        <v>No</v>
      </c>
      <c r="U285" t="s">
        <v>163</v>
      </c>
      <c r="V285" t="s">
        <v>5</v>
      </c>
      <c r="W285" t="str">
        <f>O287</f>
        <v>No</v>
      </c>
      <c r="X285" t="str">
        <f t="shared" si="142"/>
        <v>No</v>
      </c>
    </row>
    <row r="286" spans="1:32" x14ac:dyDescent="0.2">
      <c r="A286" t="s">
        <v>289</v>
      </c>
      <c r="B286" t="s">
        <v>211</v>
      </c>
      <c r="C286">
        <v>1.2</v>
      </c>
      <c r="D286" t="s">
        <v>4</v>
      </c>
      <c r="E286" t="s">
        <v>5</v>
      </c>
      <c r="F286" s="2" t="str">
        <f t="shared" ref="F286:F287" si="143">IF(C286&gt;=$W$2,"Yes","No")</f>
        <v>Yes</v>
      </c>
      <c r="G286" t="s">
        <v>5</v>
      </c>
      <c r="H286" t="s">
        <v>43</v>
      </c>
      <c r="J286" s="2" t="s">
        <v>19</v>
      </c>
      <c r="K286">
        <v>9216</v>
      </c>
      <c r="L286" t="s">
        <v>12</v>
      </c>
      <c r="M286" t="s">
        <v>46</v>
      </c>
      <c r="N286" t="str">
        <f>IF(K286="N/A","No", IF(K286&gt;5000,"Yes","No"))</f>
        <v>Yes</v>
      </c>
      <c r="O286" t="str">
        <f>IF(K286="Not","No",IF(K286="n/a","N/A",IF(K286&gt;$Y$2,"Yes","No")))</f>
        <v>Yes</v>
      </c>
      <c r="Q286" s="2" t="s">
        <v>118</v>
      </c>
      <c r="R286" t="str">
        <f>IF(COUNTIF(R283:R285,"Yes"),"Yes","No")</f>
        <v>Yes</v>
      </c>
      <c r="S286" t="str">
        <f>IF(COUNTIF(S283:S285,"Yes"),"Yes","No")</f>
        <v>Yes</v>
      </c>
      <c r="U286" t="s">
        <v>164</v>
      </c>
      <c r="V286" t="s">
        <v>5</v>
      </c>
      <c r="W286" t="str">
        <f>O286</f>
        <v>Yes</v>
      </c>
      <c r="X286" t="str">
        <f t="shared" si="142"/>
        <v>Yes</v>
      </c>
    </row>
    <row r="287" spans="1:32" x14ac:dyDescent="0.2">
      <c r="A287" t="s">
        <v>213</v>
      </c>
      <c r="B287" t="s">
        <v>211</v>
      </c>
      <c r="C287">
        <v>1</v>
      </c>
      <c r="D287" t="s">
        <v>4</v>
      </c>
      <c r="E287" t="s">
        <v>9</v>
      </c>
      <c r="F287" s="2" t="str">
        <f t="shared" si="143"/>
        <v>Yes</v>
      </c>
      <c r="G287" t="s">
        <v>5</v>
      </c>
      <c r="H287" t="s">
        <v>43</v>
      </c>
      <c r="J287" s="2" t="s">
        <v>22</v>
      </c>
      <c r="K287">
        <v>2.5</v>
      </c>
      <c r="L287" t="s">
        <v>12</v>
      </c>
      <c r="M287" t="s">
        <v>43</v>
      </c>
      <c r="N287" t="str">
        <f>IF(K287="N/A","No", IF(K287&gt;5000,"Yes","No"))</f>
        <v>No</v>
      </c>
      <c r="O287" t="str">
        <f>IF(K287="Not","No",IF(K287="n/a","N/A",IF(K287&gt;$Y$2,"Yes","No")))</f>
        <v>No</v>
      </c>
      <c r="U287" t="s">
        <v>162</v>
      </c>
      <c r="V287" t="str">
        <f>R284</f>
        <v>Yes</v>
      </c>
      <c r="W287" t="str">
        <f>S284</f>
        <v>Yes</v>
      </c>
      <c r="X287" t="str">
        <f t="shared" si="142"/>
        <v>Yes</v>
      </c>
    </row>
    <row r="288" spans="1:32" x14ac:dyDescent="0.2">
      <c r="A288" t="s">
        <v>287</v>
      </c>
      <c r="B288" t="s">
        <v>214</v>
      </c>
      <c r="C288">
        <v>3</v>
      </c>
      <c r="D288" t="s">
        <v>33</v>
      </c>
      <c r="E288" t="s">
        <v>9</v>
      </c>
      <c r="F288" s="2" t="str">
        <f>IF(C288&gt;$W$6,"Yes","No")</f>
        <v>No</v>
      </c>
      <c r="G288" t="s">
        <v>9</v>
      </c>
      <c r="J288" s="2" t="s">
        <v>25</v>
      </c>
      <c r="K288">
        <v>2.5</v>
      </c>
      <c r="L288" t="s">
        <v>12</v>
      </c>
      <c r="M288" t="s">
        <v>126</v>
      </c>
      <c r="N288" t="str">
        <f>IF(K288="N/A","No", IF(K288&gt;20,"Yes","No"))</f>
        <v>No</v>
      </c>
      <c r="O288" t="str">
        <f t="shared" ref="O288:O289" si="144">IF(K288="Not","No",IF(K288="n/a","N/A",IF(K288&gt;$Y$6,"Yes","No")))</f>
        <v>No</v>
      </c>
      <c r="U288" t="s">
        <v>101</v>
      </c>
      <c r="V288" t="s">
        <v>9</v>
      </c>
      <c r="W288" t="s">
        <v>9</v>
      </c>
      <c r="X288" t="str">
        <f>IF(V288="N/A","N/A",IF(W288="N/A", "N/A", IF(V288=W288, "Yes","No")))</f>
        <v>Yes</v>
      </c>
    </row>
    <row r="289" spans="1:32" x14ac:dyDescent="0.2">
      <c r="F289" s="2"/>
      <c r="J289" s="2" t="s">
        <v>29</v>
      </c>
      <c r="K289">
        <v>18</v>
      </c>
      <c r="L289" t="s">
        <v>12</v>
      </c>
      <c r="M289" t="s">
        <v>222</v>
      </c>
      <c r="N289" t="str">
        <f>IF(K289="N/A","No", IF(K289&gt;20,"Yes","No"))</f>
        <v>No</v>
      </c>
      <c r="O289" t="str">
        <f t="shared" si="144"/>
        <v>No</v>
      </c>
      <c r="U289" t="s">
        <v>104</v>
      </c>
      <c r="V289" t="s">
        <v>120</v>
      </c>
      <c r="W289" t="str">
        <f>O290</f>
        <v>No</v>
      </c>
      <c r="X289" t="str">
        <f>IF(V289="N/A","N/A",IF(W289="N/A", "N/A", IF(V289=W289, "Yes","No")))</f>
        <v>N/A</v>
      </c>
    </row>
    <row r="290" spans="1:32" x14ac:dyDescent="0.2">
      <c r="F290" s="2"/>
      <c r="J290" s="2" t="s">
        <v>34</v>
      </c>
      <c r="K290">
        <v>2.5</v>
      </c>
      <c r="L290" t="s">
        <v>12</v>
      </c>
      <c r="M290" t="s">
        <v>210</v>
      </c>
      <c r="N290" t="str">
        <f>IF(K290="N/A","No", IF(K290&gt;230,"Yes","No"))</f>
        <v>No</v>
      </c>
      <c r="O290" t="str">
        <f>IF(K290="Not","No",IF(K290="n/a","N/A",IF(K290&gt;$Y$5,"Yes","No")))</f>
        <v>No</v>
      </c>
      <c r="U290" t="s">
        <v>106</v>
      </c>
      <c r="V290" t="str">
        <f>R285</f>
        <v>No</v>
      </c>
      <c r="W290" t="str">
        <f>S285</f>
        <v>No</v>
      </c>
      <c r="X290" t="str">
        <f>IF(V290="N/A","N/A",IF(W290="N/A", "N/A", IF(V290=W290, "Yes","No")))</f>
        <v>Yes</v>
      </c>
    </row>
    <row r="291" spans="1:32" x14ac:dyDescent="0.2">
      <c r="F291" s="2"/>
      <c r="J291" s="2" t="s">
        <v>208</v>
      </c>
      <c r="K291">
        <v>77</v>
      </c>
      <c r="L291" t="s">
        <v>12</v>
      </c>
      <c r="M291" t="s">
        <v>223</v>
      </c>
      <c r="N291" t="str">
        <f>IF(K291="N/A","No", IF(K291&gt;20,"Yes","No"))</f>
        <v>Yes</v>
      </c>
      <c r="O291" t="str">
        <f>IF(K291="Not","No",IF(K291="n/a","N/A",IF(K291&gt;$Y$7,"Yes","No")))</f>
        <v>No</v>
      </c>
      <c r="U291" t="s">
        <v>121</v>
      </c>
      <c r="V291" t="str">
        <f>R286</f>
        <v>Yes</v>
      </c>
      <c r="W291" t="str">
        <f>S286</f>
        <v>Yes</v>
      </c>
      <c r="X291" t="str">
        <f>IF(V291="N/A","N/A",IF(W291="N/A", "N/A", IF(V291=W291, "Yes","No")))</f>
        <v>Yes</v>
      </c>
    </row>
    <row r="292" spans="1:32" x14ac:dyDescent="0.2">
      <c r="F292" s="2"/>
    </row>
    <row r="293" spans="1:32" x14ac:dyDescent="0.2">
      <c r="A293" s="1">
        <f>VLOOKUP(C293,'Grid - LRA Samples'!$A$2:$B$108, 2,FALSE)</f>
        <v>1157</v>
      </c>
      <c r="B293" t="s">
        <v>111</v>
      </c>
      <c r="C293">
        <v>34</v>
      </c>
    </row>
    <row r="294" spans="1:32" x14ac:dyDescent="0.2">
      <c r="A294" s="5" t="s">
        <v>0</v>
      </c>
      <c r="E294" s="2" t="s">
        <v>274</v>
      </c>
      <c r="F294" s="2" t="s">
        <v>275</v>
      </c>
      <c r="G294" t="s">
        <v>119</v>
      </c>
      <c r="J294" s="5" t="s">
        <v>1</v>
      </c>
      <c r="N294" s="2" t="s">
        <v>277</v>
      </c>
      <c r="O294" t="s">
        <v>278</v>
      </c>
      <c r="Q294" s="5" t="s">
        <v>115</v>
      </c>
      <c r="R294" s="5" t="s">
        <v>0</v>
      </c>
      <c r="S294" s="5" t="s">
        <v>1</v>
      </c>
      <c r="U294" s="5" t="s">
        <v>115</v>
      </c>
      <c r="V294" s="5" t="s">
        <v>0</v>
      </c>
      <c r="W294" s="5" t="s">
        <v>1</v>
      </c>
      <c r="X294" s="5" t="s">
        <v>122</v>
      </c>
      <c r="AA294" t="str">
        <f>IF(R295="Yes","LRA-Soil","")</f>
        <v>LRA-Soil</v>
      </c>
      <c r="AB294" t="str">
        <f>IF(R296="Yes","LRA-Paint","")</f>
        <v>LRA-Paint</v>
      </c>
      <c r="AC294" t="str">
        <f>IF(R297="Yes","LRA-Dust","")</f>
        <v>LRA-Dust</v>
      </c>
      <c r="AD294" t="str">
        <f>IF(S295="Yes","LSK-Soil","")</f>
        <v>LSK-Soil</v>
      </c>
      <c r="AE294" t="str">
        <f>IF(S296="Yes","LSK-Paint","")</f>
        <v/>
      </c>
      <c r="AF294" t="str">
        <f>IF(S297="Yes","LSK-Dust","")</f>
        <v/>
      </c>
    </row>
    <row r="295" spans="1:32" x14ac:dyDescent="0.2">
      <c r="A295" t="s">
        <v>250</v>
      </c>
      <c r="B295" t="s">
        <v>221</v>
      </c>
      <c r="C295">
        <v>22.4</v>
      </c>
      <c r="D295" t="s">
        <v>4</v>
      </c>
      <c r="E295" t="s">
        <v>5</v>
      </c>
      <c r="F295" s="2" t="str">
        <f t="shared" ref="F295:F297" si="145">IF(C295&gt;=$W$2,"Yes","No")</f>
        <v>Yes</v>
      </c>
      <c r="G295" t="s">
        <v>5</v>
      </c>
      <c r="H295" t="s">
        <v>46</v>
      </c>
      <c r="J295" s="2" t="s">
        <v>6</v>
      </c>
      <c r="K295">
        <v>154</v>
      </c>
      <c r="L295" t="s">
        <v>12</v>
      </c>
      <c r="M295" t="s">
        <v>114</v>
      </c>
      <c r="N295" t="str">
        <f>IF(K295="N/A","No", IF(K295&gt;1200,"Yes","No"))</f>
        <v>No</v>
      </c>
      <c r="O295" t="str">
        <f t="shared" ref="O295:O297" si="146">IF(K295="Not","No",IF(K295="n/a","N/A",IF(K295&gt;$Y$3,"Yes","No")))</f>
        <v>No</v>
      </c>
      <c r="Q295" s="2" t="s">
        <v>116</v>
      </c>
      <c r="R295" t="str">
        <f>_xlfn.XLOOKUP("ppm",D295:D298,F295:F298,"N/A")</f>
        <v>Yes</v>
      </c>
      <c r="S295" t="str">
        <f>IF(COUNTIF(O295:O297,"Yes"),"Yes","No")</f>
        <v>Yes</v>
      </c>
      <c r="U295" t="s">
        <v>92</v>
      </c>
      <c r="V295" t="s">
        <v>5</v>
      </c>
      <c r="W295" t="s">
        <v>120</v>
      </c>
      <c r="X295" t="str">
        <f>IF(V295="N/A","N/A",IF(W295="N/A", "N/A", IF(V295=W295, "Yes","No")))</f>
        <v>N/A</v>
      </c>
    </row>
    <row r="296" spans="1:32" x14ac:dyDescent="0.2">
      <c r="A296" t="s">
        <v>187</v>
      </c>
      <c r="B296" t="s">
        <v>290</v>
      </c>
      <c r="C296">
        <v>858</v>
      </c>
      <c r="D296" t="s">
        <v>12</v>
      </c>
      <c r="E296" t="s">
        <v>5</v>
      </c>
      <c r="F296" s="2" t="str">
        <f>IF(C296&gt;$W$3,"Yes","No")</f>
        <v>Yes</v>
      </c>
      <c r="G296" t="s">
        <v>5</v>
      </c>
      <c r="J296" s="2" t="s">
        <v>11</v>
      </c>
      <c r="K296">
        <v>1313</v>
      </c>
      <c r="L296" t="s">
        <v>12</v>
      </c>
      <c r="M296" t="s">
        <v>67</v>
      </c>
      <c r="N296" t="str">
        <f t="shared" ref="N296:N297" si="147">IF(K296="N/A","No", IF(K296&gt;1200,"Yes","No"))</f>
        <v>Yes</v>
      </c>
      <c r="O296" t="str">
        <f t="shared" si="146"/>
        <v>Yes</v>
      </c>
      <c r="Q296" s="2" t="s">
        <v>98</v>
      </c>
      <c r="R296" t="str">
        <f>_xlfn.XLOOKUP("mg/cm2",D295:D298,G295:G298,"N/A")</f>
        <v>Yes</v>
      </c>
      <c r="S296" t="str">
        <f>IF(COUNTIF(O298:O299,"Yes"),"Yes","No")</f>
        <v>No</v>
      </c>
      <c r="U296" t="s">
        <v>95</v>
      </c>
      <c r="V296" t="str">
        <f>R295</f>
        <v>Yes</v>
      </c>
      <c r="W296" t="str">
        <f>S295</f>
        <v>Yes</v>
      </c>
      <c r="X296" t="str">
        <f t="shared" ref="X296:X299" si="148">IF(V296="N/A","N/A",IF(W296="N/A", "N/A", IF(V296=W296, "Yes","No")))</f>
        <v>Yes</v>
      </c>
    </row>
    <row r="297" spans="1:32" x14ac:dyDescent="0.2">
      <c r="A297" t="s">
        <v>213</v>
      </c>
      <c r="B297" t="s">
        <v>189</v>
      </c>
      <c r="C297">
        <v>0</v>
      </c>
      <c r="D297" t="s">
        <v>4</v>
      </c>
      <c r="E297" t="s">
        <v>9</v>
      </c>
      <c r="F297" s="2" t="str">
        <f t="shared" si="145"/>
        <v>No</v>
      </c>
      <c r="G297" t="s">
        <v>9</v>
      </c>
      <c r="H297" t="s">
        <v>43</v>
      </c>
      <c r="J297" s="2" t="s">
        <v>15</v>
      </c>
      <c r="K297">
        <v>534</v>
      </c>
      <c r="L297" t="s">
        <v>12</v>
      </c>
      <c r="M297" t="s">
        <v>112</v>
      </c>
      <c r="N297" t="str">
        <f t="shared" si="147"/>
        <v>No</v>
      </c>
      <c r="O297" t="str">
        <f t="shared" si="146"/>
        <v>Yes</v>
      </c>
      <c r="Q297" s="2" t="s">
        <v>117</v>
      </c>
      <c r="R297" t="str">
        <f>_xlfn.XLOOKUP("ug/ft2",D295:D298,F295:F298,"N/A")</f>
        <v>Yes</v>
      </c>
      <c r="S297" t="str">
        <f>IF(COUNTIF(O300:O303,"Yes"),"Yes","No")</f>
        <v>No</v>
      </c>
      <c r="U297" t="s">
        <v>163</v>
      </c>
      <c r="V297" t="s">
        <v>9</v>
      </c>
      <c r="W297" t="str">
        <f>O299</f>
        <v>No</v>
      </c>
      <c r="X297" t="str">
        <f t="shared" si="148"/>
        <v>Yes</v>
      </c>
    </row>
    <row r="298" spans="1:32" x14ac:dyDescent="0.2">
      <c r="A298" t="s">
        <v>201</v>
      </c>
      <c r="B298" t="s">
        <v>214</v>
      </c>
      <c r="C298">
        <v>40.9</v>
      </c>
      <c r="D298" t="s">
        <v>33</v>
      </c>
      <c r="E298" t="s">
        <v>5</v>
      </c>
      <c r="F298" s="2" t="str">
        <f>IF(C298&gt;$W$6,"Yes","No")</f>
        <v>Yes</v>
      </c>
      <c r="G298" t="s">
        <v>5</v>
      </c>
      <c r="J298" s="2" t="s">
        <v>19</v>
      </c>
      <c r="K298">
        <v>42</v>
      </c>
      <c r="L298" t="s">
        <v>12</v>
      </c>
      <c r="M298" t="s">
        <v>46</v>
      </c>
      <c r="N298" t="str">
        <f>IF(K298="N/A","No", IF(K298&gt;5000,"Yes","No"))</f>
        <v>No</v>
      </c>
      <c r="O298" t="str">
        <f>IF(K298="Not","No",IF(K298="n/a","N/A",IF(K298&gt;$Y$2,"Yes","No")))</f>
        <v>No</v>
      </c>
      <c r="Q298" s="2" t="s">
        <v>118</v>
      </c>
      <c r="R298" t="str">
        <f>IF(COUNTIF(R295:R297,"Yes"),"Yes","No")</f>
        <v>Yes</v>
      </c>
      <c r="S298" t="str">
        <f>IF(COUNTIF(S295:S297,"Yes"),"Yes","No")</f>
        <v>Yes</v>
      </c>
      <c r="U298" t="s">
        <v>164</v>
      </c>
      <c r="V298" t="s">
        <v>5</v>
      </c>
      <c r="W298" t="str">
        <f>O298</f>
        <v>No</v>
      </c>
      <c r="X298" t="str">
        <f t="shared" si="148"/>
        <v>No</v>
      </c>
    </row>
    <row r="299" spans="1:32" x14ac:dyDescent="0.2">
      <c r="F299" s="2"/>
      <c r="J299" s="2" t="s">
        <v>22</v>
      </c>
      <c r="K299">
        <v>2.5</v>
      </c>
      <c r="L299" t="s">
        <v>12</v>
      </c>
      <c r="M299" t="s">
        <v>43</v>
      </c>
      <c r="N299" t="str">
        <f>IF(K299="N/A","No", IF(K299&gt;5000,"Yes","No"))</f>
        <v>No</v>
      </c>
      <c r="O299" t="str">
        <f>IF(K299="Not","No",IF(K299="n/a","N/A",IF(K299&gt;$Y$2,"Yes","No")))</f>
        <v>No</v>
      </c>
      <c r="U299" t="s">
        <v>162</v>
      </c>
      <c r="V299" t="str">
        <f>R296</f>
        <v>Yes</v>
      </c>
      <c r="W299" t="str">
        <f>S296</f>
        <v>No</v>
      </c>
      <c r="X299" t="str">
        <f t="shared" si="148"/>
        <v>No</v>
      </c>
    </row>
    <row r="300" spans="1:32" x14ac:dyDescent="0.2">
      <c r="F300" s="2"/>
      <c r="J300" s="2" t="s">
        <v>25</v>
      </c>
      <c r="K300">
        <v>5</v>
      </c>
      <c r="L300" t="s">
        <v>12</v>
      </c>
      <c r="M300" t="s">
        <v>126</v>
      </c>
      <c r="N300" t="str">
        <f>IF(K300="N/A","No", IF(K300&gt;20,"Yes","No"))</f>
        <v>No</v>
      </c>
      <c r="O300" t="str">
        <f t="shared" ref="O300:O301" si="149">IF(K300="Not","No",IF(K300="n/a","N/A",IF(K300&gt;$Y$6,"Yes","No")))</f>
        <v>No</v>
      </c>
      <c r="U300" t="s">
        <v>101</v>
      </c>
      <c r="V300" t="s">
        <v>5</v>
      </c>
      <c r="W300" t="s">
        <v>9</v>
      </c>
      <c r="X300" t="str">
        <f>IF(V300="N/A","N/A",IF(W300="N/A", "N/A", IF(V300=W300, "Yes","No")))</f>
        <v>No</v>
      </c>
    </row>
    <row r="301" spans="1:32" x14ac:dyDescent="0.2">
      <c r="F301" s="2"/>
      <c r="J301" s="2" t="s">
        <v>29</v>
      </c>
      <c r="K301">
        <v>6</v>
      </c>
      <c r="L301" t="s">
        <v>12</v>
      </c>
      <c r="M301" t="s">
        <v>222</v>
      </c>
      <c r="N301" t="str">
        <f>IF(K301="N/A","No", IF(K301&gt;20,"Yes","No"))</f>
        <v>No</v>
      </c>
      <c r="O301" t="str">
        <f t="shared" si="149"/>
        <v>No</v>
      </c>
      <c r="U301" t="s">
        <v>104</v>
      </c>
      <c r="V301" t="s">
        <v>120</v>
      </c>
      <c r="W301" t="str">
        <f>O302</f>
        <v>No</v>
      </c>
      <c r="X301" t="str">
        <f>IF(V301="N/A","N/A",IF(W301="N/A", "N/A", IF(V301=W301, "Yes","No")))</f>
        <v>N/A</v>
      </c>
    </row>
    <row r="302" spans="1:32" x14ac:dyDescent="0.2">
      <c r="F302" s="2"/>
      <c r="J302" s="2" t="s">
        <v>34</v>
      </c>
      <c r="K302">
        <v>21</v>
      </c>
      <c r="L302" t="s">
        <v>12</v>
      </c>
      <c r="M302" t="s">
        <v>210</v>
      </c>
      <c r="N302" t="str">
        <f>IF(K302="N/A","No", IF(K302&gt;230,"Yes","No"))</f>
        <v>No</v>
      </c>
      <c r="O302" t="str">
        <f>IF(K302="Not","No",IF(K302="n/a","N/A",IF(K302&gt;$Y$5,"Yes","No")))</f>
        <v>No</v>
      </c>
      <c r="U302" t="s">
        <v>106</v>
      </c>
      <c r="V302" t="str">
        <f>R297</f>
        <v>Yes</v>
      </c>
      <c r="W302" t="str">
        <f>S297</f>
        <v>No</v>
      </c>
      <c r="X302" t="str">
        <f>IF(V302="N/A","N/A",IF(W302="N/A", "N/A", IF(V302=W302, "Yes","No")))</f>
        <v>No</v>
      </c>
    </row>
    <row r="303" spans="1:32" x14ac:dyDescent="0.2">
      <c r="F303" s="2"/>
      <c r="J303" s="2" t="s">
        <v>208</v>
      </c>
      <c r="K303">
        <v>346</v>
      </c>
      <c r="L303" t="s">
        <v>12</v>
      </c>
      <c r="M303" t="s">
        <v>223</v>
      </c>
      <c r="N303" t="str">
        <f>IF(K303="N/A","No", IF(K303&gt;20,"Yes","No"))</f>
        <v>Yes</v>
      </c>
      <c r="O303" t="str">
        <f>IF(K303="Not","No",IF(K303="n/a","N/A",IF(K303&gt;$Y$7,"Yes","No")))</f>
        <v>No</v>
      </c>
      <c r="U303" t="s">
        <v>121</v>
      </c>
      <c r="V303" t="str">
        <f>R298</f>
        <v>Yes</v>
      </c>
      <c r="W303" t="str">
        <f>S298</f>
        <v>Yes</v>
      </c>
      <c r="X303" t="str">
        <f>IF(V303="N/A","N/A",IF(W303="N/A", "N/A", IF(V303=W303, "Yes","No")))</f>
        <v>Yes</v>
      </c>
    </row>
    <row r="305" spans="1:32" x14ac:dyDescent="0.2">
      <c r="A305" s="1">
        <f>VLOOKUP(C305,'Grid - LRA Samples'!$A$2:$B$108, 2,FALSE)</f>
        <v>1160</v>
      </c>
      <c r="B305" t="s">
        <v>111</v>
      </c>
      <c r="C305">
        <v>35</v>
      </c>
    </row>
    <row r="306" spans="1:32" x14ac:dyDescent="0.2">
      <c r="A306" s="5" t="s">
        <v>0</v>
      </c>
      <c r="E306" s="2" t="s">
        <v>274</v>
      </c>
      <c r="F306" s="2" t="s">
        <v>275</v>
      </c>
      <c r="G306" t="s">
        <v>119</v>
      </c>
      <c r="J306" s="5" t="s">
        <v>1</v>
      </c>
      <c r="N306" s="2" t="s">
        <v>277</v>
      </c>
      <c r="O306" t="s">
        <v>278</v>
      </c>
      <c r="Q306" s="5" t="s">
        <v>115</v>
      </c>
      <c r="R306" s="5" t="s">
        <v>0</v>
      </c>
      <c r="S306" s="5" t="s">
        <v>1</v>
      </c>
      <c r="U306" s="5" t="s">
        <v>115</v>
      </c>
      <c r="V306" s="5" t="s">
        <v>0</v>
      </c>
      <c r="W306" s="5" t="s">
        <v>1</v>
      </c>
      <c r="X306" s="5" t="s">
        <v>122</v>
      </c>
      <c r="AA306" t="str">
        <f>IF(R307="Yes","LRA-Soil","")</f>
        <v>LRA-Soil</v>
      </c>
      <c r="AB306" t="str">
        <f>IF(R308="Yes","LRA-Paint","")</f>
        <v>LRA-Paint</v>
      </c>
      <c r="AC306" t="str">
        <f>IF(R309="Yes","LRA-Dust","")</f>
        <v>LRA-Dust</v>
      </c>
      <c r="AD306" t="str">
        <f>IF(S307="Yes","LSK-Soil","")</f>
        <v>LSK-Soil</v>
      </c>
      <c r="AE306" t="str">
        <f>IF(S308="Yes","LSK-Paint","")</f>
        <v/>
      </c>
      <c r="AF306" t="str">
        <f>IF(S309="Yes","LSK-Dust","")</f>
        <v/>
      </c>
    </row>
    <row r="307" spans="1:32" x14ac:dyDescent="0.2">
      <c r="A307" t="s">
        <v>153</v>
      </c>
      <c r="B307" t="s">
        <v>24</v>
      </c>
      <c r="C307">
        <v>0.12</v>
      </c>
      <c r="D307" t="s">
        <v>4</v>
      </c>
      <c r="F307" s="2" t="str">
        <f t="shared" ref="F307" si="150">IF(C307&gt;=$W$2,"Yes","No")</f>
        <v>No</v>
      </c>
      <c r="G307" t="s">
        <v>9</v>
      </c>
      <c r="H307" t="s">
        <v>46</v>
      </c>
      <c r="J307" s="2" t="s">
        <v>6</v>
      </c>
      <c r="K307">
        <v>60.9</v>
      </c>
      <c r="L307" t="s">
        <v>12</v>
      </c>
      <c r="M307" t="s">
        <v>114</v>
      </c>
      <c r="N307" t="str">
        <f>IF(K307="N/A","No", IF(K307&gt;1200,"Yes","No"))</f>
        <v>No</v>
      </c>
      <c r="O307" t="str">
        <f t="shared" ref="O307:O309" si="151">IF(K307="Not","No",IF(K307="n/a","N/A",IF(K307&gt;$Y$3,"Yes","No")))</f>
        <v>No</v>
      </c>
      <c r="Q307" s="2" t="s">
        <v>116</v>
      </c>
      <c r="R307" t="str">
        <f>_xlfn.XLOOKUP("mg/Kg",D307:D310,F307:F310,"N/A")</f>
        <v>Yes</v>
      </c>
      <c r="S307" t="str">
        <f>IF(COUNTIF(O307:O309,"Yes"),"Yes","No")</f>
        <v>Yes</v>
      </c>
      <c r="U307" t="s">
        <v>92</v>
      </c>
      <c r="V307" t="s">
        <v>120</v>
      </c>
      <c r="W307" t="s">
        <v>120</v>
      </c>
      <c r="X307" t="str">
        <f>IF(V307="N/A","N/A",IF(W307="N/A", "N/A", IF(V307=W307, "Yes","No")))</f>
        <v>N/A</v>
      </c>
    </row>
    <row r="308" spans="1:32" x14ac:dyDescent="0.2">
      <c r="A308" t="s">
        <v>75</v>
      </c>
      <c r="B308" t="s">
        <v>205</v>
      </c>
      <c r="C308">
        <v>1280</v>
      </c>
      <c r="D308" t="s">
        <v>37</v>
      </c>
      <c r="F308" s="2" t="str">
        <f>IF(C308&gt;$W$3,"Yes","No")</f>
        <v>Yes</v>
      </c>
      <c r="G308" t="s">
        <v>5</v>
      </c>
      <c r="J308" s="2" t="s">
        <v>11</v>
      </c>
      <c r="K308">
        <v>317</v>
      </c>
      <c r="L308" t="s">
        <v>12</v>
      </c>
      <c r="M308" t="s">
        <v>67</v>
      </c>
      <c r="N308" t="str">
        <f t="shared" ref="N308:N309" si="152">IF(K308="N/A","No", IF(K308&gt;1200,"Yes","No"))</f>
        <v>No</v>
      </c>
      <c r="O308" t="str">
        <f t="shared" si="151"/>
        <v>No</v>
      </c>
      <c r="Q308" s="2" t="s">
        <v>98</v>
      </c>
      <c r="R308" s="30" t="s">
        <v>5</v>
      </c>
      <c r="S308" t="str">
        <f>IF(COUNTIF(O310:O311,"Yes"),"Yes","No")</f>
        <v>No</v>
      </c>
      <c r="U308" t="s">
        <v>95</v>
      </c>
      <c r="V308" t="str">
        <f>R307</f>
        <v>Yes</v>
      </c>
      <c r="W308" t="str">
        <f>S307</f>
        <v>Yes</v>
      </c>
      <c r="X308" t="str">
        <f t="shared" ref="X308:X311" si="153">IF(V308="N/A","N/A",IF(W308="N/A", "N/A", IF(V308=W308, "Yes","No")))</f>
        <v>Yes</v>
      </c>
    </row>
    <row r="309" spans="1:32" x14ac:dyDescent="0.2">
      <c r="A309" t="s">
        <v>109</v>
      </c>
      <c r="B309" t="s">
        <v>174</v>
      </c>
      <c r="C309">
        <v>3.9</v>
      </c>
      <c r="D309" t="s">
        <v>4</v>
      </c>
      <c r="F309" s="2" t="str">
        <f t="shared" ref="F309:F311" si="154">IF(C309&gt;=$W$2,"Yes","No")</f>
        <v>Yes</v>
      </c>
      <c r="G309" t="s">
        <v>5</v>
      </c>
      <c r="H309" t="s">
        <v>43</v>
      </c>
      <c r="J309" s="2" t="s">
        <v>15</v>
      </c>
      <c r="K309">
        <v>878</v>
      </c>
      <c r="L309" t="s">
        <v>12</v>
      </c>
      <c r="M309" t="s">
        <v>112</v>
      </c>
      <c r="N309" t="str">
        <f t="shared" si="152"/>
        <v>No</v>
      </c>
      <c r="O309" t="str">
        <f t="shared" si="151"/>
        <v>Yes</v>
      </c>
      <c r="Q309" s="2" t="s">
        <v>117</v>
      </c>
      <c r="R309" t="str">
        <f>_xlfn.XLOOKUP("ug/ft2",D307:D312,F307:F312,"N/A")</f>
        <v>Yes</v>
      </c>
      <c r="S309" t="str">
        <f>IF(COUNTIF(O312:O315,"Yes"),"Yes","No")</f>
        <v>No</v>
      </c>
      <c r="U309" t="s">
        <v>163</v>
      </c>
      <c r="V309" t="s">
        <v>5</v>
      </c>
      <c r="W309" t="str">
        <f>O311</f>
        <v>No</v>
      </c>
      <c r="X309" t="str">
        <f t="shared" si="153"/>
        <v>No</v>
      </c>
    </row>
    <row r="310" spans="1:32" x14ac:dyDescent="0.2">
      <c r="A310" t="s">
        <v>293</v>
      </c>
      <c r="B310" t="s">
        <v>24</v>
      </c>
      <c r="C310">
        <v>3.5</v>
      </c>
      <c r="D310" t="s">
        <v>4</v>
      </c>
      <c r="F310" s="2" t="str">
        <f t="shared" si="154"/>
        <v>Yes</v>
      </c>
      <c r="G310" t="s">
        <v>5</v>
      </c>
      <c r="H310" t="s">
        <v>43</v>
      </c>
      <c r="J310" s="2" t="s">
        <v>19</v>
      </c>
      <c r="K310">
        <v>72</v>
      </c>
      <c r="L310" t="s">
        <v>12</v>
      </c>
      <c r="M310" t="s">
        <v>46</v>
      </c>
      <c r="N310" t="str">
        <f>IF(K310="N/A","No", IF(K310&gt;5000,"Yes","No"))</f>
        <v>No</v>
      </c>
      <c r="O310" t="str">
        <f>IF(K310="Not","No",IF(K310="n/a","N/A",IF(K310&gt;$Y$2,"Yes","No")))</f>
        <v>No</v>
      </c>
      <c r="Q310" s="2" t="s">
        <v>118</v>
      </c>
      <c r="R310" t="str">
        <f>IF(COUNTIF(R307:R309,"Yes"),"Yes","No")</f>
        <v>Yes</v>
      </c>
      <c r="S310" t="str">
        <f>IF(COUNTIF(S307:S309,"Yes"),"Yes","No")</f>
        <v>Yes</v>
      </c>
      <c r="U310" t="s">
        <v>164</v>
      </c>
      <c r="V310" t="s">
        <v>9</v>
      </c>
      <c r="W310" t="str">
        <f>O310</f>
        <v>No</v>
      </c>
      <c r="X310" t="str">
        <f t="shared" si="153"/>
        <v>Yes</v>
      </c>
    </row>
    <row r="311" spans="1:32" x14ac:dyDescent="0.2">
      <c r="A311" t="s">
        <v>71</v>
      </c>
      <c r="B311" t="s">
        <v>77</v>
      </c>
      <c r="C311">
        <v>0</v>
      </c>
      <c r="D311" t="s">
        <v>4</v>
      </c>
      <c r="F311" s="2" t="str">
        <f t="shared" si="154"/>
        <v>No</v>
      </c>
      <c r="G311" t="s">
        <v>9</v>
      </c>
      <c r="H311" t="s">
        <v>43</v>
      </c>
      <c r="J311" s="2" t="s">
        <v>22</v>
      </c>
      <c r="K311">
        <v>405</v>
      </c>
      <c r="L311" t="s">
        <v>12</v>
      </c>
      <c r="M311" t="s">
        <v>43</v>
      </c>
      <c r="N311" t="str">
        <f>IF(K311="N/A","No", IF(K311&gt;5000,"Yes","No"))</f>
        <v>No</v>
      </c>
      <c r="O311" t="str">
        <f>IF(K311="Not","No",IF(K311="n/a","N/A",IF(K311&gt;$Y$2,"Yes","No")))</f>
        <v>No</v>
      </c>
      <c r="U311" t="s">
        <v>162</v>
      </c>
      <c r="V311" t="str">
        <f>R308</f>
        <v>Yes</v>
      </c>
      <c r="W311" t="str">
        <f>S308</f>
        <v>No</v>
      </c>
      <c r="X311" t="str">
        <f t="shared" si="153"/>
        <v>No</v>
      </c>
    </row>
    <row r="312" spans="1:32" x14ac:dyDescent="0.2">
      <c r="A312" t="s">
        <v>64</v>
      </c>
      <c r="B312" t="s">
        <v>54</v>
      </c>
      <c r="C312">
        <v>1400</v>
      </c>
      <c r="D312" t="s">
        <v>33</v>
      </c>
      <c r="F312" s="2" t="str">
        <f>IF(C312&gt;$W$5,"Yes","No")</f>
        <v>Yes</v>
      </c>
      <c r="G312" t="s">
        <v>5</v>
      </c>
      <c r="J312" s="2" t="s">
        <v>25</v>
      </c>
      <c r="K312">
        <v>5</v>
      </c>
      <c r="L312" t="s">
        <v>12</v>
      </c>
      <c r="M312" t="s">
        <v>126</v>
      </c>
      <c r="N312" t="str">
        <f>IF(K312="N/A","No", IF(K312&gt;20,"Yes","No"))</f>
        <v>No</v>
      </c>
      <c r="O312" t="str">
        <f t="shared" ref="O312:O313" si="155">IF(K312="Not","No",IF(K312="n/a","N/A",IF(K312&gt;$Y$6,"Yes","No")))</f>
        <v>No</v>
      </c>
      <c r="U312" t="s">
        <v>101</v>
      </c>
      <c r="V312" t="s">
        <v>120</v>
      </c>
      <c r="W312" t="s">
        <v>9</v>
      </c>
      <c r="X312" t="str">
        <f>IF(V312="N/A","N/A",IF(W312="N/A", "N/A", IF(V312=W312, "Yes","No")))</f>
        <v>N/A</v>
      </c>
    </row>
    <row r="313" spans="1:32" x14ac:dyDescent="0.2">
      <c r="F313" s="2"/>
      <c r="J313" s="2" t="s">
        <v>29</v>
      </c>
      <c r="K313">
        <v>4</v>
      </c>
      <c r="L313" t="s">
        <v>12</v>
      </c>
      <c r="M313" t="s">
        <v>222</v>
      </c>
      <c r="N313" t="str">
        <f>IF(K313="N/A","No", IF(K313&gt;20,"Yes","No"))</f>
        <v>No</v>
      </c>
      <c r="O313" t="str">
        <f t="shared" si="155"/>
        <v>No</v>
      </c>
      <c r="U313" t="s">
        <v>104</v>
      </c>
      <c r="V313" t="s">
        <v>5</v>
      </c>
      <c r="W313" t="str">
        <f>O314</f>
        <v>No</v>
      </c>
      <c r="X313" t="str">
        <f>IF(V313="N/A","N/A",IF(W313="N/A", "N/A", IF(V313=W313, "Yes","No")))</f>
        <v>No</v>
      </c>
    </row>
    <row r="314" spans="1:32" x14ac:dyDescent="0.2">
      <c r="F314" s="2"/>
      <c r="J314" s="2" t="s">
        <v>34</v>
      </c>
      <c r="K314">
        <v>2.5</v>
      </c>
      <c r="L314" t="s">
        <v>12</v>
      </c>
      <c r="M314" t="s">
        <v>210</v>
      </c>
      <c r="N314" t="str">
        <f>IF(K314="N/A","No", IF(K314&gt;230,"Yes","No"))</f>
        <v>No</v>
      </c>
      <c r="O314" t="str">
        <f>IF(K314="Not","No",IF(K314="n/a","N/A",IF(K314&gt;$Y$5,"Yes","No")))</f>
        <v>No</v>
      </c>
      <c r="U314" t="s">
        <v>106</v>
      </c>
      <c r="V314" t="str">
        <f>R309</f>
        <v>Yes</v>
      </c>
      <c r="W314" t="str">
        <f>S309</f>
        <v>No</v>
      </c>
      <c r="X314" t="str">
        <f>IF(V314="N/A","N/A",IF(W314="N/A", "N/A", IF(V314=W314, "Yes","No")))</f>
        <v>No</v>
      </c>
    </row>
    <row r="315" spans="1:32" x14ac:dyDescent="0.2">
      <c r="F315" s="2"/>
      <c r="J315" s="2" t="s">
        <v>208</v>
      </c>
      <c r="K315">
        <v>134</v>
      </c>
      <c r="L315" t="s">
        <v>12</v>
      </c>
      <c r="M315" t="s">
        <v>223</v>
      </c>
      <c r="N315" t="str">
        <f>IF(K315="N/A","No", IF(K315&gt;20,"Yes","No"))</f>
        <v>Yes</v>
      </c>
      <c r="O315" t="str">
        <f>IF(K315="Not","No",IF(K315="n/a","N/A",IF(K315&gt;$Y$7,"Yes","No")))</f>
        <v>No</v>
      </c>
      <c r="U315" t="s">
        <v>121</v>
      </c>
      <c r="V315" t="str">
        <f>R310</f>
        <v>Yes</v>
      </c>
      <c r="W315" t="str">
        <f>S310</f>
        <v>Yes</v>
      </c>
      <c r="X315" t="str">
        <f>IF(V315="N/A","N/A",IF(W315="N/A", "N/A", IF(V315=W315, "Yes","No")))</f>
        <v>Yes</v>
      </c>
    </row>
    <row r="317" spans="1:32" x14ac:dyDescent="0.2">
      <c r="A317" s="1">
        <f>VLOOKUP(C317,'Grid - LRA Samples'!$A$2:$B$108, 2,FALSE)</f>
        <v>1165</v>
      </c>
      <c r="B317" t="s">
        <v>111</v>
      </c>
      <c r="C317">
        <v>36</v>
      </c>
    </row>
    <row r="318" spans="1:32" x14ac:dyDescent="0.2">
      <c r="A318" s="5" t="s">
        <v>0</v>
      </c>
      <c r="E318" s="2" t="s">
        <v>274</v>
      </c>
      <c r="F318" s="2" t="s">
        <v>275</v>
      </c>
      <c r="G318" t="s">
        <v>119</v>
      </c>
      <c r="J318" s="5" t="s">
        <v>1</v>
      </c>
      <c r="N318" s="2" t="s">
        <v>277</v>
      </c>
      <c r="O318" t="s">
        <v>278</v>
      </c>
      <c r="Q318" s="5" t="s">
        <v>115</v>
      </c>
      <c r="R318" s="5" t="s">
        <v>0</v>
      </c>
      <c r="S318" s="5" t="s">
        <v>1</v>
      </c>
      <c r="U318" s="5" t="s">
        <v>115</v>
      </c>
      <c r="V318" s="5" t="s">
        <v>0</v>
      </c>
      <c r="W318" s="5" t="s">
        <v>1</v>
      </c>
      <c r="X318" s="5" t="s">
        <v>122</v>
      </c>
      <c r="AA318" t="str">
        <f>IF(R319="Yes","LRA-Soil","")</f>
        <v/>
      </c>
      <c r="AB318" t="str">
        <f>IF(R320="Yes","LRA-Paint","")</f>
        <v/>
      </c>
      <c r="AC318" t="str">
        <f>IF(R321="Yes","LRA-Dust","")</f>
        <v/>
      </c>
      <c r="AD318" t="str">
        <f>IF(S319="Yes","LSK-Soil","")</f>
        <v/>
      </c>
      <c r="AE318" t="str">
        <f>IF(S320="Yes","LSK-Paint","")</f>
        <v/>
      </c>
      <c r="AF318" t="str">
        <f>IF(S321="Yes","LSK-Dust","")</f>
        <v/>
      </c>
    </row>
    <row r="319" spans="1:32" x14ac:dyDescent="0.2">
      <c r="A319" t="s">
        <v>185</v>
      </c>
      <c r="B319" t="s">
        <v>221</v>
      </c>
      <c r="C319">
        <v>0</v>
      </c>
      <c r="D319" t="s">
        <v>4</v>
      </c>
      <c r="E319" t="s">
        <v>9</v>
      </c>
      <c r="F319" s="2" t="str">
        <f t="shared" ref="F319" si="156">IF(C319&gt;=$W$2,"Yes","No")</f>
        <v>No</v>
      </c>
      <c r="G319" t="s">
        <v>9</v>
      </c>
      <c r="H319" t="s">
        <v>46</v>
      </c>
      <c r="J319" s="2" t="s">
        <v>6</v>
      </c>
      <c r="K319">
        <v>23.8</v>
      </c>
      <c r="L319" t="s">
        <v>12</v>
      </c>
      <c r="M319" t="s">
        <v>114</v>
      </c>
      <c r="N319" t="str">
        <f>IF(K319="N/A","No", IF(K319&gt;1200,"Yes","No"))</f>
        <v>No</v>
      </c>
      <c r="O319" t="str">
        <f t="shared" ref="O319:O321" si="157">IF(K319="Not","No",IF(K319="n/a","N/A",IF(K319&gt;$Y$3,"Yes","No")))</f>
        <v>No</v>
      </c>
      <c r="Q319" s="2" t="s">
        <v>116</v>
      </c>
      <c r="R319" t="str">
        <f>_xlfn.XLOOKUP("ppm",D319:D322,F319:F322,"N/A")</f>
        <v>No</v>
      </c>
      <c r="S319" t="str">
        <f>IF(COUNTIF(O319:O321,"Yes"),"Yes","No")</f>
        <v>No</v>
      </c>
      <c r="U319" t="s">
        <v>92</v>
      </c>
      <c r="V319" t="s">
        <v>120</v>
      </c>
      <c r="W319" t="s">
        <v>120</v>
      </c>
      <c r="X319" t="str">
        <f>IF(V319="N/A","N/A",IF(W319="N/A", "N/A", IF(V319=W319, "Yes","No")))</f>
        <v>N/A</v>
      </c>
    </row>
    <row r="320" spans="1:32" x14ac:dyDescent="0.2">
      <c r="A320" t="s">
        <v>200</v>
      </c>
      <c r="B320" t="s">
        <v>286</v>
      </c>
      <c r="C320">
        <v>12.8</v>
      </c>
      <c r="D320" t="s">
        <v>12</v>
      </c>
      <c r="E320" t="s">
        <v>9</v>
      </c>
      <c r="F320" s="2" t="str">
        <f>IF(C320&gt;$W$3,"Yes","No")</f>
        <v>No</v>
      </c>
      <c r="G320" t="s">
        <v>9</v>
      </c>
      <c r="J320" s="2" t="s">
        <v>11</v>
      </c>
      <c r="K320">
        <v>23.3</v>
      </c>
      <c r="L320" t="s">
        <v>12</v>
      </c>
      <c r="M320" t="s">
        <v>67</v>
      </c>
      <c r="N320" t="str">
        <f t="shared" ref="N320:N321" si="158">IF(K320="N/A","No", IF(K320&gt;1200,"Yes","No"))</f>
        <v>No</v>
      </c>
      <c r="O320" t="str">
        <f t="shared" si="157"/>
        <v>No</v>
      </c>
      <c r="Q320" s="2" t="s">
        <v>98</v>
      </c>
      <c r="R320" t="str">
        <f>_xlfn.XLOOKUP("mg/cm2",D319:D322,G319:G322,"N/A")</f>
        <v>No</v>
      </c>
      <c r="S320" t="str">
        <f>IF(COUNTIF(O322:O323,"Yes"),"Yes","No")</f>
        <v>No</v>
      </c>
      <c r="U320" t="s">
        <v>95</v>
      </c>
      <c r="V320" t="str">
        <f>R319</f>
        <v>No</v>
      </c>
      <c r="W320" t="str">
        <f>S319</f>
        <v>No</v>
      </c>
      <c r="X320" t="str">
        <f t="shared" ref="X320:X323" si="159">IF(V320="N/A","N/A",IF(W320="N/A", "N/A", IF(V320=W320, "Yes","No")))</f>
        <v>Yes</v>
      </c>
    </row>
    <row r="321" spans="1:32" x14ac:dyDescent="0.2">
      <c r="A321" t="s">
        <v>239</v>
      </c>
      <c r="B321" t="s">
        <v>221</v>
      </c>
      <c r="C321">
        <v>0.01</v>
      </c>
      <c r="D321" t="s">
        <v>4</v>
      </c>
      <c r="E321" t="s">
        <v>9</v>
      </c>
      <c r="F321" s="2" t="str">
        <f t="shared" ref="F321" si="160">IF(C321&gt;=$W$2,"Yes","No")</f>
        <v>No</v>
      </c>
      <c r="G321" t="s">
        <v>9</v>
      </c>
      <c r="H321" t="s">
        <v>43</v>
      </c>
      <c r="J321" s="2" t="s">
        <v>15</v>
      </c>
      <c r="K321">
        <v>24.2</v>
      </c>
      <c r="L321" t="s">
        <v>12</v>
      </c>
      <c r="M321" t="s">
        <v>112</v>
      </c>
      <c r="N321" t="str">
        <f t="shared" si="158"/>
        <v>No</v>
      </c>
      <c r="O321" t="str">
        <f t="shared" si="157"/>
        <v>No</v>
      </c>
      <c r="Q321" s="2" t="s">
        <v>117</v>
      </c>
      <c r="R321" t="str">
        <f>_xlfn.XLOOKUP("ug/ft2",D319:D322,F319:F322,"N/A")</f>
        <v>No</v>
      </c>
      <c r="S321" t="str">
        <f>IF(COUNTIF(O324:O327,"Yes"),"Yes","No")</f>
        <v>No</v>
      </c>
      <c r="U321" t="s">
        <v>163</v>
      </c>
      <c r="V321" t="s">
        <v>9</v>
      </c>
      <c r="W321" t="str">
        <f>O323</f>
        <v>No</v>
      </c>
      <c r="X321" t="str">
        <f t="shared" si="159"/>
        <v>Yes</v>
      </c>
    </row>
    <row r="322" spans="1:32" x14ac:dyDescent="0.2">
      <c r="A322" t="s">
        <v>213</v>
      </c>
      <c r="B322" t="s">
        <v>192</v>
      </c>
      <c r="C322">
        <v>24.6</v>
      </c>
      <c r="D322" t="s">
        <v>33</v>
      </c>
      <c r="E322" t="s">
        <v>9</v>
      </c>
      <c r="F322" s="2" t="str">
        <f>IF(C322&gt;$W$5,"Yes","No")</f>
        <v>No</v>
      </c>
      <c r="G322" t="s">
        <v>9</v>
      </c>
      <c r="J322" s="2" t="s">
        <v>19</v>
      </c>
      <c r="K322">
        <v>36</v>
      </c>
      <c r="L322" t="s">
        <v>12</v>
      </c>
      <c r="M322" t="s">
        <v>46</v>
      </c>
      <c r="N322" t="str">
        <f>IF(K322="N/A","No", IF(K322&gt;5000,"Yes","No"))</f>
        <v>No</v>
      </c>
      <c r="O322" t="str">
        <f>IF(K322="Not","No",IF(K322="n/a","N/A",IF(K322&gt;$Y$2,"Yes","No")))</f>
        <v>No</v>
      </c>
      <c r="Q322" s="2" t="s">
        <v>118</v>
      </c>
      <c r="R322" t="str">
        <f>IF(COUNTIF(R319:R321,"Yes"),"Yes","No")</f>
        <v>No</v>
      </c>
      <c r="S322" t="str">
        <f>IF(COUNTIF(S319:S321,"Yes"),"Yes","No")</f>
        <v>No</v>
      </c>
      <c r="U322" t="s">
        <v>164</v>
      </c>
      <c r="V322" t="s">
        <v>9</v>
      </c>
      <c r="W322" t="str">
        <f>O322</f>
        <v>No</v>
      </c>
      <c r="X322" t="str">
        <f t="shared" si="159"/>
        <v>Yes</v>
      </c>
    </row>
    <row r="323" spans="1:32" x14ac:dyDescent="0.2">
      <c r="F323" s="2"/>
      <c r="J323" s="2" t="s">
        <v>22</v>
      </c>
      <c r="K323">
        <v>2.5</v>
      </c>
      <c r="L323" t="s">
        <v>12</v>
      </c>
      <c r="M323" t="s">
        <v>43</v>
      </c>
      <c r="N323" t="str">
        <f>IF(K323="N/A","No", IF(K323&gt;5000,"Yes","No"))</f>
        <v>No</v>
      </c>
      <c r="O323" t="str">
        <f>IF(K323="Not","No",IF(K323="n/a","N/A",IF(K323&gt;$Y$2,"Yes","No")))</f>
        <v>No</v>
      </c>
      <c r="U323" t="s">
        <v>162</v>
      </c>
      <c r="V323" t="str">
        <f>R320</f>
        <v>No</v>
      </c>
      <c r="W323" t="str">
        <f>S320</f>
        <v>No</v>
      </c>
      <c r="X323" t="str">
        <f t="shared" si="159"/>
        <v>Yes</v>
      </c>
    </row>
    <row r="324" spans="1:32" x14ac:dyDescent="0.2">
      <c r="F324" s="2"/>
      <c r="J324" s="2" t="s">
        <v>25</v>
      </c>
      <c r="K324">
        <v>2.5</v>
      </c>
      <c r="L324" t="s">
        <v>12</v>
      </c>
      <c r="M324" t="s">
        <v>126</v>
      </c>
      <c r="N324" t="str">
        <f>IF(K324="N/A","No", IF(K324&gt;20,"Yes","No"))</f>
        <v>No</v>
      </c>
      <c r="O324" t="str">
        <f t="shared" ref="O324:O325" si="161">IF(K324="Not","No",IF(K324="n/a","N/A",IF(K324&gt;$Y$6,"Yes","No")))</f>
        <v>No</v>
      </c>
      <c r="U324" t="s">
        <v>101</v>
      </c>
      <c r="V324" t="s">
        <v>120</v>
      </c>
      <c r="W324" t="s">
        <v>9</v>
      </c>
      <c r="X324" t="str">
        <f>IF(V324="N/A","N/A",IF(W324="N/A", "N/A", IF(V324=W324, "Yes","No")))</f>
        <v>N/A</v>
      </c>
    </row>
    <row r="325" spans="1:32" x14ac:dyDescent="0.2">
      <c r="F325" s="2"/>
      <c r="J325" s="2" t="s">
        <v>29</v>
      </c>
      <c r="K325">
        <v>2.5</v>
      </c>
      <c r="L325" t="s">
        <v>12</v>
      </c>
      <c r="M325" t="s">
        <v>222</v>
      </c>
      <c r="N325" t="str">
        <f>IF(K325="N/A","No", IF(K325&gt;20,"Yes","No"))</f>
        <v>No</v>
      </c>
      <c r="O325" t="str">
        <f t="shared" si="161"/>
        <v>No</v>
      </c>
      <c r="U325" t="s">
        <v>104</v>
      </c>
      <c r="V325" t="s">
        <v>9</v>
      </c>
      <c r="W325" t="str">
        <f>O326</f>
        <v>No</v>
      </c>
      <c r="X325" t="str">
        <f>IF(V325="N/A","N/A",IF(W325="N/A", "N/A", IF(V325=W325, "Yes","No")))</f>
        <v>Yes</v>
      </c>
    </row>
    <row r="326" spans="1:32" x14ac:dyDescent="0.2">
      <c r="F326" s="2"/>
      <c r="J326" s="2" t="s">
        <v>34</v>
      </c>
      <c r="K326">
        <v>2.5</v>
      </c>
      <c r="L326" t="s">
        <v>12</v>
      </c>
      <c r="M326" t="s">
        <v>210</v>
      </c>
      <c r="N326" t="str">
        <f>IF(K326="N/A","No", IF(K326&gt;230,"Yes","No"))</f>
        <v>No</v>
      </c>
      <c r="O326" t="str">
        <f>IF(K326="Not","No",IF(K326="n/a","N/A",IF(K326&gt;$Y$5,"Yes","No")))</f>
        <v>No</v>
      </c>
      <c r="U326" t="s">
        <v>106</v>
      </c>
      <c r="V326" t="str">
        <f>R321</f>
        <v>No</v>
      </c>
      <c r="W326" t="str">
        <f>S321</f>
        <v>No</v>
      </c>
      <c r="X326" t="str">
        <f>IF(V326="N/A","N/A",IF(W326="N/A", "N/A", IF(V326=W326, "Yes","No")))</f>
        <v>Yes</v>
      </c>
    </row>
    <row r="327" spans="1:32" x14ac:dyDescent="0.2">
      <c r="F327" s="2"/>
      <c r="J327" s="2" t="s">
        <v>208</v>
      </c>
      <c r="K327">
        <v>9</v>
      </c>
      <c r="L327" t="s">
        <v>12</v>
      </c>
      <c r="M327" t="s">
        <v>223</v>
      </c>
      <c r="N327" t="str">
        <f>IF(K327="N/A","No", IF(K327&gt;20,"Yes","No"))</f>
        <v>No</v>
      </c>
      <c r="O327" t="str">
        <f>IF(K327="Not","No",IF(K327="n/a","N/A",IF(K327&gt;$Y$7,"Yes","No")))</f>
        <v>No</v>
      </c>
      <c r="U327" t="s">
        <v>121</v>
      </c>
      <c r="V327" t="str">
        <f>R322</f>
        <v>No</v>
      </c>
      <c r="W327" t="str">
        <f>S322</f>
        <v>No</v>
      </c>
      <c r="X327" t="str">
        <f>IF(V327="N/A","N/A",IF(W327="N/A", "N/A", IF(V327=W327, "Yes","No")))</f>
        <v>Yes</v>
      </c>
    </row>
    <row r="329" spans="1:32" x14ac:dyDescent="0.2">
      <c r="A329" s="1">
        <f>VLOOKUP(C329,'Grid - LRA Samples'!$A$2:$B$108, 2,FALSE)</f>
        <v>1168</v>
      </c>
      <c r="B329" t="s">
        <v>111</v>
      </c>
      <c r="C329">
        <v>37</v>
      </c>
    </row>
    <row r="330" spans="1:32" x14ac:dyDescent="0.2">
      <c r="A330" s="5" t="s">
        <v>0</v>
      </c>
      <c r="E330" s="2" t="s">
        <v>274</v>
      </c>
      <c r="F330" s="2" t="s">
        <v>275</v>
      </c>
      <c r="G330" t="s">
        <v>119</v>
      </c>
      <c r="J330" s="5" t="s">
        <v>1</v>
      </c>
      <c r="N330" s="2" t="s">
        <v>277</v>
      </c>
      <c r="O330" t="s">
        <v>278</v>
      </c>
      <c r="Q330" s="5" t="s">
        <v>115</v>
      </c>
      <c r="R330" s="5" t="s">
        <v>0</v>
      </c>
      <c r="S330" s="5" t="s">
        <v>1</v>
      </c>
      <c r="U330" s="5" t="s">
        <v>115</v>
      </c>
      <c r="V330" s="5" t="s">
        <v>0</v>
      </c>
      <c r="W330" s="5" t="s">
        <v>1</v>
      </c>
      <c r="X330" s="5" t="s">
        <v>122</v>
      </c>
      <c r="AA330" t="str">
        <f>IF(R331="Yes","LRA-Soil","")</f>
        <v/>
      </c>
      <c r="AB330" t="str">
        <f>IF(R332="Yes","LRA-Paint","")</f>
        <v>LRA-Paint</v>
      </c>
      <c r="AC330" t="str">
        <f>IF(R333="Yes","LRA-Dust","")</f>
        <v>LRA-Dust</v>
      </c>
      <c r="AD330" t="str">
        <f>IF(S331="Yes","LSK-Soil","")</f>
        <v/>
      </c>
      <c r="AE330" t="str">
        <f>IF(S332="Yes","LSK-Paint","")</f>
        <v/>
      </c>
      <c r="AF330" t="str">
        <f>IF(S333="Yes","LSK-Dust","")</f>
        <v/>
      </c>
    </row>
    <row r="331" spans="1:32" x14ac:dyDescent="0.2">
      <c r="A331" t="s">
        <v>235</v>
      </c>
      <c r="B331" t="s">
        <v>221</v>
      </c>
      <c r="C331">
        <v>1.4</v>
      </c>
      <c r="D331" t="s">
        <v>4</v>
      </c>
      <c r="E331" t="s">
        <v>5</v>
      </c>
      <c r="F331" s="2" t="str">
        <f t="shared" ref="F331:F336" si="162">IF(C331&gt;=$W$2,"Yes","No")</f>
        <v>Yes</v>
      </c>
      <c r="G331" t="s">
        <v>5</v>
      </c>
      <c r="H331" t="s">
        <v>46</v>
      </c>
      <c r="J331" s="2" t="s">
        <v>6</v>
      </c>
      <c r="K331">
        <v>23.8</v>
      </c>
      <c r="L331" t="s">
        <v>12</v>
      </c>
      <c r="M331" t="s">
        <v>114</v>
      </c>
      <c r="N331" t="str">
        <f>IF(K331="N/A","No", IF(K331&gt;1200,"Yes","No"))</f>
        <v>No</v>
      </c>
      <c r="O331" t="str">
        <f t="shared" ref="O331:O333" si="163">IF(K331="Not","No",IF(K331="n/a","N/A",IF(K331&gt;$Y$3,"Yes","No")))</f>
        <v>No</v>
      </c>
      <c r="Q331" s="2" t="s">
        <v>116</v>
      </c>
      <c r="R331" t="str">
        <f>_xlfn.XLOOKUP("mg/Kg",D331:D339,F331:F339,"N/A")</f>
        <v>No</v>
      </c>
      <c r="S331" t="str">
        <f>IF(COUNTIF(O331:O333,"Yes"),"Yes","No")</f>
        <v>No</v>
      </c>
      <c r="U331" t="s">
        <v>92</v>
      </c>
      <c r="V331" t="s">
        <v>120</v>
      </c>
      <c r="W331" t="s">
        <v>120</v>
      </c>
      <c r="X331" t="str">
        <f>IF(V331="N/A","N/A",IF(W331="N/A", "N/A", IF(V331=W331, "Yes","No")))</f>
        <v>N/A</v>
      </c>
    </row>
    <row r="332" spans="1:32" x14ac:dyDescent="0.2">
      <c r="A332" t="s">
        <v>235</v>
      </c>
      <c r="B332" t="s">
        <v>236</v>
      </c>
      <c r="C332">
        <v>2.5</v>
      </c>
      <c r="D332" t="s">
        <v>4</v>
      </c>
      <c r="E332" t="s">
        <v>5</v>
      </c>
      <c r="F332" s="2" t="str">
        <f t="shared" si="162"/>
        <v>Yes</v>
      </c>
      <c r="G332" t="s">
        <v>5</v>
      </c>
      <c r="H332" t="s">
        <v>46</v>
      </c>
      <c r="J332" s="2" t="s">
        <v>11</v>
      </c>
      <c r="K332">
        <v>50.9</v>
      </c>
      <c r="L332" t="s">
        <v>12</v>
      </c>
      <c r="M332" t="s">
        <v>67</v>
      </c>
      <c r="N332" t="str">
        <f t="shared" ref="N332:N333" si="164">IF(K332="N/A","No", IF(K332&gt;1200,"Yes","No"))</f>
        <v>No</v>
      </c>
      <c r="O332" t="str">
        <f t="shared" si="163"/>
        <v>No</v>
      </c>
      <c r="Q332" s="2" t="s">
        <v>98</v>
      </c>
      <c r="R332" t="str">
        <f>_xlfn.XLOOKUP("mg/cm2",D331:D339,G331:G339,"N/A")</f>
        <v>Yes</v>
      </c>
      <c r="S332" t="str">
        <f>IF(COUNTIF(O334:O335,"Yes"),"Yes","No")</f>
        <v>No</v>
      </c>
      <c r="U332" t="s">
        <v>95</v>
      </c>
      <c r="V332" t="str">
        <f>R331</f>
        <v>No</v>
      </c>
      <c r="W332" t="str">
        <f>S331</f>
        <v>No</v>
      </c>
      <c r="X332" t="str">
        <f t="shared" ref="X332:X335" si="165">IF(V332="N/A","N/A",IF(W332="N/A", "N/A", IF(V332=W332, "Yes","No")))</f>
        <v>Yes</v>
      </c>
    </row>
    <row r="333" spans="1:32" x14ac:dyDescent="0.2">
      <c r="A333" t="s">
        <v>235</v>
      </c>
      <c r="B333" t="s">
        <v>220</v>
      </c>
      <c r="C333">
        <v>3</v>
      </c>
      <c r="D333" t="s">
        <v>4</v>
      </c>
      <c r="E333" t="s">
        <v>5</v>
      </c>
      <c r="F333" s="2" t="str">
        <f t="shared" si="162"/>
        <v>Yes</v>
      </c>
      <c r="G333" t="s">
        <v>5</v>
      </c>
      <c r="H333" t="s">
        <v>46</v>
      </c>
      <c r="J333" s="2" t="s">
        <v>15</v>
      </c>
      <c r="K333">
        <v>19.8</v>
      </c>
      <c r="L333" t="s">
        <v>12</v>
      </c>
      <c r="M333" t="s">
        <v>112</v>
      </c>
      <c r="N333" t="str">
        <f t="shared" si="164"/>
        <v>No</v>
      </c>
      <c r="O333" t="str">
        <f t="shared" si="163"/>
        <v>No</v>
      </c>
      <c r="Q333" s="2" t="s">
        <v>117</v>
      </c>
      <c r="R333" t="str">
        <f>_xlfn.XLOOKUP("ug/ft2",D331:D339,F331:F339,"N/A")</f>
        <v>Yes</v>
      </c>
      <c r="S333" t="str">
        <f>IF(COUNTIF(O336:O339,"Yes"),"Yes","No")</f>
        <v>No</v>
      </c>
      <c r="U333" t="s">
        <v>163</v>
      </c>
      <c r="V333" t="s">
        <v>9</v>
      </c>
      <c r="W333" t="str">
        <f>O335</f>
        <v>No</v>
      </c>
      <c r="X333" t="str">
        <f t="shared" si="165"/>
        <v>Yes</v>
      </c>
    </row>
    <row r="334" spans="1:32" x14ac:dyDescent="0.2">
      <c r="A334" t="s">
        <v>235</v>
      </c>
      <c r="B334" t="s">
        <v>211</v>
      </c>
      <c r="C334">
        <v>2.9</v>
      </c>
      <c r="D334" t="s">
        <v>4</v>
      </c>
      <c r="E334" t="s">
        <v>5</v>
      </c>
      <c r="F334" s="2" t="str">
        <f t="shared" si="162"/>
        <v>Yes</v>
      </c>
      <c r="G334" t="s">
        <v>5</v>
      </c>
      <c r="H334" t="s">
        <v>46</v>
      </c>
      <c r="J334" s="2" t="s">
        <v>19</v>
      </c>
      <c r="K334">
        <v>618</v>
      </c>
      <c r="L334" t="s">
        <v>12</v>
      </c>
      <c r="M334" t="s">
        <v>46</v>
      </c>
      <c r="N334" t="str">
        <f>IF(K334="N/A","No", IF(K334&gt;5000,"Yes","No"))</f>
        <v>No</v>
      </c>
      <c r="O334" t="str">
        <f>IF(K334="Not","No",IF(K334="n/a","N/A",IF(K334&gt;$Y$2,"Yes","No")))</f>
        <v>No</v>
      </c>
      <c r="Q334" s="2" t="s">
        <v>118</v>
      </c>
      <c r="R334" t="str">
        <f>IF(COUNTIF(R331:R333,"Yes"),"Yes","No")</f>
        <v>Yes</v>
      </c>
      <c r="S334" t="str">
        <f>IF(COUNTIF(S331:S333,"Yes"),"Yes","No")</f>
        <v>No</v>
      </c>
      <c r="U334" t="s">
        <v>164</v>
      </c>
      <c r="V334" t="s">
        <v>5</v>
      </c>
      <c r="W334" t="str">
        <f>O334</f>
        <v>No</v>
      </c>
      <c r="X334" t="str">
        <f t="shared" si="165"/>
        <v>No</v>
      </c>
    </row>
    <row r="335" spans="1:32" x14ac:dyDescent="0.2">
      <c r="A335" t="s">
        <v>235</v>
      </c>
      <c r="B335" t="s">
        <v>211</v>
      </c>
      <c r="C335">
        <v>1.8</v>
      </c>
      <c r="D335" t="s">
        <v>4</v>
      </c>
      <c r="E335" t="s">
        <v>5</v>
      </c>
      <c r="F335" s="2" t="str">
        <f t="shared" si="162"/>
        <v>Yes</v>
      </c>
      <c r="G335" t="s">
        <v>5</v>
      </c>
      <c r="H335" t="s">
        <v>46</v>
      </c>
      <c r="J335" s="2" t="s">
        <v>22</v>
      </c>
      <c r="K335">
        <v>2.5</v>
      </c>
      <c r="L335" t="s">
        <v>12</v>
      </c>
      <c r="M335" t="s">
        <v>43</v>
      </c>
      <c r="N335" t="str">
        <f>IF(K335="N/A","No", IF(K335&gt;5000,"Yes","No"))</f>
        <v>No</v>
      </c>
      <c r="O335" t="str">
        <f>IF(K335="Not","No",IF(K335="n/a","N/A",IF(K335&gt;$Y$2,"Yes","No")))</f>
        <v>No</v>
      </c>
      <c r="U335" t="s">
        <v>162</v>
      </c>
      <c r="V335" t="str">
        <f>R332</f>
        <v>Yes</v>
      </c>
      <c r="W335" t="str">
        <f>S332</f>
        <v>No</v>
      </c>
      <c r="X335" t="str">
        <f t="shared" si="165"/>
        <v>No</v>
      </c>
    </row>
    <row r="336" spans="1:32" x14ac:dyDescent="0.2">
      <c r="A336" t="s">
        <v>185</v>
      </c>
      <c r="B336" t="s">
        <v>211</v>
      </c>
      <c r="C336">
        <v>2.1</v>
      </c>
      <c r="D336" t="s">
        <v>4</v>
      </c>
      <c r="E336" t="s">
        <v>5</v>
      </c>
      <c r="F336" s="2" t="str">
        <f t="shared" si="162"/>
        <v>Yes</v>
      </c>
      <c r="G336" t="s">
        <v>5</v>
      </c>
      <c r="H336" t="s">
        <v>46</v>
      </c>
      <c r="J336" s="2" t="s">
        <v>25</v>
      </c>
      <c r="K336">
        <v>2.5</v>
      </c>
      <c r="L336" t="s">
        <v>12</v>
      </c>
      <c r="M336" t="s">
        <v>126</v>
      </c>
      <c r="N336" t="str">
        <f>IF(K336="N/A","No", IF(K336&gt;20,"Yes","No"))</f>
        <v>No</v>
      </c>
      <c r="O336" t="str">
        <f t="shared" ref="O336:O337" si="166">IF(K336="Not","No",IF(K336="n/a","N/A",IF(K336&gt;$Y$6,"Yes","No")))</f>
        <v>No</v>
      </c>
      <c r="U336" t="s">
        <v>101</v>
      </c>
      <c r="V336" t="s">
        <v>120</v>
      </c>
      <c r="W336" t="s">
        <v>9</v>
      </c>
      <c r="X336" t="str">
        <f>IF(V336="N/A","N/A",IF(W336="N/A", "N/A", IF(V336=W336, "Yes","No")))</f>
        <v>N/A</v>
      </c>
    </row>
    <row r="337" spans="1:32" x14ac:dyDescent="0.2">
      <c r="A337" t="s">
        <v>187</v>
      </c>
      <c r="B337" t="s">
        <v>294</v>
      </c>
      <c r="C337">
        <v>56</v>
      </c>
      <c r="D337" t="s">
        <v>37</v>
      </c>
      <c r="E337" t="s">
        <v>9</v>
      </c>
      <c r="F337" s="2" t="str">
        <f>IF(C337&gt;$W$3,"Yes","No")</f>
        <v>No</v>
      </c>
      <c r="G337" t="s">
        <v>9</v>
      </c>
      <c r="J337" s="2" t="s">
        <v>29</v>
      </c>
      <c r="K337">
        <v>2.5</v>
      </c>
      <c r="L337" t="s">
        <v>12</v>
      </c>
      <c r="M337" t="s">
        <v>222</v>
      </c>
      <c r="N337" t="str">
        <f>IF(K337="N/A","No", IF(K337&gt;20,"Yes","No"))</f>
        <v>No</v>
      </c>
      <c r="O337" t="str">
        <f t="shared" si="166"/>
        <v>No</v>
      </c>
      <c r="U337" t="s">
        <v>104</v>
      </c>
      <c r="V337" t="s">
        <v>5</v>
      </c>
      <c r="W337" t="str">
        <f>O338</f>
        <v>No</v>
      </c>
      <c r="X337" t="str">
        <f>IF(V337="N/A","N/A",IF(W337="N/A", "N/A", IF(V337=W337, "Yes","No")))</f>
        <v>No</v>
      </c>
    </row>
    <row r="338" spans="1:32" x14ac:dyDescent="0.2">
      <c r="A338" t="s">
        <v>201</v>
      </c>
      <c r="B338" t="s">
        <v>236</v>
      </c>
      <c r="C338">
        <v>0</v>
      </c>
      <c r="D338" t="s">
        <v>4</v>
      </c>
      <c r="E338" t="s">
        <v>9</v>
      </c>
      <c r="F338" s="2" t="str">
        <f t="shared" ref="F338" si="167">IF(C338&gt;=$W$2,"Yes","No")</f>
        <v>No</v>
      </c>
      <c r="G338" t="s">
        <v>9</v>
      </c>
      <c r="H338" t="s">
        <v>43</v>
      </c>
      <c r="J338" s="2" t="s">
        <v>34</v>
      </c>
      <c r="K338">
        <v>2.5</v>
      </c>
      <c r="L338" t="s">
        <v>12</v>
      </c>
      <c r="M338" t="s">
        <v>210</v>
      </c>
      <c r="N338" t="str">
        <f>IF(K338="N/A","No", IF(K338&gt;230,"Yes","No"))</f>
        <v>No</v>
      </c>
      <c r="O338" t="str">
        <f>IF(K338="Not","No",IF(K338="n/a","N/A",IF(K338&gt;$Y$5,"Yes","No")))</f>
        <v>No</v>
      </c>
      <c r="U338" t="s">
        <v>106</v>
      </c>
      <c r="V338" t="str">
        <f>R333</f>
        <v>Yes</v>
      </c>
      <c r="W338" t="str">
        <f>S333</f>
        <v>No</v>
      </c>
      <c r="X338" t="str">
        <f>IF(V338="N/A","N/A",IF(W338="N/A", "N/A", IF(V338=W338, "Yes","No")))</f>
        <v>No</v>
      </c>
    </row>
    <row r="339" spans="1:32" x14ac:dyDescent="0.2">
      <c r="A339" t="s">
        <v>109</v>
      </c>
      <c r="B339" t="s">
        <v>295</v>
      </c>
      <c r="C339">
        <v>150</v>
      </c>
      <c r="D339" t="s">
        <v>33</v>
      </c>
      <c r="E339" t="s">
        <v>5</v>
      </c>
      <c r="F339" s="2" t="str">
        <f>IF(C339&gt;$W$5,"Yes","No")</f>
        <v>Yes</v>
      </c>
      <c r="G339" t="s">
        <v>5</v>
      </c>
      <c r="J339" s="2" t="s">
        <v>208</v>
      </c>
      <c r="K339">
        <v>28</v>
      </c>
      <c r="L339" t="s">
        <v>12</v>
      </c>
      <c r="M339" t="s">
        <v>223</v>
      </c>
      <c r="N339" t="str">
        <f>IF(K339="N/A","No", IF(K339&gt;20,"Yes","No"))</f>
        <v>Yes</v>
      </c>
      <c r="O339" t="str">
        <f>IF(K339="Not","No",IF(K339="n/a","N/A",IF(K339&gt;$Y$7,"Yes","No")))</f>
        <v>No</v>
      </c>
      <c r="U339" t="s">
        <v>121</v>
      </c>
      <c r="V339" t="str">
        <f>R334</f>
        <v>Yes</v>
      </c>
      <c r="W339" t="str">
        <f>S334</f>
        <v>No</v>
      </c>
      <c r="X339" t="str">
        <f>IF(V339="N/A","N/A",IF(W339="N/A", "N/A", IF(V339=W339, "Yes","No")))</f>
        <v>No</v>
      </c>
    </row>
    <row r="342" spans="1:32" x14ac:dyDescent="0.2">
      <c r="A342" s="1">
        <f>VLOOKUP(C342,'Grid - LRA Samples'!$A$2:$B$108, 2,FALSE)</f>
        <v>1170</v>
      </c>
      <c r="B342" t="s">
        <v>111</v>
      </c>
      <c r="C342">
        <v>38</v>
      </c>
    </row>
    <row r="343" spans="1:32" x14ac:dyDescent="0.2">
      <c r="A343" s="5" t="s">
        <v>0</v>
      </c>
      <c r="E343" s="2" t="s">
        <v>274</v>
      </c>
      <c r="F343" s="2" t="s">
        <v>275</v>
      </c>
      <c r="G343" t="s">
        <v>119</v>
      </c>
      <c r="J343" s="5" t="s">
        <v>1</v>
      </c>
      <c r="N343" s="2" t="s">
        <v>277</v>
      </c>
      <c r="O343" t="s">
        <v>278</v>
      </c>
      <c r="Q343" s="5" t="s">
        <v>115</v>
      </c>
      <c r="R343" s="5" t="s">
        <v>0</v>
      </c>
      <c r="S343" s="5" t="s">
        <v>1</v>
      </c>
      <c r="U343" s="5" t="s">
        <v>115</v>
      </c>
      <c r="V343" s="5" t="s">
        <v>0</v>
      </c>
      <c r="W343" s="5" t="s">
        <v>1</v>
      </c>
      <c r="X343" s="5" t="s">
        <v>122</v>
      </c>
      <c r="AA343" t="str">
        <f>IF(R344="Yes","LRA-Soil","")</f>
        <v/>
      </c>
      <c r="AB343" t="str">
        <f>IF(R345="Yes","LRA-Paint","")</f>
        <v/>
      </c>
      <c r="AC343" t="str">
        <f>IF(R346="Yes","LRA-Dust","")</f>
        <v/>
      </c>
      <c r="AD343" t="str">
        <f>IF(S344="Yes","LSK-Soil","")</f>
        <v/>
      </c>
      <c r="AE343" t="str">
        <f>IF(S345="Yes","LSK-Paint","")</f>
        <v/>
      </c>
      <c r="AF343" t="str">
        <f>IF(S346="Yes","LSK-Dust","")</f>
        <v/>
      </c>
    </row>
    <row r="344" spans="1:32" x14ac:dyDescent="0.2">
      <c r="A344" t="s">
        <v>185</v>
      </c>
      <c r="B344" t="s">
        <v>236</v>
      </c>
      <c r="C344">
        <v>0</v>
      </c>
      <c r="D344" t="s">
        <v>4</v>
      </c>
      <c r="E344" s="2" t="s">
        <v>9</v>
      </c>
      <c r="F344" s="2" t="str">
        <f t="shared" ref="F344:F345" si="168">IF(C344&gt;=$W$2,"Yes","No")</f>
        <v>No</v>
      </c>
      <c r="G344" t="s">
        <v>9</v>
      </c>
      <c r="H344" t="s">
        <v>46</v>
      </c>
      <c r="J344" s="2" t="s">
        <v>6</v>
      </c>
      <c r="K344">
        <v>15</v>
      </c>
      <c r="L344" t="s">
        <v>12</v>
      </c>
      <c r="M344" t="s">
        <v>114</v>
      </c>
      <c r="N344" t="str">
        <f>IF(K344="N/A","No", IF(K344&gt;1200,"Yes","No"))</f>
        <v>No</v>
      </c>
      <c r="O344" t="str">
        <f t="shared" ref="O344:O346" si="169">IF(K344="Not","No",IF(K344="n/a","N/A",IF(K344&gt;$Y$3,"Yes","No")))</f>
        <v>No</v>
      </c>
      <c r="Q344" s="2" t="s">
        <v>116</v>
      </c>
      <c r="R344" t="str">
        <f>_xlfn.XLOOKUP("mg/Kg",D344:D347,F344:F347,"N/A")</f>
        <v>N/A</v>
      </c>
      <c r="S344" t="str">
        <f>IF(COUNTIF(O344:O346,"Yes"),"Yes","No")</f>
        <v>No</v>
      </c>
      <c r="U344" t="s">
        <v>92</v>
      </c>
      <c r="V344" t="s">
        <v>120</v>
      </c>
      <c r="W344" t="s">
        <v>120</v>
      </c>
      <c r="X344" t="str">
        <f>IF(V344="N/A","N/A",IF(W344="N/A", "N/A", IF(V344=W344, "Yes","No")))</f>
        <v>N/A</v>
      </c>
    </row>
    <row r="345" spans="1:32" x14ac:dyDescent="0.2">
      <c r="A345" t="s">
        <v>71</v>
      </c>
      <c r="B345" t="s">
        <v>77</v>
      </c>
      <c r="C345">
        <v>0</v>
      </c>
      <c r="D345" t="s">
        <v>4</v>
      </c>
      <c r="F345" s="2" t="str">
        <f t="shared" si="168"/>
        <v>No</v>
      </c>
      <c r="G345" t="s">
        <v>9</v>
      </c>
      <c r="J345" s="2" t="s">
        <v>11</v>
      </c>
      <c r="K345">
        <v>14.2</v>
      </c>
      <c r="L345" t="s">
        <v>12</v>
      </c>
      <c r="M345" t="s">
        <v>67</v>
      </c>
      <c r="N345" t="str">
        <f t="shared" ref="N345:N346" si="170">IF(K345="N/A","No", IF(K345&gt;1200,"Yes","No"))</f>
        <v>No</v>
      </c>
      <c r="O345" t="str">
        <f t="shared" si="169"/>
        <v>No</v>
      </c>
      <c r="Q345" s="2" t="s">
        <v>98</v>
      </c>
      <c r="R345" t="str">
        <f>_xlfn.XLOOKUP("mg/cm2",D344:D346,G344:G346,"N/A")</f>
        <v>No</v>
      </c>
      <c r="S345" t="str">
        <f>IF(COUNTIF(O347:O348,"Yes"),"Yes","No")</f>
        <v>No</v>
      </c>
      <c r="U345" t="s">
        <v>95</v>
      </c>
      <c r="V345" t="str">
        <f>R344</f>
        <v>N/A</v>
      </c>
      <c r="W345" t="str">
        <f>S344</f>
        <v>No</v>
      </c>
      <c r="X345" t="str">
        <f t="shared" ref="X345:X348" si="171">IF(V345="N/A","N/A",IF(W345="N/A", "N/A", IF(V345=W345, "Yes","No")))</f>
        <v>N/A</v>
      </c>
    </row>
    <row r="346" spans="1:32" x14ac:dyDescent="0.2">
      <c r="A346" t="s">
        <v>109</v>
      </c>
      <c r="B346" t="s">
        <v>32</v>
      </c>
      <c r="C346">
        <v>3</v>
      </c>
      <c r="D346" t="s">
        <v>33</v>
      </c>
      <c r="F346" s="2" t="str">
        <f>IF(C346&gt;$W$6,"Yes","No")</f>
        <v>No</v>
      </c>
      <c r="G346" t="s">
        <v>9</v>
      </c>
      <c r="J346" s="2" t="s">
        <v>15</v>
      </c>
      <c r="K346">
        <v>14.5</v>
      </c>
      <c r="L346" t="s">
        <v>12</v>
      </c>
      <c r="M346" t="s">
        <v>112</v>
      </c>
      <c r="N346" t="str">
        <f t="shared" si="170"/>
        <v>No</v>
      </c>
      <c r="O346" t="str">
        <f t="shared" si="169"/>
        <v>No</v>
      </c>
      <c r="Q346" s="2" t="s">
        <v>117</v>
      </c>
      <c r="R346" t="str">
        <f>_xlfn.XLOOKUP("ug/ft2",D344:D347,F344:F347,"N/A")</f>
        <v>No</v>
      </c>
      <c r="S346" t="str">
        <f>IF(COUNTIF(O349:O352,"Yes"),"Yes","No")</f>
        <v>No</v>
      </c>
      <c r="U346" t="s">
        <v>163</v>
      </c>
      <c r="V346" t="s">
        <v>9</v>
      </c>
      <c r="W346" t="str">
        <f>O348</f>
        <v>No</v>
      </c>
      <c r="X346" t="str">
        <f t="shared" si="171"/>
        <v>Yes</v>
      </c>
    </row>
    <row r="347" spans="1:32" x14ac:dyDescent="0.2">
      <c r="A347" t="s">
        <v>75</v>
      </c>
      <c r="B347" t="s">
        <v>456</v>
      </c>
      <c r="C347">
        <v>1.1000000000000001</v>
      </c>
      <c r="D347" t="s">
        <v>4</v>
      </c>
      <c r="F347" s="2"/>
      <c r="G347" t="s">
        <v>5</v>
      </c>
      <c r="J347" s="2" t="s">
        <v>19</v>
      </c>
      <c r="K347" t="s">
        <v>120</v>
      </c>
      <c r="L347" t="s">
        <v>12</v>
      </c>
      <c r="M347" t="s">
        <v>46</v>
      </c>
      <c r="N347" t="str">
        <f>IF(K347="N/A","No", IF(K347&gt;5000,"Yes","No"))</f>
        <v>No</v>
      </c>
      <c r="O347" t="str">
        <f>IF(K347="Not","No",IF(K347="n/a","N/A",IF(K347&gt;$Y$2,"Yes","No")))</f>
        <v>N/A</v>
      </c>
      <c r="Q347" s="2" t="s">
        <v>118</v>
      </c>
      <c r="R347" t="str">
        <f>IF(COUNTIF(R344:R346,"Yes"),"Yes","No")</f>
        <v>No</v>
      </c>
      <c r="S347" t="str">
        <f>IF(COUNTIF(S344:S346,"Yes"),"Yes","No")</f>
        <v>No</v>
      </c>
      <c r="U347" t="s">
        <v>164</v>
      </c>
      <c r="V347" t="s">
        <v>9</v>
      </c>
      <c r="W347" t="str">
        <f>O347</f>
        <v>N/A</v>
      </c>
      <c r="X347" t="str">
        <f t="shared" si="171"/>
        <v>N/A</v>
      </c>
    </row>
    <row r="348" spans="1:32" x14ac:dyDescent="0.2">
      <c r="F348" s="2"/>
      <c r="J348" s="2" t="s">
        <v>22</v>
      </c>
      <c r="K348">
        <v>2.5</v>
      </c>
      <c r="L348" t="s">
        <v>12</v>
      </c>
      <c r="M348" t="s">
        <v>43</v>
      </c>
      <c r="N348" t="str">
        <f>IF(K348="N/A","No", IF(K348&gt;5000,"Yes","No"))</f>
        <v>No</v>
      </c>
      <c r="O348" t="str">
        <f>IF(K348="Not","No",IF(K348="n/a","N/A",IF(K348&gt;$Y$2,"Yes","No")))</f>
        <v>No</v>
      </c>
      <c r="U348" t="s">
        <v>162</v>
      </c>
      <c r="V348" t="str">
        <f>R345</f>
        <v>No</v>
      </c>
      <c r="W348" t="str">
        <f>S345</f>
        <v>No</v>
      </c>
      <c r="X348" t="str">
        <f t="shared" si="171"/>
        <v>Yes</v>
      </c>
    </row>
    <row r="349" spans="1:32" x14ac:dyDescent="0.2">
      <c r="F349" s="2"/>
      <c r="J349" s="2" t="s">
        <v>25</v>
      </c>
      <c r="K349">
        <v>2.5</v>
      </c>
      <c r="L349" t="s">
        <v>12</v>
      </c>
      <c r="M349" t="s">
        <v>126</v>
      </c>
      <c r="N349" t="str">
        <f>IF(K349="N/A","No", IF(K349&gt;20,"Yes","No"))</f>
        <v>No</v>
      </c>
      <c r="O349" t="str">
        <f t="shared" ref="O349:O350" si="172">IF(K349="Not","No",IF(K349="n/a","N/A",IF(K349&gt;$Y$6,"Yes","No")))</f>
        <v>No</v>
      </c>
      <c r="U349" t="s">
        <v>101</v>
      </c>
      <c r="V349" t="s">
        <v>9</v>
      </c>
      <c r="W349" t="s">
        <v>9</v>
      </c>
      <c r="X349" t="str">
        <f>IF(V349="N/A","N/A",IF(W349="N/A", "N/A", IF(V349=W349, "Yes","No")))</f>
        <v>Yes</v>
      </c>
    </row>
    <row r="350" spans="1:32" x14ac:dyDescent="0.2">
      <c r="J350" s="2" t="s">
        <v>29</v>
      </c>
      <c r="K350">
        <v>2.5</v>
      </c>
      <c r="L350" t="s">
        <v>12</v>
      </c>
      <c r="M350" t="s">
        <v>222</v>
      </c>
      <c r="N350" t="str">
        <f>IF(K350="N/A","No", IF(K350&gt;20,"Yes","No"))</f>
        <v>No</v>
      </c>
      <c r="O350" t="str">
        <f t="shared" si="172"/>
        <v>No</v>
      </c>
      <c r="U350" t="s">
        <v>104</v>
      </c>
      <c r="V350" t="s">
        <v>120</v>
      </c>
      <c r="W350" t="str">
        <f>O351</f>
        <v>No</v>
      </c>
      <c r="X350" t="str">
        <f>IF(V350="N/A","N/A",IF(W350="N/A", "N/A", IF(V350=W350, "Yes","No")))</f>
        <v>N/A</v>
      </c>
    </row>
    <row r="351" spans="1:32" x14ac:dyDescent="0.2">
      <c r="F351" s="2"/>
      <c r="J351" s="2" t="s">
        <v>34</v>
      </c>
      <c r="K351">
        <v>2.5</v>
      </c>
      <c r="L351" t="s">
        <v>12</v>
      </c>
      <c r="M351" t="s">
        <v>210</v>
      </c>
      <c r="N351" t="str">
        <f>IF(K351="N/A","No", IF(K351&gt;230,"Yes","No"))</f>
        <v>No</v>
      </c>
      <c r="O351" t="str">
        <f>IF(K351="Not","No",IF(K351="n/a","N/A",IF(K351&gt;$Y$5,"Yes","No")))</f>
        <v>No</v>
      </c>
      <c r="U351" t="s">
        <v>106</v>
      </c>
      <c r="V351" t="str">
        <f>R346</f>
        <v>No</v>
      </c>
      <c r="W351" t="str">
        <f>S346</f>
        <v>No</v>
      </c>
      <c r="X351" t="str">
        <f>IF(V351="N/A","N/A",IF(W351="N/A", "N/A", IF(V351=W351, "Yes","No")))</f>
        <v>Yes</v>
      </c>
    </row>
    <row r="352" spans="1:32" x14ac:dyDescent="0.2">
      <c r="F352" s="2"/>
      <c r="J352" s="2" t="s">
        <v>208</v>
      </c>
      <c r="K352">
        <v>9.1</v>
      </c>
      <c r="L352" t="s">
        <v>12</v>
      </c>
      <c r="M352" t="s">
        <v>223</v>
      </c>
      <c r="N352" t="str">
        <f>IF(K352="N/A","No", IF(K352&gt;20,"Yes","No"))</f>
        <v>No</v>
      </c>
      <c r="O352" t="str">
        <f>IF(K352="Not","No",IF(K352="n/a","N/A",IF(K352&gt;$Y$7,"Yes","No")))</f>
        <v>No</v>
      </c>
      <c r="U352" t="s">
        <v>121</v>
      </c>
      <c r="V352" t="str">
        <f>R347</f>
        <v>No</v>
      </c>
      <c r="W352" t="str">
        <f>S347</f>
        <v>No</v>
      </c>
      <c r="X352" t="str">
        <f>IF(V352="N/A","N/A",IF(W352="N/A", "N/A", IF(V352=W352, "Yes","No")))</f>
        <v>Yes</v>
      </c>
    </row>
    <row r="354" spans="1:32" x14ac:dyDescent="0.2">
      <c r="A354" s="1">
        <f>VLOOKUP(C354,'Grid - LRA Samples'!$A$2:$B$108, 2,FALSE)</f>
        <v>1171</v>
      </c>
      <c r="B354" t="s">
        <v>111</v>
      </c>
      <c r="C354">
        <v>39</v>
      </c>
    </row>
    <row r="355" spans="1:32" x14ac:dyDescent="0.2">
      <c r="A355" s="5" t="s">
        <v>0</v>
      </c>
      <c r="E355" s="2" t="s">
        <v>274</v>
      </c>
      <c r="F355" s="2" t="s">
        <v>275</v>
      </c>
      <c r="G355" t="s">
        <v>119</v>
      </c>
      <c r="J355" s="5" t="s">
        <v>1</v>
      </c>
      <c r="N355" s="2" t="s">
        <v>277</v>
      </c>
      <c r="O355" t="s">
        <v>278</v>
      </c>
      <c r="Q355" s="5" t="s">
        <v>115</v>
      </c>
      <c r="R355" s="5" t="s">
        <v>0</v>
      </c>
      <c r="S355" s="5" t="s">
        <v>1</v>
      </c>
      <c r="U355" s="5" t="s">
        <v>115</v>
      </c>
      <c r="V355" s="5" t="s">
        <v>0</v>
      </c>
      <c r="W355" s="5" t="s">
        <v>1</v>
      </c>
      <c r="X355" s="5" t="s">
        <v>122</v>
      </c>
      <c r="AA355" t="str">
        <f>IF(R356="Yes","LRA-Soil","")</f>
        <v/>
      </c>
      <c r="AB355" t="str">
        <f>IF(R357="Yes","LRA-Paint","")</f>
        <v/>
      </c>
      <c r="AC355" t="str">
        <f>IF(R358="Yes","LRA-Dust","")</f>
        <v/>
      </c>
      <c r="AD355" t="str">
        <f>IF(S356="Yes","LSK-Soil","")</f>
        <v/>
      </c>
      <c r="AE355" t="str">
        <f>IF(S357="Yes","LSK-Paint","")</f>
        <v/>
      </c>
      <c r="AF355" t="str">
        <f>IF(S358="Yes","LSK-Dust","")</f>
        <v>LSK-Dust</v>
      </c>
    </row>
    <row r="356" spans="1:32" x14ac:dyDescent="0.2">
      <c r="A356" t="s">
        <v>185</v>
      </c>
      <c r="B356" t="s">
        <v>77</v>
      </c>
      <c r="C356">
        <v>0.08</v>
      </c>
      <c r="D356" t="s">
        <v>4</v>
      </c>
      <c r="E356" s="2"/>
      <c r="F356" s="2" t="str">
        <f t="shared" ref="F356" si="173">IF(C356&gt;=$W$2,"Yes","No")</f>
        <v>No</v>
      </c>
      <c r="G356" t="s">
        <v>9</v>
      </c>
      <c r="H356" t="s">
        <v>46</v>
      </c>
      <c r="J356" s="2" t="s">
        <v>6</v>
      </c>
      <c r="K356">
        <v>31.9</v>
      </c>
      <c r="L356" t="s">
        <v>12</v>
      </c>
      <c r="M356" t="s">
        <v>114</v>
      </c>
      <c r="N356" t="str">
        <f>IF(K356="N/A","No", IF(K356&gt;1200,"Yes","No"))</f>
        <v>No</v>
      </c>
      <c r="O356" t="str">
        <f t="shared" ref="O356:O358" si="174">IF(K356="Not","No",IF(K356="n/a","N/A",IF(K356&gt;$Y$3,"Yes","No")))</f>
        <v>No</v>
      </c>
      <c r="Q356" s="2" t="s">
        <v>116</v>
      </c>
      <c r="R356" t="str">
        <f>_xlfn.XLOOKUP("ppm",D356:D359,F356:F359,"N/A")</f>
        <v>No</v>
      </c>
      <c r="S356" t="str">
        <f>IF(COUNTIF(O356:O358,"Yes"),"Yes","No")</f>
        <v>No</v>
      </c>
      <c r="U356" t="s">
        <v>92</v>
      </c>
      <c r="V356" t="s">
        <v>120</v>
      </c>
      <c r="W356" t="s">
        <v>120</v>
      </c>
      <c r="X356" t="str">
        <f>IF(V356="N/A","N/A",IF(W356="N/A", "N/A", IF(V356=W356, "Yes","No")))</f>
        <v>N/A</v>
      </c>
    </row>
    <row r="357" spans="1:32" x14ac:dyDescent="0.2">
      <c r="A357" t="s">
        <v>161</v>
      </c>
      <c r="B357" t="s">
        <v>28</v>
      </c>
      <c r="C357">
        <v>40</v>
      </c>
      <c r="D357" t="s">
        <v>12</v>
      </c>
      <c r="F357" s="2" t="str">
        <f>IF(C357&gt;$W$3,"Yes","No")</f>
        <v>No</v>
      </c>
      <c r="G357" t="s">
        <v>9</v>
      </c>
      <c r="J357" s="2" t="s">
        <v>11</v>
      </c>
      <c r="K357">
        <v>19.399999999999999</v>
      </c>
      <c r="L357" t="s">
        <v>12</v>
      </c>
      <c r="M357" t="s">
        <v>67</v>
      </c>
      <c r="N357" t="str">
        <f t="shared" ref="N357:N358" si="175">IF(K357="N/A","No", IF(K357&gt;1200,"Yes","No"))</f>
        <v>No</v>
      </c>
      <c r="O357" t="str">
        <f t="shared" si="174"/>
        <v>No</v>
      </c>
      <c r="Q357" s="2" t="s">
        <v>98</v>
      </c>
      <c r="R357" t="str">
        <f>_xlfn.XLOOKUP("mg/cm2",D356:D364,G356:G364,"N/A")</f>
        <v>No</v>
      </c>
      <c r="S357" t="str">
        <f>IF(COUNTIF(O359:O360,"Yes"),"Yes","No")</f>
        <v>No</v>
      </c>
      <c r="U357" t="s">
        <v>95</v>
      </c>
      <c r="V357" t="str">
        <f>R356</f>
        <v>No</v>
      </c>
      <c r="W357" t="str">
        <f>S356</f>
        <v>No</v>
      </c>
      <c r="X357" t="str">
        <f t="shared" ref="X357:X360" si="176">IF(V357="N/A","N/A",IF(W357="N/A", "N/A", IF(V357=W357, "Yes","No")))</f>
        <v>Yes</v>
      </c>
    </row>
    <row r="358" spans="1:32" x14ac:dyDescent="0.2">
      <c r="A358" t="s">
        <v>71</v>
      </c>
      <c r="B358" t="s">
        <v>10</v>
      </c>
      <c r="C358">
        <v>0</v>
      </c>
      <c r="D358" t="s">
        <v>4</v>
      </c>
      <c r="F358" s="2" t="str">
        <f t="shared" ref="F358" si="177">IF(C358&gt;=$W$2,"Yes","No")</f>
        <v>No</v>
      </c>
      <c r="G358" t="s">
        <v>9</v>
      </c>
      <c r="H358" t="s">
        <v>43</v>
      </c>
      <c r="J358" s="2" t="s">
        <v>15</v>
      </c>
      <c r="K358">
        <v>20.5</v>
      </c>
      <c r="L358" t="s">
        <v>12</v>
      </c>
      <c r="M358" t="s">
        <v>112</v>
      </c>
      <c r="N358" t="str">
        <f t="shared" si="175"/>
        <v>No</v>
      </c>
      <c r="O358" t="str">
        <f t="shared" si="174"/>
        <v>No</v>
      </c>
      <c r="Q358" s="2" t="s">
        <v>117</v>
      </c>
      <c r="R358" t="str">
        <f>_xlfn.XLOOKUP("ug/ft2",D356:D361,F356:F361,"N/A")</f>
        <v>No</v>
      </c>
      <c r="S358" t="str">
        <f>IF(COUNTIF(O361:O364,"Yes"),"Yes","No")</f>
        <v>Yes</v>
      </c>
      <c r="U358" t="s">
        <v>163</v>
      </c>
      <c r="V358" t="s">
        <v>120</v>
      </c>
      <c r="W358" t="str">
        <f>O360</f>
        <v>No</v>
      </c>
      <c r="X358" t="str">
        <f t="shared" si="176"/>
        <v>N/A</v>
      </c>
    </row>
    <row r="359" spans="1:32" x14ac:dyDescent="0.2">
      <c r="A359" t="s">
        <v>71</v>
      </c>
      <c r="B359" t="s">
        <v>32</v>
      </c>
      <c r="C359">
        <v>3</v>
      </c>
      <c r="D359" t="s">
        <v>33</v>
      </c>
      <c r="F359" s="2" t="str">
        <f>IF(C359&gt;$W$6,"Yes","No")</f>
        <v>No</v>
      </c>
      <c r="G359" t="s">
        <v>9</v>
      </c>
      <c r="J359" s="2" t="s">
        <v>19</v>
      </c>
      <c r="K359">
        <v>3474</v>
      </c>
      <c r="L359" t="s">
        <v>12</v>
      </c>
      <c r="M359" t="s">
        <v>46</v>
      </c>
      <c r="N359" t="str">
        <f>IF(K359="N/A","No", IF(K359&gt;5000,"Yes","No"))</f>
        <v>No</v>
      </c>
      <c r="O359" t="str">
        <f>IF(K359="Not","No",IF(K359="n/a","N/A",IF(K359&gt;$Y$2,"Yes","No")))</f>
        <v>No</v>
      </c>
      <c r="Q359" s="2" t="s">
        <v>118</v>
      </c>
      <c r="R359" t="str">
        <f>IF(COUNTIF(R356:R358,"Yes"),"Yes","No")</f>
        <v>No</v>
      </c>
      <c r="S359" t="str">
        <f>IF(COUNTIF(S356:S358,"Yes"),"Yes","No")</f>
        <v>Yes</v>
      </c>
      <c r="U359" t="s">
        <v>164</v>
      </c>
      <c r="V359" t="s">
        <v>9</v>
      </c>
      <c r="W359" t="str">
        <f>O359</f>
        <v>No</v>
      </c>
      <c r="X359" t="str">
        <f t="shared" si="176"/>
        <v>Yes</v>
      </c>
    </row>
    <row r="360" spans="1:32" x14ac:dyDescent="0.2">
      <c r="F360" s="2"/>
      <c r="J360" s="2" t="s">
        <v>22</v>
      </c>
      <c r="K360">
        <v>69</v>
      </c>
      <c r="L360" t="s">
        <v>12</v>
      </c>
      <c r="M360" t="s">
        <v>43</v>
      </c>
      <c r="N360" t="str">
        <f>IF(K360="N/A","No", IF(K360&gt;5000,"Yes","No"))</f>
        <v>No</v>
      </c>
      <c r="O360" t="str">
        <f>IF(K360="Not","No",IF(K360="n/a","N/A",IF(K360&gt;$Y$2,"Yes","No")))</f>
        <v>No</v>
      </c>
      <c r="U360" t="s">
        <v>162</v>
      </c>
      <c r="V360" t="str">
        <f>R357</f>
        <v>No</v>
      </c>
      <c r="W360" t="str">
        <f>S357</f>
        <v>No</v>
      </c>
      <c r="X360" t="str">
        <f t="shared" si="176"/>
        <v>Yes</v>
      </c>
    </row>
    <row r="361" spans="1:32" x14ac:dyDescent="0.2">
      <c r="F361" s="2"/>
      <c r="J361" s="2" t="s">
        <v>25</v>
      </c>
      <c r="K361">
        <v>2.5</v>
      </c>
      <c r="L361" t="s">
        <v>12</v>
      </c>
      <c r="M361" t="s">
        <v>126</v>
      </c>
      <c r="N361" t="str">
        <f>IF(K361="N/A","No", IF(K361&gt;20,"Yes","No"))</f>
        <v>No</v>
      </c>
      <c r="O361" t="str">
        <f t="shared" ref="O361:O362" si="178">IF(K361="Not","No",IF(K361="n/a","N/A",IF(K361&gt;$Y$6,"Yes","No")))</f>
        <v>No</v>
      </c>
      <c r="U361" t="s">
        <v>101</v>
      </c>
      <c r="V361" t="s">
        <v>9</v>
      </c>
      <c r="W361" t="s">
        <v>9</v>
      </c>
      <c r="X361" t="str">
        <f>IF(V361="N/A","N/A",IF(W361="N/A", "N/A", IF(V361=W361, "Yes","No")))</f>
        <v>Yes</v>
      </c>
    </row>
    <row r="362" spans="1:32" x14ac:dyDescent="0.2">
      <c r="J362" s="2" t="s">
        <v>29</v>
      </c>
      <c r="K362">
        <v>47</v>
      </c>
      <c r="L362" t="s">
        <v>12</v>
      </c>
      <c r="M362" t="s">
        <v>222</v>
      </c>
      <c r="N362" t="str">
        <f>IF(K362="N/A","No", IF(K362&gt;20,"Yes","No"))</f>
        <v>Yes</v>
      </c>
      <c r="O362" t="str">
        <f t="shared" si="178"/>
        <v>Yes</v>
      </c>
      <c r="U362" t="s">
        <v>104</v>
      </c>
      <c r="V362" t="s">
        <v>120</v>
      </c>
      <c r="W362" t="str">
        <f>O363</f>
        <v>No</v>
      </c>
      <c r="X362" t="str">
        <f>IF(V362="N/A","N/A",IF(W362="N/A", "N/A", IF(V362=W362, "Yes","No")))</f>
        <v>N/A</v>
      </c>
    </row>
    <row r="363" spans="1:32" x14ac:dyDescent="0.2">
      <c r="F363" s="2"/>
      <c r="J363" s="2" t="s">
        <v>34</v>
      </c>
      <c r="K363">
        <v>2.5</v>
      </c>
      <c r="L363" t="s">
        <v>12</v>
      </c>
      <c r="M363" t="s">
        <v>210</v>
      </c>
      <c r="N363" t="str">
        <f>IF(K363="N/A","No", IF(K363&gt;230,"Yes","No"))</f>
        <v>No</v>
      </c>
      <c r="O363" t="str">
        <f>IF(K363="Not","No",IF(K363="n/a","N/A",IF(K363&gt;$Y$5,"Yes","No")))</f>
        <v>No</v>
      </c>
      <c r="U363" t="s">
        <v>106</v>
      </c>
      <c r="V363" t="str">
        <f>R358</f>
        <v>No</v>
      </c>
      <c r="W363" t="str">
        <f>S358</f>
        <v>Yes</v>
      </c>
      <c r="X363" t="str">
        <f>IF(V363="N/A","N/A",IF(W363="N/A", "N/A", IF(V363=W363, "Yes","No")))</f>
        <v>No</v>
      </c>
    </row>
    <row r="364" spans="1:32" x14ac:dyDescent="0.2">
      <c r="F364" s="2"/>
      <c r="J364" s="2" t="s">
        <v>208</v>
      </c>
      <c r="K364">
        <v>10.7</v>
      </c>
      <c r="L364" t="s">
        <v>12</v>
      </c>
      <c r="M364" t="s">
        <v>223</v>
      </c>
      <c r="N364" t="str">
        <f>IF(K364="N/A","No", IF(K364&gt;20,"Yes","No"))</f>
        <v>No</v>
      </c>
      <c r="O364" t="str">
        <f>IF(K364="Not","No",IF(K364="n/a","N/A",IF(K364&gt;$Y$7,"Yes","No")))</f>
        <v>No</v>
      </c>
      <c r="U364" t="s">
        <v>121</v>
      </c>
      <c r="V364" t="str">
        <f>R359</f>
        <v>No</v>
      </c>
      <c r="W364" t="str">
        <f>S359</f>
        <v>Yes</v>
      </c>
      <c r="X364" t="str">
        <f>IF(V364="N/A","N/A",IF(W364="N/A", "N/A", IF(V364=W364, "Yes","No")))</f>
        <v>No</v>
      </c>
    </row>
    <row r="366" spans="1:32" x14ac:dyDescent="0.2">
      <c r="A366" s="1">
        <f>VLOOKUP(C366,'Grid - LRA Samples'!$A$2:$B$108, 2,FALSE)</f>
        <v>1172</v>
      </c>
      <c r="B366" t="s">
        <v>111</v>
      </c>
      <c r="C366">
        <v>40</v>
      </c>
    </row>
    <row r="367" spans="1:32" x14ac:dyDescent="0.2">
      <c r="A367" s="5" t="s">
        <v>0</v>
      </c>
      <c r="E367" s="2" t="s">
        <v>274</v>
      </c>
      <c r="F367" s="2" t="s">
        <v>275</v>
      </c>
      <c r="G367" t="s">
        <v>119</v>
      </c>
      <c r="J367" s="5" t="s">
        <v>1</v>
      </c>
      <c r="N367" s="2" t="s">
        <v>277</v>
      </c>
      <c r="O367" t="s">
        <v>278</v>
      </c>
      <c r="Q367" s="5" t="s">
        <v>115</v>
      </c>
      <c r="R367" s="5" t="s">
        <v>0</v>
      </c>
      <c r="S367" s="5" t="s">
        <v>1</v>
      </c>
      <c r="U367" s="5" t="s">
        <v>115</v>
      </c>
      <c r="V367" s="5" t="s">
        <v>0</v>
      </c>
      <c r="W367" s="5" t="s">
        <v>1</v>
      </c>
      <c r="X367" s="5" t="s">
        <v>122</v>
      </c>
      <c r="AA367" t="str">
        <f>IF(R368="Yes","LRA-Soil","")</f>
        <v>LRA-Soil</v>
      </c>
      <c r="AB367" t="str">
        <f>IF(R369="Yes","LRA-Paint","")</f>
        <v>LRA-Paint</v>
      </c>
      <c r="AC367" t="str">
        <f>IF(R370="Yes","LRA-Dust","")</f>
        <v>LRA-Dust</v>
      </c>
      <c r="AD367" t="str">
        <f>IF(S368="Yes","LSK-Soil","")</f>
        <v>LSK-Soil</v>
      </c>
      <c r="AE367" t="str">
        <f>IF(S369="Yes","LSK-Paint","")</f>
        <v/>
      </c>
      <c r="AF367" t="str">
        <f>IF(S370="Yes","LSK-Dust","")</f>
        <v>LSK-Dust</v>
      </c>
    </row>
    <row r="368" spans="1:32" x14ac:dyDescent="0.2">
      <c r="A368" t="s">
        <v>185</v>
      </c>
      <c r="B368" t="s">
        <v>299</v>
      </c>
      <c r="C368">
        <v>4.9000000000000004</v>
      </c>
      <c r="D368" t="s">
        <v>4</v>
      </c>
      <c r="E368" t="s">
        <v>5</v>
      </c>
      <c r="F368" s="2" t="str">
        <f t="shared" ref="F368:F369" si="179">IF(C368&gt;=$W$2,"Yes","No")</f>
        <v>Yes</v>
      </c>
      <c r="G368" t="s">
        <v>5</v>
      </c>
      <c r="H368" t="s">
        <v>46</v>
      </c>
      <c r="J368" s="2" t="s">
        <v>6</v>
      </c>
      <c r="K368">
        <v>141</v>
      </c>
      <c r="L368" t="s">
        <v>12</v>
      </c>
      <c r="M368" t="s">
        <v>114</v>
      </c>
      <c r="N368" t="str">
        <f>IF(K368="N/A","No", IF(K368&gt;1200,"Yes","No"))</f>
        <v>No</v>
      </c>
      <c r="O368" t="str">
        <f t="shared" ref="O368:O370" si="180">IF(K368="Not","No",IF(K368="n/a","N/A",IF(K368&gt;$Y$3,"Yes","No")))</f>
        <v>No</v>
      </c>
      <c r="Q368" s="2" t="s">
        <v>116</v>
      </c>
      <c r="R368" t="str">
        <f>_xlfn.XLOOKUP("ppm",D368:D379,F368:F379,"N/A")</f>
        <v>Yes</v>
      </c>
      <c r="S368" t="str">
        <f>IF(COUNTIF(O368:O370,"Yes"),"Yes","No")</f>
        <v>Yes</v>
      </c>
      <c r="U368" t="s">
        <v>92</v>
      </c>
      <c r="V368" t="s">
        <v>120</v>
      </c>
      <c r="W368" t="s">
        <v>120</v>
      </c>
      <c r="X368" t="str">
        <f>IF(V368="N/A","N/A",IF(W368="N/A", "N/A", IF(V368=W368, "Yes","No")))</f>
        <v>N/A</v>
      </c>
    </row>
    <row r="369" spans="1:32" x14ac:dyDescent="0.2">
      <c r="A369" t="s">
        <v>185</v>
      </c>
      <c r="B369" t="s">
        <v>211</v>
      </c>
      <c r="C369">
        <v>33.200000000000003</v>
      </c>
      <c r="D369" t="s">
        <v>4</v>
      </c>
      <c r="E369" t="s">
        <v>5</v>
      </c>
      <c r="F369" s="2" t="str">
        <f t="shared" si="179"/>
        <v>Yes</v>
      </c>
      <c r="G369" t="s">
        <v>9</v>
      </c>
      <c r="H369" t="s">
        <v>46</v>
      </c>
      <c r="J369" s="2" t="s">
        <v>11</v>
      </c>
      <c r="K369">
        <v>565</v>
      </c>
      <c r="L369" t="s">
        <v>12</v>
      </c>
      <c r="M369" t="s">
        <v>67</v>
      </c>
      <c r="N369" t="str">
        <f t="shared" ref="N369:N370" si="181">IF(K369="N/A","No", IF(K369&gt;1200,"Yes","No"))</f>
        <v>No</v>
      </c>
      <c r="O369" t="str">
        <f t="shared" si="180"/>
        <v>Yes</v>
      </c>
      <c r="Q369" s="2" t="s">
        <v>98</v>
      </c>
      <c r="R369" t="str">
        <f>_xlfn.XLOOKUP("mg/cm2",D368:D379,G368:G379,"N/A")</f>
        <v>Yes</v>
      </c>
      <c r="S369" t="str">
        <f>IF(COUNTIF(O371:O372,"Yes"),"Yes","No")</f>
        <v>No</v>
      </c>
      <c r="U369" t="s">
        <v>95</v>
      </c>
      <c r="V369" t="str">
        <f>R368</f>
        <v>Yes</v>
      </c>
      <c r="W369" t="str">
        <f>S368</f>
        <v>Yes</v>
      </c>
      <c r="X369" t="str">
        <f t="shared" ref="X369:X372" si="182">IF(V369="N/A","N/A",IF(W369="N/A", "N/A", IF(V369=W369, "Yes","No")))</f>
        <v>Yes</v>
      </c>
    </row>
    <row r="370" spans="1:32" x14ac:dyDescent="0.2">
      <c r="A370" t="s">
        <v>200</v>
      </c>
      <c r="B370" t="s">
        <v>286</v>
      </c>
      <c r="C370">
        <v>1540</v>
      </c>
      <c r="D370" t="s">
        <v>12</v>
      </c>
      <c r="E370" t="s">
        <v>5</v>
      </c>
      <c r="F370" s="2" t="str">
        <f>IF(C370&gt;$W$3,"Yes","No")</f>
        <v>Yes</v>
      </c>
      <c r="G370" t="s">
        <v>5</v>
      </c>
      <c r="J370" s="2" t="s">
        <v>15</v>
      </c>
      <c r="K370">
        <v>1385</v>
      </c>
      <c r="L370" t="s">
        <v>12</v>
      </c>
      <c r="M370" t="s">
        <v>112</v>
      </c>
      <c r="N370" t="str">
        <f t="shared" si="181"/>
        <v>Yes</v>
      </c>
      <c r="O370" t="str">
        <f t="shared" si="180"/>
        <v>Yes</v>
      </c>
      <c r="Q370" s="2" t="s">
        <v>117</v>
      </c>
      <c r="R370" t="str">
        <f>_xlfn.XLOOKUP("ug/ft2",D368:D379,F368:F379,"N/A")</f>
        <v>Yes</v>
      </c>
      <c r="S370" t="str">
        <f>IF(COUNTIF(O373:O376,"Yes"),"Yes","No")</f>
        <v>Yes</v>
      </c>
      <c r="U370" t="s">
        <v>163</v>
      </c>
      <c r="V370" t="s">
        <v>5</v>
      </c>
      <c r="W370" t="str">
        <f>O372</f>
        <v>No</v>
      </c>
      <c r="X370" t="str">
        <f t="shared" si="182"/>
        <v>No</v>
      </c>
    </row>
    <row r="371" spans="1:32" x14ac:dyDescent="0.2">
      <c r="A371" t="s">
        <v>243</v>
      </c>
      <c r="B371" t="s">
        <v>294</v>
      </c>
      <c r="C371">
        <v>1260</v>
      </c>
      <c r="D371" t="s">
        <v>37</v>
      </c>
      <c r="E371" t="s">
        <v>5</v>
      </c>
      <c r="F371" s="2" t="str">
        <f>IF(C371&gt;$W$3,"Yes","No")</f>
        <v>Yes</v>
      </c>
      <c r="G371" t="s">
        <v>5</v>
      </c>
      <c r="J371" s="2" t="s">
        <v>19</v>
      </c>
      <c r="K371">
        <v>1817</v>
      </c>
      <c r="L371" t="s">
        <v>12</v>
      </c>
      <c r="M371" t="s">
        <v>46</v>
      </c>
      <c r="N371" t="str">
        <f>IF(K371="N/A","No", IF(K371&gt;5000,"Yes","No"))</f>
        <v>No</v>
      </c>
      <c r="O371" t="str">
        <f>IF(K371="Not","No",IF(K371="n/a","N/A",IF(K371&gt;$Y$2,"Yes","No")))</f>
        <v>No</v>
      </c>
      <c r="Q371" s="2" t="s">
        <v>118</v>
      </c>
      <c r="R371" t="str">
        <f>IF(COUNTIF(R368:R370,"Yes"),"Yes","No")</f>
        <v>Yes</v>
      </c>
      <c r="S371" t="str">
        <f>IF(COUNTIF(S368:S370,"Yes"),"Yes","No")</f>
        <v>Yes</v>
      </c>
      <c r="U371" t="s">
        <v>164</v>
      </c>
      <c r="V371" t="s">
        <v>5</v>
      </c>
      <c r="W371" t="str">
        <f>O371</f>
        <v>No</v>
      </c>
      <c r="X371" t="str">
        <f t="shared" si="182"/>
        <v>No</v>
      </c>
    </row>
    <row r="372" spans="1:32" x14ac:dyDescent="0.2">
      <c r="A372" t="s">
        <v>241</v>
      </c>
      <c r="B372" t="s">
        <v>238</v>
      </c>
      <c r="C372">
        <v>4</v>
      </c>
      <c r="D372" t="s">
        <v>4</v>
      </c>
      <c r="E372" t="s">
        <v>5</v>
      </c>
      <c r="F372" s="2" t="str">
        <f t="shared" ref="F372:F378" si="183">IF(C372&gt;=$W$2,"Yes","No")</f>
        <v>Yes</v>
      </c>
      <c r="G372" t="s">
        <v>5</v>
      </c>
      <c r="H372" t="s">
        <v>43</v>
      </c>
      <c r="J372" s="2" t="s">
        <v>22</v>
      </c>
      <c r="K372">
        <v>25</v>
      </c>
      <c r="L372" t="s">
        <v>12</v>
      </c>
      <c r="M372" t="s">
        <v>43</v>
      </c>
      <c r="N372" t="str">
        <f>IF(K372="N/A","No", IF(K372&gt;5000,"Yes","No"))</f>
        <v>No</v>
      </c>
      <c r="O372" t="str">
        <f>IF(K372="Not","No",IF(K372="n/a","N/A",IF(K372&gt;$Y$2,"Yes","No")))</f>
        <v>No</v>
      </c>
      <c r="U372" t="s">
        <v>162</v>
      </c>
      <c r="V372" t="str">
        <f>R369</f>
        <v>Yes</v>
      </c>
      <c r="W372" t="str">
        <f>S369</f>
        <v>No</v>
      </c>
      <c r="X372" t="str">
        <f t="shared" si="182"/>
        <v>No</v>
      </c>
    </row>
    <row r="373" spans="1:32" x14ac:dyDescent="0.2">
      <c r="A373" t="s">
        <v>190</v>
      </c>
      <c r="B373" t="s">
        <v>238</v>
      </c>
      <c r="C373">
        <v>5.6</v>
      </c>
      <c r="D373" t="s">
        <v>4</v>
      </c>
      <c r="E373" t="s">
        <v>5</v>
      </c>
      <c r="F373" s="2" t="str">
        <f t="shared" si="183"/>
        <v>Yes</v>
      </c>
      <c r="G373" t="s">
        <v>5</v>
      </c>
      <c r="H373" t="s">
        <v>43</v>
      </c>
      <c r="J373" s="2" t="s">
        <v>25</v>
      </c>
      <c r="K373">
        <v>409</v>
      </c>
      <c r="L373" t="s">
        <v>12</v>
      </c>
      <c r="M373" t="s">
        <v>126</v>
      </c>
      <c r="N373" t="str">
        <f>IF(K373="N/A","No", IF(K373&gt;20,"Yes","No"))</f>
        <v>Yes</v>
      </c>
      <c r="O373" t="str">
        <f t="shared" ref="O373:O374" si="184">IF(K373="Not","No",IF(K373="n/a","N/A",IF(K373&gt;$Y$6,"Yes","No")))</f>
        <v>Yes</v>
      </c>
      <c r="U373" t="s">
        <v>101</v>
      </c>
      <c r="V373" t="s">
        <v>120</v>
      </c>
      <c r="W373" t="s">
        <v>9</v>
      </c>
      <c r="X373" t="str">
        <f>IF(V373="N/A","N/A",IF(W373="N/A", "N/A", IF(V373=W373, "Yes","No")))</f>
        <v>N/A</v>
      </c>
    </row>
    <row r="374" spans="1:32" x14ac:dyDescent="0.2">
      <c r="A374" t="s">
        <v>190</v>
      </c>
      <c r="B374" t="s">
        <v>221</v>
      </c>
      <c r="C374">
        <v>4.7</v>
      </c>
      <c r="D374" t="s">
        <v>4</v>
      </c>
      <c r="E374" t="s">
        <v>5</v>
      </c>
      <c r="F374" s="2" t="str">
        <f t="shared" si="183"/>
        <v>Yes</v>
      </c>
      <c r="G374" t="s">
        <v>5</v>
      </c>
      <c r="H374" t="s">
        <v>43</v>
      </c>
      <c r="J374" s="2" t="s">
        <v>29</v>
      </c>
      <c r="K374">
        <v>577</v>
      </c>
      <c r="L374" t="s">
        <v>12</v>
      </c>
      <c r="M374" t="s">
        <v>222</v>
      </c>
      <c r="N374" t="str">
        <f>IF(K374="N/A","No", IF(K374&gt;20,"Yes","No"))</f>
        <v>Yes</v>
      </c>
      <c r="O374" t="str">
        <f t="shared" si="184"/>
        <v>Yes</v>
      </c>
      <c r="U374" t="s">
        <v>104</v>
      </c>
      <c r="V374" t="s">
        <v>5</v>
      </c>
      <c r="W374" t="str">
        <f>O375</f>
        <v>No</v>
      </c>
      <c r="X374" t="str">
        <f>IF(V374="N/A","N/A",IF(W374="N/A", "N/A", IF(V374=W374, "Yes","No")))</f>
        <v>No</v>
      </c>
    </row>
    <row r="375" spans="1:32" x14ac:dyDescent="0.2">
      <c r="A375" t="s">
        <v>190</v>
      </c>
      <c r="B375" t="s">
        <v>236</v>
      </c>
      <c r="C375">
        <v>4.5999999999999996</v>
      </c>
      <c r="D375" t="s">
        <v>4</v>
      </c>
      <c r="E375" t="s">
        <v>5</v>
      </c>
      <c r="F375" s="2" t="str">
        <f t="shared" si="183"/>
        <v>Yes</v>
      </c>
      <c r="G375" t="s">
        <v>5</v>
      </c>
      <c r="H375" t="s">
        <v>43</v>
      </c>
      <c r="J375" s="2" t="s">
        <v>34</v>
      </c>
      <c r="K375">
        <v>21</v>
      </c>
      <c r="L375" t="s">
        <v>12</v>
      </c>
      <c r="M375" t="s">
        <v>210</v>
      </c>
      <c r="N375" t="str">
        <f>IF(K375="N/A","No", IF(K375&gt;230,"Yes","No"))</f>
        <v>No</v>
      </c>
      <c r="O375" t="str">
        <f>IF(K375="Not","No",IF(K375="n/a","N/A",IF(K375&gt;$Y$5,"Yes","No")))</f>
        <v>No</v>
      </c>
      <c r="U375" t="s">
        <v>106</v>
      </c>
      <c r="V375" t="str">
        <f>R370</f>
        <v>Yes</v>
      </c>
      <c r="W375" t="str">
        <f>S370</f>
        <v>Yes</v>
      </c>
      <c r="X375" t="str">
        <f>IF(V375="N/A","N/A",IF(W375="N/A", "N/A", IF(V375=W375, "Yes","No")))</f>
        <v>Yes</v>
      </c>
    </row>
    <row r="376" spans="1:32" x14ac:dyDescent="0.2">
      <c r="A376" t="s">
        <v>249</v>
      </c>
      <c r="B376" t="s">
        <v>211</v>
      </c>
      <c r="C376">
        <v>11.8</v>
      </c>
      <c r="D376" t="s">
        <v>4</v>
      </c>
      <c r="E376" t="s">
        <v>5</v>
      </c>
      <c r="F376" s="2" t="str">
        <f t="shared" si="183"/>
        <v>Yes</v>
      </c>
      <c r="G376" t="s">
        <v>5</v>
      </c>
      <c r="H376" t="s">
        <v>43</v>
      </c>
      <c r="J376" s="2" t="s">
        <v>208</v>
      </c>
      <c r="K376">
        <v>783</v>
      </c>
      <c r="L376" t="s">
        <v>12</v>
      </c>
      <c r="M376" t="s">
        <v>223</v>
      </c>
      <c r="N376" t="str">
        <f>IF(K376="N/A","No", IF(K376&gt;20,"Yes","No"))</f>
        <v>Yes</v>
      </c>
      <c r="O376" t="str">
        <f>IF(K376="Not","No",IF(K376="n/a","N/A",IF(K376&gt;$Y$7,"Yes","No")))</f>
        <v>No</v>
      </c>
      <c r="U376" t="s">
        <v>121</v>
      </c>
      <c r="V376" t="str">
        <f>R371</f>
        <v>Yes</v>
      </c>
      <c r="W376" t="str">
        <f>S371</f>
        <v>Yes</v>
      </c>
      <c r="X376" t="str">
        <f>IF(V376="N/A","N/A",IF(W376="N/A", "N/A", IF(V376=W376, "Yes","No")))</f>
        <v>Yes</v>
      </c>
    </row>
    <row r="377" spans="1:32" x14ac:dyDescent="0.2">
      <c r="A377" t="s">
        <v>237</v>
      </c>
      <c r="B377" t="s">
        <v>238</v>
      </c>
      <c r="C377">
        <v>6</v>
      </c>
      <c r="D377" t="s">
        <v>4</v>
      </c>
      <c r="E377" t="s">
        <v>5</v>
      </c>
      <c r="F377" s="2" t="str">
        <f t="shared" si="183"/>
        <v>Yes</v>
      </c>
      <c r="G377" t="s">
        <v>5</v>
      </c>
      <c r="H377" t="s">
        <v>43</v>
      </c>
    </row>
    <row r="378" spans="1:32" x14ac:dyDescent="0.2">
      <c r="A378" t="s">
        <v>237</v>
      </c>
      <c r="B378" t="s">
        <v>221</v>
      </c>
      <c r="C378">
        <v>7.2</v>
      </c>
      <c r="D378" t="s">
        <v>4</v>
      </c>
      <c r="E378" t="s">
        <v>5</v>
      </c>
      <c r="F378" s="2" t="str">
        <f t="shared" si="183"/>
        <v>Yes</v>
      </c>
      <c r="G378" t="s">
        <v>5</v>
      </c>
      <c r="H378" t="s">
        <v>43</v>
      </c>
    </row>
    <row r="379" spans="1:32" x14ac:dyDescent="0.2">
      <c r="A379" t="s">
        <v>241</v>
      </c>
      <c r="B379" t="s">
        <v>192</v>
      </c>
      <c r="C379">
        <v>220</v>
      </c>
      <c r="D379" t="s">
        <v>33</v>
      </c>
      <c r="E379" t="s">
        <v>5</v>
      </c>
      <c r="F379" s="2" t="str">
        <f>IF(C379&gt;$W$5,"Yes","No")</f>
        <v>Yes</v>
      </c>
      <c r="G379" t="s">
        <v>5</v>
      </c>
    </row>
    <row r="382" spans="1:32" x14ac:dyDescent="0.2">
      <c r="A382" s="1">
        <f>VLOOKUP(C382,'Grid - LRA Samples'!$A$2:$B$108, 2,FALSE)</f>
        <v>1175</v>
      </c>
      <c r="B382" t="s">
        <v>111</v>
      </c>
      <c r="C382">
        <v>41</v>
      </c>
    </row>
    <row r="383" spans="1:32" x14ac:dyDescent="0.2">
      <c r="A383" s="5" t="s">
        <v>0</v>
      </c>
      <c r="E383" s="2" t="s">
        <v>274</v>
      </c>
      <c r="F383" s="2" t="s">
        <v>275</v>
      </c>
      <c r="G383" t="s">
        <v>119</v>
      </c>
      <c r="J383" s="5" t="s">
        <v>1</v>
      </c>
      <c r="N383" s="2" t="s">
        <v>277</v>
      </c>
      <c r="O383" t="s">
        <v>278</v>
      </c>
      <c r="Q383" s="5" t="s">
        <v>115</v>
      </c>
      <c r="R383" s="5" t="s">
        <v>0</v>
      </c>
      <c r="S383" s="5" t="s">
        <v>1</v>
      </c>
      <c r="U383" s="5" t="s">
        <v>115</v>
      </c>
      <c r="V383" s="5" t="s">
        <v>0</v>
      </c>
      <c r="W383" s="5" t="s">
        <v>1</v>
      </c>
      <c r="X383" s="5" t="s">
        <v>122</v>
      </c>
      <c r="AA383" t="str">
        <f>IF(R384="Yes","LRA-Soil","")</f>
        <v/>
      </c>
      <c r="AB383" t="str">
        <f>IF(R385="Yes","LRA-Paint","")</f>
        <v>LRA-Paint</v>
      </c>
      <c r="AC383" t="str">
        <f>IF(R386="Yes","LRA-Dust","")</f>
        <v>LRA-Dust</v>
      </c>
      <c r="AD383" t="str">
        <f>IF(S384="Yes","LSK-Soil","")</f>
        <v>LSK-Soil</v>
      </c>
      <c r="AE383" t="str">
        <f>IF(S385="Yes","LSK-Paint","")</f>
        <v>LSK-Paint</v>
      </c>
      <c r="AF383" t="str">
        <f>IF(S386="Yes","LSK-Dust","")</f>
        <v>LSK-Dust</v>
      </c>
    </row>
    <row r="384" spans="1:32" x14ac:dyDescent="0.2">
      <c r="A384" t="s">
        <v>63</v>
      </c>
      <c r="B384" t="s">
        <v>18</v>
      </c>
      <c r="C384">
        <v>0</v>
      </c>
      <c r="D384" t="s">
        <v>4</v>
      </c>
      <c r="F384" s="2" t="str">
        <f t="shared" ref="F384" si="185">IF(C384&gt;=$W$2,"Yes","No")</f>
        <v>No</v>
      </c>
      <c r="G384" t="s">
        <v>9</v>
      </c>
      <c r="H384" t="s">
        <v>46</v>
      </c>
      <c r="J384" s="2" t="s">
        <v>6</v>
      </c>
      <c r="K384">
        <v>138</v>
      </c>
      <c r="L384" t="s">
        <v>12</v>
      </c>
      <c r="M384" t="s">
        <v>114</v>
      </c>
      <c r="N384" t="str">
        <f>IF(K384="N/A","No", IF(K384&gt;1200,"Yes","No"))</f>
        <v>No</v>
      </c>
      <c r="O384" t="str">
        <f t="shared" ref="O384:O386" si="186">IF(K384="Not","No",IF(K384="n/a","N/A",IF(K384&gt;$Y$3,"Yes","No")))</f>
        <v>No</v>
      </c>
      <c r="Q384" s="2" t="s">
        <v>116</v>
      </c>
      <c r="R384" t="str">
        <f>_xlfn.XLOOKUP("ppm",D384:D396,F384:F396,"N/A")</f>
        <v>No</v>
      </c>
      <c r="S384" t="str">
        <f>IF(COUNTIF(O384:O386,"Yes"),"Yes","No")</f>
        <v>Yes</v>
      </c>
      <c r="U384" t="s">
        <v>92</v>
      </c>
      <c r="V384" t="s">
        <v>120</v>
      </c>
      <c r="W384" t="s">
        <v>120</v>
      </c>
      <c r="X384" t="str">
        <f>IF(V384="N/A","N/A",IF(W384="N/A", "N/A", IF(V384=W384, "Yes","No")))</f>
        <v>N/A</v>
      </c>
    </row>
    <row r="385" spans="1:32" x14ac:dyDescent="0.2">
      <c r="A385" t="s">
        <v>68</v>
      </c>
      <c r="B385" t="s">
        <v>69</v>
      </c>
      <c r="C385">
        <v>141</v>
      </c>
      <c r="D385" t="s">
        <v>12</v>
      </c>
      <c r="F385" s="2" t="str">
        <f>IF(C385&gt;$W$3,"Yes","No")</f>
        <v>No</v>
      </c>
      <c r="G385" t="s">
        <v>9</v>
      </c>
      <c r="J385" s="2" t="s">
        <v>11</v>
      </c>
      <c r="K385">
        <v>130</v>
      </c>
      <c r="L385" t="s">
        <v>12</v>
      </c>
      <c r="M385" t="s">
        <v>67</v>
      </c>
      <c r="N385" t="str">
        <f t="shared" ref="N385:N386" si="187">IF(K385="N/A","No", IF(K385&gt;1200,"Yes","No"))</f>
        <v>No</v>
      </c>
      <c r="O385" t="str">
        <f t="shared" si="186"/>
        <v>No</v>
      </c>
      <c r="Q385" s="2" t="s">
        <v>98</v>
      </c>
      <c r="R385" s="30" t="s">
        <v>5</v>
      </c>
      <c r="S385" t="str">
        <f>IF(COUNTIF(O387:O388,"Yes"),"Yes","No")</f>
        <v>Yes</v>
      </c>
      <c r="U385" t="s">
        <v>95</v>
      </c>
      <c r="V385" t="str">
        <f>R384</f>
        <v>No</v>
      </c>
      <c r="W385" t="str">
        <f>S384</f>
        <v>Yes</v>
      </c>
      <c r="X385" t="str">
        <f t="shared" ref="X385:X388" si="188">IF(V385="N/A","N/A",IF(W385="N/A", "N/A", IF(V385=W385, "Yes","No")))</f>
        <v>No</v>
      </c>
    </row>
    <row r="386" spans="1:32" x14ac:dyDescent="0.2">
      <c r="A386" t="s">
        <v>109</v>
      </c>
      <c r="B386" t="s">
        <v>10</v>
      </c>
      <c r="C386">
        <v>5.4</v>
      </c>
      <c r="D386" t="s">
        <v>4</v>
      </c>
      <c r="F386" s="2" t="str">
        <f t="shared" ref="F386" si="189">IF(C386&gt;=$W$2,"Yes","No")</f>
        <v>Yes</v>
      </c>
      <c r="G386" t="s">
        <v>5</v>
      </c>
      <c r="H386" t="s">
        <v>43</v>
      </c>
      <c r="J386" s="2" t="s">
        <v>15</v>
      </c>
      <c r="K386">
        <v>1723</v>
      </c>
      <c r="L386" t="s">
        <v>12</v>
      </c>
      <c r="M386" t="s">
        <v>112</v>
      </c>
      <c r="N386" t="str">
        <f t="shared" si="187"/>
        <v>Yes</v>
      </c>
      <c r="O386" t="str">
        <f t="shared" si="186"/>
        <v>Yes</v>
      </c>
      <c r="Q386" s="2" t="s">
        <v>117</v>
      </c>
      <c r="R386" t="str">
        <f>_xlfn.XLOOKUP("ug/ft2",D384:D396,F384:F396,"N/A")</f>
        <v>Yes</v>
      </c>
      <c r="S386" t="str">
        <f>IF(COUNTIF(O389:O392,"Yes"),"Yes","No")</f>
        <v>Yes</v>
      </c>
      <c r="U386" t="s">
        <v>163</v>
      </c>
      <c r="V386" t="s">
        <v>5</v>
      </c>
      <c r="W386" t="str">
        <f>O388</f>
        <v>Yes</v>
      </c>
      <c r="X386" t="str">
        <f t="shared" si="188"/>
        <v>Yes</v>
      </c>
    </row>
    <row r="387" spans="1:32" x14ac:dyDescent="0.2">
      <c r="A387" t="s">
        <v>113</v>
      </c>
      <c r="B387" t="s">
        <v>32</v>
      </c>
      <c r="C387">
        <v>38.799999999999997</v>
      </c>
      <c r="D387" t="s">
        <v>33</v>
      </c>
      <c r="F387" s="2" t="str">
        <f t="shared" ref="F387:F389" si="190">IF(C387&gt;$W$6,"Yes","No")</f>
        <v>Yes</v>
      </c>
      <c r="G387" t="s">
        <v>5</v>
      </c>
      <c r="J387" s="2" t="s">
        <v>19</v>
      </c>
      <c r="K387">
        <v>12236</v>
      </c>
      <c r="L387" t="s">
        <v>12</v>
      </c>
      <c r="M387" t="s">
        <v>46</v>
      </c>
      <c r="N387" t="str">
        <f>IF(K387="N/A","No", IF(K387&gt;5000,"Yes","No"))</f>
        <v>Yes</v>
      </c>
      <c r="O387" t="str">
        <f>IF(K387="Not","No",IF(K387="n/a","N/A",IF(K387&gt;$Y$2,"Yes","No")))</f>
        <v>Yes</v>
      </c>
      <c r="Q387" s="2" t="s">
        <v>118</v>
      </c>
      <c r="R387" t="str">
        <f>IF(COUNTIF(R384:R386,"Yes"),"Yes","No")</f>
        <v>Yes</v>
      </c>
      <c r="S387" t="str">
        <f>IF(COUNTIF(S384:S386,"Yes"),"Yes","No")</f>
        <v>Yes</v>
      </c>
      <c r="U387" t="s">
        <v>164</v>
      </c>
      <c r="V387" t="s">
        <v>9</v>
      </c>
      <c r="W387" t="str">
        <f>O387</f>
        <v>Yes</v>
      </c>
      <c r="X387" t="str">
        <f t="shared" si="188"/>
        <v>No</v>
      </c>
    </row>
    <row r="388" spans="1:32" x14ac:dyDescent="0.2">
      <c r="A388" t="s">
        <v>109</v>
      </c>
      <c r="B388" t="s">
        <v>32</v>
      </c>
      <c r="C388">
        <v>59.2</v>
      </c>
      <c r="D388" t="s">
        <v>33</v>
      </c>
      <c r="F388" s="2" t="str">
        <f t="shared" si="190"/>
        <v>Yes</v>
      </c>
      <c r="G388" t="s">
        <v>5</v>
      </c>
      <c r="J388" s="2" t="s">
        <v>22</v>
      </c>
      <c r="K388">
        <v>34752</v>
      </c>
      <c r="L388" t="s">
        <v>12</v>
      </c>
      <c r="M388" t="s">
        <v>43</v>
      </c>
      <c r="N388" t="str">
        <f>IF(K388="N/A","No", IF(K388&gt;5000,"Yes","No"))</f>
        <v>Yes</v>
      </c>
      <c r="O388" t="str">
        <f>IF(K388="Not","No",IF(K388="n/a","N/A",IF(K388&gt;$Y$2,"Yes","No")))</f>
        <v>Yes</v>
      </c>
      <c r="U388" t="s">
        <v>162</v>
      </c>
      <c r="V388" t="str">
        <f>R385</f>
        <v>Yes</v>
      </c>
      <c r="W388" t="str">
        <f>S385</f>
        <v>Yes</v>
      </c>
      <c r="X388" t="str">
        <f t="shared" si="188"/>
        <v>Yes</v>
      </c>
    </row>
    <row r="389" spans="1:32" x14ac:dyDescent="0.2">
      <c r="A389" t="s">
        <v>293</v>
      </c>
      <c r="B389" t="s">
        <v>32</v>
      </c>
      <c r="C389">
        <v>42.7</v>
      </c>
      <c r="D389" t="s">
        <v>33</v>
      </c>
      <c r="F389" s="2" t="str">
        <f t="shared" si="190"/>
        <v>Yes</v>
      </c>
      <c r="G389" t="s">
        <v>5</v>
      </c>
      <c r="J389" s="2" t="s">
        <v>25</v>
      </c>
      <c r="K389">
        <v>5</v>
      </c>
      <c r="L389" t="s">
        <v>12</v>
      </c>
      <c r="M389" t="s">
        <v>126</v>
      </c>
      <c r="N389" t="str">
        <f>IF(K389="N/A","No", IF(K389&gt;20,"Yes","No"))</f>
        <v>No</v>
      </c>
      <c r="O389" t="str">
        <f t="shared" ref="O389:O390" si="191">IF(K389="Not","No",IF(K389="n/a","N/A",IF(K389&gt;$Y$6,"Yes","No")))</f>
        <v>No</v>
      </c>
      <c r="U389" t="s">
        <v>101</v>
      </c>
      <c r="V389" t="s">
        <v>5</v>
      </c>
      <c r="W389" t="s">
        <v>9</v>
      </c>
      <c r="X389" t="str">
        <f>IF(V389="N/A","N/A",IF(W389="N/A", "N/A", IF(V389=W389, "Yes","No")))</f>
        <v>No</v>
      </c>
    </row>
    <row r="390" spans="1:32" x14ac:dyDescent="0.2">
      <c r="A390" t="s">
        <v>293</v>
      </c>
      <c r="B390" t="s">
        <v>54</v>
      </c>
      <c r="C390">
        <v>233.8</v>
      </c>
      <c r="D390" t="s">
        <v>33</v>
      </c>
      <c r="F390" s="2" t="str">
        <f>IF(C390&gt;$W$5,"Yes","No")</f>
        <v>Yes</v>
      </c>
      <c r="G390" t="s">
        <v>5</v>
      </c>
      <c r="J390" s="2" t="s">
        <v>29</v>
      </c>
      <c r="K390">
        <v>409</v>
      </c>
      <c r="L390" t="s">
        <v>12</v>
      </c>
      <c r="M390" t="s">
        <v>222</v>
      </c>
      <c r="N390" t="str">
        <f>IF(K390="N/A","No", IF(K390&gt;20,"Yes","No"))</f>
        <v>Yes</v>
      </c>
      <c r="O390" t="str">
        <f t="shared" si="191"/>
        <v>Yes</v>
      </c>
      <c r="U390" t="s">
        <v>104</v>
      </c>
      <c r="V390" t="s">
        <v>5</v>
      </c>
      <c r="W390" t="str">
        <f>O391</f>
        <v>No</v>
      </c>
      <c r="X390" t="str">
        <f>IF(V390="N/A","N/A",IF(W390="N/A", "N/A", IF(V390=W390, "Yes","No")))</f>
        <v>No</v>
      </c>
    </row>
    <row r="391" spans="1:32" x14ac:dyDescent="0.2">
      <c r="A391" t="s">
        <v>71</v>
      </c>
      <c r="B391" t="s">
        <v>32</v>
      </c>
      <c r="C391">
        <v>105</v>
      </c>
      <c r="D391" t="s">
        <v>33</v>
      </c>
      <c r="F391" s="2" t="str">
        <f t="shared" ref="F391:F392" si="192">IF(C391&gt;$W$6,"Yes","No")</f>
        <v>Yes</v>
      </c>
      <c r="G391" t="s">
        <v>5</v>
      </c>
      <c r="J391" s="2" t="s">
        <v>34</v>
      </c>
      <c r="K391">
        <v>127</v>
      </c>
      <c r="L391" t="s">
        <v>12</v>
      </c>
      <c r="M391" t="s">
        <v>210</v>
      </c>
      <c r="N391" t="str">
        <f>IF(K391="N/A","No", IF(K391&gt;230,"Yes","No"))</f>
        <v>No</v>
      </c>
      <c r="O391" t="str">
        <f>IF(K391="Not","No",IF(K391="n/a","N/A",IF(K391&gt;$Y$5,"Yes","No")))</f>
        <v>No</v>
      </c>
      <c r="U391" t="s">
        <v>106</v>
      </c>
      <c r="V391" t="str">
        <f>R386</f>
        <v>Yes</v>
      </c>
      <c r="W391" t="str">
        <f>S386</f>
        <v>Yes</v>
      </c>
      <c r="X391" t="str">
        <f>IF(V391="N/A","N/A",IF(W391="N/A", "N/A", IF(V391=W391, "Yes","No")))</f>
        <v>Yes</v>
      </c>
    </row>
    <row r="392" spans="1:32" x14ac:dyDescent="0.2">
      <c r="A392" t="s">
        <v>71</v>
      </c>
      <c r="B392" t="s">
        <v>32</v>
      </c>
      <c r="C392">
        <v>38.799999999999997</v>
      </c>
      <c r="D392" t="s">
        <v>33</v>
      </c>
      <c r="F392" s="2" t="str">
        <f t="shared" si="192"/>
        <v>Yes</v>
      </c>
      <c r="G392" t="s">
        <v>5</v>
      </c>
      <c r="J392" s="2" t="s">
        <v>208</v>
      </c>
      <c r="K392">
        <v>366</v>
      </c>
      <c r="L392" t="s">
        <v>12</v>
      </c>
      <c r="M392" t="s">
        <v>223</v>
      </c>
      <c r="N392" t="str">
        <f>IF(K392="N/A","No", IF(K392&gt;20,"Yes","No"))</f>
        <v>Yes</v>
      </c>
      <c r="O392" t="str">
        <f>IF(K392="Not","No",IF(K392="n/a","N/A",IF(K392&gt;$Y$7,"Yes","No")))</f>
        <v>No</v>
      </c>
      <c r="U392" t="s">
        <v>121</v>
      </c>
      <c r="V392" t="str">
        <f>R387</f>
        <v>Yes</v>
      </c>
      <c r="W392" t="str">
        <f>S387</f>
        <v>Yes</v>
      </c>
      <c r="X392" t="str">
        <f>IF(V392="N/A","N/A",IF(W392="N/A", "N/A", IF(V392=W392, "Yes","No")))</f>
        <v>Yes</v>
      </c>
    </row>
    <row r="393" spans="1:32" x14ac:dyDescent="0.2">
      <c r="A393" t="s">
        <v>158</v>
      </c>
      <c r="B393" t="s">
        <v>54</v>
      </c>
      <c r="C393">
        <v>3438</v>
      </c>
      <c r="D393" t="s">
        <v>33</v>
      </c>
      <c r="F393" s="2" t="str">
        <f>IF(C393&gt;$W$5,"Yes","No")</f>
        <v>Yes</v>
      </c>
      <c r="G393" t="s">
        <v>5</v>
      </c>
    </row>
    <row r="394" spans="1:32" x14ac:dyDescent="0.2">
      <c r="F394" s="2"/>
    </row>
    <row r="396" spans="1:32" x14ac:dyDescent="0.2">
      <c r="A396" s="1">
        <f>VLOOKUP(C396,'Grid - LRA Samples'!$A$2:$B$108, 2,FALSE)</f>
        <v>1176</v>
      </c>
      <c r="B396" t="s">
        <v>111</v>
      </c>
      <c r="C396">
        <v>42</v>
      </c>
    </row>
    <row r="397" spans="1:32" x14ac:dyDescent="0.2">
      <c r="A397" s="5" t="s">
        <v>0</v>
      </c>
      <c r="E397" s="2" t="s">
        <v>274</v>
      </c>
      <c r="F397" s="2" t="s">
        <v>275</v>
      </c>
      <c r="G397" t="s">
        <v>119</v>
      </c>
      <c r="J397" s="5" t="s">
        <v>1</v>
      </c>
      <c r="N397" s="2" t="s">
        <v>277</v>
      </c>
      <c r="O397" t="s">
        <v>278</v>
      </c>
      <c r="Q397" s="5" t="s">
        <v>115</v>
      </c>
      <c r="R397" s="5" t="s">
        <v>0</v>
      </c>
      <c r="S397" s="5" t="s">
        <v>1</v>
      </c>
      <c r="U397" s="5" t="s">
        <v>115</v>
      </c>
      <c r="V397" s="5" t="s">
        <v>0</v>
      </c>
      <c r="W397" s="5" t="s">
        <v>1</v>
      </c>
      <c r="X397" s="5" t="s">
        <v>122</v>
      </c>
      <c r="AA397" t="str">
        <f>IF(R398="Yes","LRA-Soil","")</f>
        <v/>
      </c>
      <c r="AB397" t="str">
        <f>IF(R399="Yes","LRA-Paint","")</f>
        <v/>
      </c>
      <c r="AC397" t="str">
        <f>IF(R400="Yes","LRA-Dust","")</f>
        <v>LRA-Dust</v>
      </c>
      <c r="AD397" t="str">
        <f>IF(S398="Yes","LSK-Soil","")</f>
        <v/>
      </c>
      <c r="AE397" t="str">
        <f>IF(S399="Yes","LSK-Paint","")</f>
        <v/>
      </c>
      <c r="AF397" t="str">
        <f>IF(S400="Yes","LSK-Dust","")</f>
        <v/>
      </c>
    </row>
    <row r="398" spans="1:32" x14ac:dyDescent="0.2">
      <c r="A398" t="s">
        <v>63</v>
      </c>
      <c r="B398" t="s">
        <v>77</v>
      </c>
      <c r="C398">
        <v>0</v>
      </c>
      <c r="D398" t="s">
        <v>4</v>
      </c>
      <c r="F398" s="2" t="str">
        <f t="shared" ref="F398" si="193">IF(C398&gt;=$W$2,"Yes","No")</f>
        <v>No</v>
      </c>
      <c r="G398" t="s">
        <v>9</v>
      </c>
      <c r="H398" t="s">
        <v>46</v>
      </c>
      <c r="J398" s="2" t="s">
        <v>6</v>
      </c>
      <c r="K398">
        <v>32.799999999999997</v>
      </c>
      <c r="L398" t="s">
        <v>12</v>
      </c>
      <c r="M398" t="s">
        <v>114</v>
      </c>
      <c r="N398" t="str">
        <f>IF(K398="N/A","No", IF(K398&gt;1200,"Yes","No"))</f>
        <v>No</v>
      </c>
      <c r="O398" t="str">
        <f t="shared" ref="O398:O400" si="194">IF(K398="Not","No",IF(K398="n/a","N/A",IF(K398&gt;$Y$3,"Yes","No")))</f>
        <v>No</v>
      </c>
      <c r="Q398" s="2" t="s">
        <v>116</v>
      </c>
      <c r="R398" t="str">
        <f>_xlfn.XLOOKUP("ppm",D398:D402,F398:F402,"N/A")</f>
        <v>No</v>
      </c>
      <c r="S398" t="str">
        <f>IF(COUNTIF(O398:O400,"Yes"),"Yes","No")</f>
        <v>No</v>
      </c>
      <c r="U398" t="s">
        <v>92</v>
      </c>
      <c r="V398" t="s">
        <v>120</v>
      </c>
      <c r="W398" t="s">
        <v>120</v>
      </c>
      <c r="X398" t="str">
        <f>IF(V398="N/A","N/A",IF(W398="N/A", "N/A", IF(V398=W398, "Yes","No")))</f>
        <v>N/A</v>
      </c>
    </row>
    <row r="399" spans="1:32" x14ac:dyDescent="0.2">
      <c r="A399" t="s">
        <v>68</v>
      </c>
      <c r="B399" t="s">
        <v>301</v>
      </c>
      <c r="C399">
        <v>24.4</v>
      </c>
      <c r="D399" t="s">
        <v>12</v>
      </c>
      <c r="F399" s="2" t="str">
        <f>IF(C399&gt;$W$3,"Yes","No")</f>
        <v>No</v>
      </c>
      <c r="G399" t="s">
        <v>9</v>
      </c>
      <c r="J399" s="2" t="s">
        <v>11</v>
      </c>
      <c r="K399">
        <v>26.2</v>
      </c>
      <c r="L399" t="s">
        <v>12</v>
      </c>
      <c r="M399" t="s">
        <v>67</v>
      </c>
      <c r="N399" t="str">
        <f t="shared" ref="N399:N400" si="195">IF(K399="N/A","No", IF(K399&gt;1200,"Yes","No"))</f>
        <v>No</v>
      </c>
      <c r="O399" t="str">
        <f t="shared" si="194"/>
        <v>No</v>
      </c>
      <c r="Q399" s="2" t="s">
        <v>98</v>
      </c>
      <c r="R399" t="str">
        <f>_xlfn.XLOOKUP("mg/cm2",D398:D402,G398:G402,"N/A")</f>
        <v>No</v>
      </c>
      <c r="S399" t="str">
        <f>IF(COUNTIF(O401:O402,"Yes"),"Yes","No")</f>
        <v>No</v>
      </c>
      <c r="U399" t="s">
        <v>95</v>
      </c>
      <c r="V399" t="str">
        <f>R398</f>
        <v>No</v>
      </c>
      <c r="W399" t="str">
        <f>S398</f>
        <v>No</v>
      </c>
      <c r="X399" t="str">
        <f t="shared" ref="X399:X402" si="196">IF(V399="N/A","N/A",IF(W399="N/A", "N/A", IF(V399=W399, "Yes","No")))</f>
        <v>Yes</v>
      </c>
    </row>
    <row r="400" spans="1:32" x14ac:dyDescent="0.2">
      <c r="A400" t="s">
        <v>109</v>
      </c>
      <c r="B400" t="s">
        <v>24</v>
      </c>
      <c r="C400">
        <v>0.02</v>
      </c>
      <c r="D400" t="s">
        <v>4</v>
      </c>
      <c r="F400" s="2" t="str">
        <f t="shared" ref="F400" si="197">IF(C400&gt;=$W$2,"Yes","No")</f>
        <v>No</v>
      </c>
      <c r="G400" t="s">
        <v>9</v>
      </c>
      <c r="H400" t="s">
        <v>43</v>
      </c>
      <c r="J400" s="2" t="s">
        <v>15</v>
      </c>
      <c r="K400">
        <v>20.399999999999999</v>
      </c>
      <c r="L400" t="s">
        <v>12</v>
      </c>
      <c r="M400" t="s">
        <v>112</v>
      </c>
      <c r="N400" t="str">
        <f t="shared" si="195"/>
        <v>No</v>
      </c>
      <c r="O400" t="str">
        <f t="shared" si="194"/>
        <v>No</v>
      </c>
      <c r="Q400" s="2" t="s">
        <v>117</v>
      </c>
      <c r="R400" s="30" t="s">
        <v>5</v>
      </c>
      <c r="S400" t="str">
        <f>IF(COUNTIF(O403:O406,"Yes"),"Yes","No")</f>
        <v>No</v>
      </c>
      <c r="U400" t="s">
        <v>163</v>
      </c>
      <c r="V400" t="s">
        <v>9</v>
      </c>
      <c r="W400" t="str">
        <f>O402</f>
        <v>No</v>
      </c>
      <c r="X400" t="str">
        <f t="shared" si="196"/>
        <v>Yes</v>
      </c>
    </row>
    <row r="401" spans="1:32" x14ac:dyDescent="0.2">
      <c r="A401" t="s">
        <v>113</v>
      </c>
      <c r="B401" t="s">
        <v>32</v>
      </c>
      <c r="C401">
        <v>1.6</v>
      </c>
      <c r="D401" t="s">
        <v>33</v>
      </c>
      <c r="F401" s="2" t="str">
        <f t="shared" ref="F401" si="198">IF(C401&gt;$W$6,"Yes","No")</f>
        <v>No</v>
      </c>
      <c r="G401" t="s">
        <v>9</v>
      </c>
      <c r="J401" s="2" t="s">
        <v>19</v>
      </c>
      <c r="K401">
        <v>16</v>
      </c>
      <c r="L401" t="s">
        <v>12</v>
      </c>
      <c r="M401" t="s">
        <v>46</v>
      </c>
      <c r="N401" t="str">
        <f>IF(K401="N/A","No", IF(K401&gt;5000,"Yes","No"))</f>
        <v>No</v>
      </c>
      <c r="O401" t="str">
        <f>IF(K401="Not","No",IF(K401="n/a","N/A",IF(K401&gt;$Y$2,"Yes","No")))</f>
        <v>No</v>
      </c>
      <c r="Q401" s="2" t="s">
        <v>118</v>
      </c>
      <c r="R401" t="str">
        <f>IF(COUNTIF(R398:R400,"Yes"),"Yes","No")</f>
        <v>Yes</v>
      </c>
      <c r="S401" t="str">
        <f>IF(COUNTIF(S398:S400,"Yes"),"Yes","No")</f>
        <v>No</v>
      </c>
      <c r="U401" t="s">
        <v>164</v>
      </c>
      <c r="V401" t="s">
        <v>9</v>
      </c>
      <c r="W401" t="str">
        <f>O401</f>
        <v>No</v>
      </c>
      <c r="X401" t="str">
        <f t="shared" si="196"/>
        <v>Yes</v>
      </c>
    </row>
    <row r="402" spans="1:32" x14ac:dyDescent="0.2">
      <c r="A402" t="s">
        <v>293</v>
      </c>
      <c r="B402" t="s">
        <v>54</v>
      </c>
      <c r="C402">
        <v>114.6</v>
      </c>
      <c r="D402" t="s">
        <v>33</v>
      </c>
      <c r="F402" s="2" t="str">
        <f>IF(C402&gt;$W$5,"Yes","No")</f>
        <v>Yes</v>
      </c>
      <c r="G402" t="s">
        <v>5</v>
      </c>
      <c r="J402" s="2" t="s">
        <v>22</v>
      </c>
      <c r="K402">
        <v>12</v>
      </c>
      <c r="L402" t="s">
        <v>12</v>
      </c>
      <c r="M402" t="s">
        <v>43</v>
      </c>
      <c r="N402" t="str">
        <f>IF(K402="N/A","No", IF(K402&gt;5000,"Yes","No"))</f>
        <v>No</v>
      </c>
      <c r="O402" t="str">
        <f>IF(K402="Not","No",IF(K402="n/a","N/A",IF(K402&gt;$Y$2,"Yes","No")))</f>
        <v>No</v>
      </c>
      <c r="U402" t="s">
        <v>162</v>
      </c>
      <c r="V402" t="str">
        <f>R399</f>
        <v>No</v>
      </c>
      <c r="W402" t="str">
        <f>S399</f>
        <v>No</v>
      </c>
      <c r="X402" t="str">
        <f t="shared" si="196"/>
        <v>Yes</v>
      </c>
    </row>
    <row r="403" spans="1:32" x14ac:dyDescent="0.2">
      <c r="F403" s="2"/>
      <c r="J403" s="2" t="s">
        <v>25</v>
      </c>
      <c r="K403">
        <v>2.5</v>
      </c>
      <c r="L403" t="s">
        <v>12</v>
      </c>
      <c r="M403" t="s">
        <v>126</v>
      </c>
      <c r="N403" t="str">
        <f>IF(K403="N/A","No", IF(K403&gt;20,"Yes","No"))</f>
        <v>No</v>
      </c>
      <c r="O403" t="str">
        <f t="shared" ref="O403:O404" si="199">IF(K403="Not","No",IF(K403="n/a","N/A",IF(K403&gt;$Y$6,"Yes","No")))</f>
        <v>No</v>
      </c>
      <c r="U403" t="s">
        <v>101</v>
      </c>
      <c r="V403" t="s">
        <v>9</v>
      </c>
      <c r="W403" t="s">
        <v>9</v>
      </c>
      <c r="X403" t="str">
        <f>IF(V403="N/A","N/A",IF(W403="N/A", "N/A", IF(V403=W403, "Yes","No")))</f>
        <v>Yes</v>
      </c>
    </row>
    <row r="404" spans="1:32" x14ac:dyDescent="0.2">
      <c r="F404" s="2"/>
      <c r="J404" s="2" t="s">
        <v>29</v>
      </c>
      <c r="K404">
        <v>2.5</v>
      </c>
      <c r="L404" t="s">
        <v>12</v>
      </c>
      <c r="M404" t="s">
        <v>222</v>
      </c>
      <c r="N404" t="str">
        <f>IF(K404="N/A","No", IF(K404&gt;20,"Yes","No"))</f>
        <v>No</v>
      </c>
      <c r="O404" t="str">
        <f t="shared" si="199"/>
        <v>No</v>
      </c>
      <c r="U404" t="s">
        <v>104</v>
      </c>
      <c r="V404" t="s">
        <v>5</v>
      </c>
      <c r="W404" t="str">
        <f>O405</f>
        <v>No</v>
      </c>
      <c r="X404" t="str">
        <f>IF(V404="N/A","N/A",IF(W404="N/A", "N/A", IF(V404=W404, "Yes","No")))</f>
        <v>No</v>
      </c>
    </row>
    <row r="405" spans="1:32" x14ac:dyDescent="0.2">
      <c r="F405" s="2"/>
      <c r="J405" s="2" t="s">
        <v>34</v>
      </c>
      <c r="K405">
        <v>5</v>
      </c>
      <c r="L405" t="s">
        <v>12</v>
      </c>
      <c r="M405" t="s">
        <v>210</v>
      </c>
      <c r="N405" t="str">
        <f>IF(K405="N/A","No", IF(K405&gt;230,"Yes","No"))</f>
        <v>No</v>
      </c>
      <c r="O405" t="str">
        <f>IF(K405="Not","No",IF(K405="n/a","N/A",IF(K405&gt;$Y$5,"Yes","No")))</f>
        <v>No</v>
      </c>
      <c r="U405" t="s">
        <v>106</v>
      </c>
      <c r="V405" t="str">
        <f>R400</f>
        <v>Yes</v>
      </c>
      <c r="W405" t="str">
        <f>S400</f>
        <v>No</v>
      </c>
      <c r="X405" t="str">
        <f>IF(V405="N/A","N/A",IF(W405="N/A", "N/A", IF(V405=W405, "Yes","No")))</f>
        <v>No</v>
      </c>
    </row>
    <row r="406" spans="1:32" x14ac:dyDescent="0.2">
      <c r="F406" s="2"/>
      <c r="J406" s="2" t="s">
        <v>208</v>
      </c>
      <c r="K406">
        <v>2.5</v>
      </c>
      <c r="L406" t="s">
        <v>12</v>
      </c>
      <c r="M406" t="s">
        <v>223</v>
      </c>
      <c r="N406" t="str">
        <f>IF(K406="N/A","No", IF(K406&gt;20,"Yes","No"))</f>
        <v>No</v>
      </c>
      <c r="O406" t="str">
        <f>IF(K406="Not","No",IF(K406="n/a","N/A",IF(K406&gt;$Y$7,"Yes","No")))</f>
        <v>No</v>
      </c>
      <c r="U406" t="s">
        <v>121</v>
      </c>
      <c r="V406" t="str">
        <f>R401</f>
        <v>Yes</v>
      </c>
      <c r="W406" t="str">
        <f>S401</f>
        <v>No</v>
      </c>
      <c r="X406" t="str">
        <f>IF(V406="N/A","N/A",IF(W406="N/A", "N/A", IF(V406=W406, "Yes","No")))</f>
        <v>No</v>
      </c>
    </row>
    <row r="408" spans="1:32" x14ac:dyDescent="0.2">
      <c r="A408" s="1">
        <f>VLOOKUP(C408,'Grid - LRA Samples'!$A$2:$B$108, 2,FALSE)</f>
        <v>1179</v>
      </c>
      <c r="B408" t="s">
        <v>111</v>
      </c>
      <c r="C408">
        <v>43</v>
      </c>
    </row>
    <row r="409" spans="1:32" x14ac:dyDescent="0.2">
      <c r="A409" s="5" t="s">
        <v>0</v>
      </c>
      <c r="E409" s="2" t="s">
        <v>274</v>
      </c>
      <c r="F409" s="2" t="s">
        <v>275</v>
      </c>
      <c r="G409" t="s">
        <v>119</v>
      </c>
      <c r="J409" s="5" t="s">
        <v>1</v>
      </c>
      <c r="N409" s="2" t="s">
        <v>277</v>
      </c>
      <c r="O409" t="s">
        <v>278</v>
      </c>
      <c r="Q409" s="5" t="s">
        <v>115</v>
      </c>
      <c r="R409" s="5" t="s">
        <v>0</v>
      </c>
      <c r="S409" s="5" t="s">
        <v>1</v>
      </c>
      <c r="U409" s="5" t="s">
        <v>115</v>
      </c>
      <c r="V409" s="5" t="s">
        <v>0</v>
      </c>
      <c r="W409" s="5" t="s">
        <v>1</v>
      </c>
      <c r="X409" s="5" t="s">
        <v>122</v>
      </c>
      <c r="AA409" t="str">
        <f>IF(R410="Yes","LRA-Soil","")</f>
        <v>LRA-Soil</v>
      </c>
      <c r="AB409" t="str">
        <f>IF(R411="Yes","LRA-Paint","")</f>
        <v>LRA-Paint</v>
      </c>
      <c r="AC409" t="str">
        <f>IF(R412="Yes","LRA-Dust","")</f>
        <v>LRA-Dust</v>
      </c>
      <c r="AD409" t="str">
        <f>IF(S410="Yes","LSK-Soil","")</f>
        <v>LSK-Soil</v>
      </c>
      <c r="AE409" t="str">
        <f>IF(S411="Yes","LSK-Paint","")</f>
        <v/>
      </c>
      <c r="AF409" t="str">
        <f>IF(S412="Yes","LSK-Dust","")</f>
        <v/>
      </c>
    </row>
    <row r="410" spans="1:32" x14ac:dyDescent="0.2">
      <c r="A410" t="s">
        <v>154</v>
      </c>
      <c r="B410" t="s">
        <v>204</v>
      </c>
      <c r="C410">
        <v>0.12</v>
      </c>
      <c r="D410" t="s">
        <v>4</v>
      </c>
      <c r="F410" s="2" t="str">
        <f t="shared" ref="F410" si="200">IF(C410&gt;=$W$2,"Yes","No")</f>
        <v>No</v>
      </c>
      <c r="G410" s="14" t="s">
        <v>5</v>
      </c>
      <c r="H410" t="s">
        <v>46</v>
      </c>
      <c r="J410" s="2" t="s">
        <v>6</v>
      </c>
      <c r="K410">
        <v>202</v>
      </c>
      <c r="L410" t="s">
        <v>12</v>
      </c>
      <c r="M410" t="s">
        <v>114</v>
      </c>
      <c r="N410" t="str">
        <f>IF(K410="N/A","No", IF(K410&gt;1200,"Yes","No"))</f>
        <v>No</v>
      </c>
      <c r="O410" t="str">
        <f t="shared" ref="O410:O412" si="201">IF(K410="Not","No",IF(K410="n/a","N/A",IF(K410&gt;$Y$3,"Yes","No")))</f>
        <v>No</v>
      </c>
      <c r="Q410" s="2" t="s">
        <v>116</v>
      </c>
      <c r="R410" t="str">
        <f>_xlfn.XLOOKUP("ppm",D410:D418,F410:F418,"N/A")</f>
        <v>Yes</v>
      </c>
      <c r="S410" t="str">
        <f>IF(COUNTIF(O410:O412,"Yes"),"Yes","No")</f>
        <v>Yes</v>
      </c>
      <c r="U410" t="s">
        <v>92</v>
      </c>
      <c r="V410" t="s">
        <v>120</v>
      </c>
      <c r="W410" t="s">
        <v>120</v>
      </c>
      <c r="X410" t="str">
        <f>IF(V410="N/A","N/A",IF(W410="N/A", "N/A", IF(V410=W410, "Yes","No")))</f>
        <v>N/A</v>
      </c>
    </row>
    <row r="411" spans="1:32" x14ac:dyDescent="0.2">
      <c r="A411" t="s">
        <v>68</v>
      </c>
      <c r="B411" t="s">
        <v>69</v>
      </c>
      <c r="C411">
        <v>608</v>
      </c>
      <c r="D411" t="s">
        <v>12</v>
      </c>
      <c r="F411" s="2" t="str">
        <f>IF(C411&gt;$W$3,"Yes","No")</f>
        <v>Yes</v>
      </c>
      <c r="G411" t="s">
        <v>9</v>
      </c>
      <c r="J411" s="2" t="s">
        <v>11</v>
      </c>
      <c r="K411">
        <v>933</v>
      </c>
      <c r="L411" t="s">
        <v>12</v>
      </c>
      <c r="M411" t="s">
        <v>67</v>
      </c>
      <c r="N411" t="str">
        <f t="shared" ref="N411:N412" si="202">IF(K411="N/A","No", IF(K411&gt;1200,"Yes","No"))</f>
        <v>No</v>
      </c>
      <c r="O411" t="str">
        <f t="shared" si="201"/>
        <v>Yes</v>
      </c>
      <c r="Q411" s="2" t="s">
        <v>98</v>
      </c>
      <c r="R411" s="14" t="str">
        <f>_xlfn.XLOOKUP("mg/cm2",D410:D418,G410:G418,"N/A")</f>
        <v>Yes</v>
      </c>
      <c r="S411" t="str">
        <f>IF(COUNTIF(O413:O414,"Yes"),"Yes","No")</f>
        <v>No</v>
      </c>
      <c r="U411" t="s">
        <v>95</v>
      </c>
      <c r="V411" t="str">
        <f>R410</f>
        <v>Yes</v>
      </c>
      <c r="W411" t="str">
        <f>S410</f>
        <v>Yes</v>
      </c>
      <c r="X411" t="str">
        <f t="shared" ref="X411:X414" si="203">IF(V411="N/A","N/A",IF(W411="N/A", "N/A", IF(V411=W411, "Yes","No")))</f>
        <v>Yes</v>
      </c>
    </row>
    <row r="412" spans="1:32" x14ac:dyDescent="0.2">
      <c r="A412" t="s">
        <v>113</v>
      </c>
      <c r="B412" t="s">
        <v>304</v>
      </c>
      <c r="C412">
        <v>0.9</v>
      </c>
      <c r="D412" t="s">
        <v>4</v>
      </c>
      <c r="F412" s="2" t="str">
        <f t="shared" ref="F412" si="204">IF(C412&gt;=$W$2,"Yes","No")</f>
        <v>No</v>
      </c>
      <c r="G412" t="s">
        <v>9</v>
      </c>
      <c r="H412" t="s">
        <v>43</v>
      </c>
      <c r="J412" s="2" t="s">
        <v>15</v>
      </c>
      <c r="K412">
        <v>845</v>
      </c>
      <c r="L412" t="s">
        <v>12</v>
      </c>
      <c r="M412" t="s">
        <v>112</v>
      </c>
      <c r="N412" t="str">
        <f t="shared" si="202"/>
        <v>No</v>
      </c>
      <c r="O412" t="str">
        <f t="shared" si="201"/>
        <v>Yes</v>
      </c>
      <c r="Q412" s="2" t="s">
        <v>117</v>
      </c>
      <c r="R412" s="30" t="s">
        <v>5</v>
      </c>
      <c r="S412" t="str">
        <f>IF(COUNTIF(O415:O418,"Yes"),"Yes","No")</f>
        <v>No</v>
      </c>
      <c r="U412" t="s">
        <v>163</v>
      </c>
      <c r="V412" t="s">
        <v>9</v>
      </c>
      <c r="W412" t="str">
        <f>O414</f>
        <v>No</v>
      </c>
      <c r="X412" t="str">
        <f t="shared" si="203"/>
        <v>Yes</v>
      </c>
    </row>
    <row r="413" spans="1:32" x14ac:dyDescent="0.2">
      <c r="A413" t="s">
        <v>109</v>
      </c>
      <c r="B413" t="s">
        <v>32</v>
      </c>
      <c r="C413">
        <v>1.8</v>
      </c>
      <c r="D413" t="s">
        <v>33</v>
      </c>
      <c r="F413" s="2" t="str">
        <f t="shared" ref="F413:F414" si="205">IF(C413&gt;$W$6,"Yes","No")</f>
        <v>No</v>
      </c>
      <c r="G413" t="s">
        <v>9</v>
      </c>
      <c r="J413" s="2" t="s">
        <v>19</v>
      </c>
      <c r="K413">
        <v>15</v>
      </c>
      <c r="L413" t="s">
        <v>12</v>
      </c>
      <c r="M413" t="s">
        <v>46</v>
      </c>
      <c r="N413" t="str">
        <f>IF(K413="N/A","No", IF(K413&gt;5000,"Yes","No"))</f>
        <v>No</v>
      </c>
      <c r="O413" t="str">
        <f>IF(K413="Not","No",IF(K413="n/a","N/A",IF(K413&gt;$Y$2,"Yes","No")))</f>
        <v>No</v>
      </c>
      <c r="Q413" s="2" t="s">
        <v>118</v>
      </c>
      <c r="R413" t="str">
        <f>IF(COUNTIF(R410:R412,"Yes"),"Yes","No")</f>
        <v>Yes</v>
      </c>
      <c r="S413" t="str">
        <f>IF(COUNTIF(S410:S412,"Yes"),"Yes","No")</f>
        <v>Yes</v>
      </c>
      <c r="U413" t="s">
        <v>164</v>
      </c>
      <c r="V413" t="s">
        <v>9</v>
      </c>
      <c r="W413" t="str">
        <f>O413</f>
        <v>No</v>
      </c>
      <c r="X413" t="str">
        <f t="shared" si="203"/>
        <v>Yes</v>
      </c>
    </row>
    <row r="414" spans="1:32" x14ac:dyDescent="0.2">
      <c r="A414" t="s">
        <v>109</v>
      </c>
      <c r="B414" t="s">
        <v>32</v>
      </c>
      <c r="C414">
        <v>1.9</v>
      </c>
      <c r="D414" t="s">
        <v>33</v>
      </c>
      <c r="F414" s="2" t="str">
        <f t="shared" si="205"/>
        <v>No</v>
      </c>
      <c r="G414" t="s">
        <v>9</v>
      </c>
      <c r="J414" s="2" t="s">
        <v>22</v>
      </c>
      <c r="K414">
        <v>2.5</v>
      </c>
      <c r="L414" t="s">
        <v>12</v>
      </c>
      <c r="M414" t="s">
        <v>43</v>
      </c>
      <c r="N414" t="str">
        <f>IF(K414="N/A","No", IF(K414&gt;5000,"Yes","No"))</f>
        <v>No</v>
      </c>
      <c r="O414" t="str">
        <f>IF(K414="Not","No",IF(K414="n/a","N/A",IF(K414&gt;$Y$2,"Yes","No")))</f>
        <v>No</v>
      </c>
      <c r="U414" t="s">
        <v>162</v>
      </c>
      <c r="V414" s="14" t="str">
        <f>R411</f>
        <v>Yes</v>
      </c>
      <c r="W414" t="str">
        <f>S411</f>
        <v>No</v>
      </c>
      <c r="X414" t="str">
        <f t="shared" si="203"/>
        <v>No</v>
      </c>
    </row>
    <row r="415" spans="1:32" x14ac:dyDescent="0.2">
      <c r="A415" t="s">
        <v>109</v>
      </c>
      <c r="B415" t="s">
        <v>54</v>
      </c>
      <c r="C415">
        <v>61.8</v>
      </c>
      <c r="D415" t="s">
        <v>33</v>
      </c>
      <c r="F415" s="2" t="str">
        <f>IF(C415&gt;$W$5,"Yes","No")</f>
        <v>No</v>
      </c>
      <c r="G415" t="s">
        <v>9</v>
      </c>
      <c r="J415" s="2" t="s">
        <v>25</v>
      </c>
      <c r="K415">
        <v>2.5</v>
      </c>
      <c r="L415" t="s">
        <v>12</v>
      </c>
      <c r="M415" t="s">
        <v>126</v>
      </c>
      <c r="N415" t="str">
        <f>IF(K415="N/A","No", IF(K415&gt;20,"Yes","No"))</f>
        <v>No</v>
      </c>
      <c r="O415" t="str">
        <f t="shared" ref="O415:O416" si="206">IF(K415="Not","No",IF(K415="n/a","N/A",IF(K415&gt;$Y$6,"Yes","No")))</f>
        <v>No</v>
      </c>
      <c r="U415" t="s">
        <v>101</v>
      </c>
      <c r="V415" t="s">
        <v>5</v>
      </c>
      <c r="W415" t="s">
        <v>9</v>
      </c>
      <c r="X415" t="str">
        <f>IF(V415="N/A","N/A",IF(W415="N/A", "N/A", IF(V415=W415, "Yes","No")))</f>
        <v>No</v>
      </c>
    </row>
    <row r="416" spans="1:32" x14ac:dyDescent="0.2">
      <c r="A416" t="s">
        <v>71</v>
      </c>
      <c r="B416" t="s">
        <v>32</v>
      </c>
      <c r="C416">
        <v>25.7</v>
      </c>
      <c r="D416" t="s">
        <v>33</v>
      </c>
      <c r="F416" s="2" t="str">
        <f t="shared" ref="F416:F417" si="207">IF(C416&gt;$W$6,"Yes","No")</f>
        <v>Yes</v>
      </c>
      <c r="G416" t="s">
        <v>5</v>
      </c>
      <c r="J416" s="2" t="s">
        <v>29</v>
      </c>
      <c r="K416">
        <v>2.5</v>
      </c>
      <c r="L416" t="s">
        <v>12</v>
      </c>
      <c r="M416" t="s">
        <v>222</v>
      </c>
      <c r="N416" t="str">
        <f>IF(K416="N/A","No", IF(K416&gt;20,"Yes","No"))</f>
        <v>No</v>
      </c>
      <c r="O416" t="str">
        <f t="shared" si="206"/>
        <v>No</v>
      </c>
      <c r="U416" t="s">
        <v>104</v>
      </c>
      <c r="V416" t="s">
        <v>5</v>
      </c>
      <c r="W416" t="str">
        <f>O417</f>
        <v>No</v>
      </c>
      <c r="X416" t="str">
        <f>IF(V416="N/A","N/A",IF(W416="N/A", "N/A", IF(V416=W416, "Yes","No")))</f>
        <v>No</v>
      </c>
    </row>
    <row r="417" spans="1:32" x14ac:dyDescent="0.2">
      <c r="A417" t="s">
        <v>71</v>
      </c>
      <c r="B417" t="s">
        <v>32</v>
      </c>
      <c r="C417">
        <v>3</v>
      </c>
      <c r="D417" t="s">
        <v>33</v>
      </c>
      <c r="F417" s="2" t="str">
        <f t="shared" si="207"/>
        <v>No</v>
      </c>
      <c r="G417" t="s">
        <v>9</v>
      </c>
      <c r="J417" s="2" t="s">
        <v>34</v>
      </c>
      <c r="K417">
        <v>5</v>
      </c>
      <c r="L417" t="s">
        <v>12</v>
      </c>
      <c r="M417" t="s">
        <v>210</v>
      </c>
      <c r="N417" t="str">
        <f>IF(K417="N/A","No", IF(K417&gt;230,"Yes","No"))</f>
        <v>No</v>
      </c>
      <c r="O417" t="str">
        <f>IF(K417="Not","No",IF(K417="n/a","N/A",IF(K417&gt;$Y$5,"Yes","No")))</f>
        <v>No</v>
      </c>
      <c r="U417" t="s">
        <v>106</v>
      </c>
      <c r="V417" t="str">
        <f>R412</f>
        <v>Yes</v>
      </c>
      <c r="W417" t="str">
        <f>S412</f>
        <v>No</v>
      </c>
      <c r="X417" t="str">
        <f>IF(V417="N/A","N/A",IF(W417="N/A", "N/A", IF(V417=W417, "Yes","No")))</f>
        <v>No</v>
      </c>
    </row>
    <row r="418" spans="1:32" x14ac:dyDescent="0.2">
      <c r="A418" t="s">
        <v>158</v>
      </c>
      <c r="B418" t="s">
        <v>54</v>
      </c>
      <c r="C418">
        <v>184.8</v>
      </c>
      <c r="D418" t="s">
        <v>33</v>
      </c>
      <c r="F418" s="2" t="str">
        <f>IF(C418&gt;$W$5,"Yes","No")</f>
        <v>Yes</v>
      </c>
      <c r="G418" t="s">
        <v>5</v>
      </c>
      <c r="J418" s="2" t="s">
        <v>208</v>
      </c>
      <c r="K418">
        <v>2.5</v>
      </c>
      <c r="L418" t="s">
        <v>12</v>
      </c>
      <c r="M418" t="s">
        <v>223</v>
      </c>
      <c r="N418" t="str">
        <f>IF(K418="N/A","No", IF(K418&gt;20,"Yes","No"))</f>
        <v>No</v>
      </c>
      <c r="O418" t="str">
        <f>IF(K418="Not","No",IF(K418="n/a","N/A",IF(K418&gt;$Y$7,"Yes","No")))</f>
        <v>No</v>
      </c>
      <c r="U418" t="s">
        <v>121</v>
      </c>
      <c r="V418" t="str">
        <f>R413</f>
        <v>Yes</v>
      </c>
      <c r="W418" t="str">
        <f>S413</f>
        <v>Yes</v>
      </c>
      <c r="X418" t="str">
        <f>IF(V418="N/A","N/A",IF(W418="N/A", "N/A", IF(V418=W418, "Yes","No")))</f>
        <v>Yes</v>
      </c>
    </row>
    <row r="421" spans="1:32" x14ac:dyDescent="0.2">
      <c r="A421" s="1">
        <f>VLOOKUP(C421,'Grid - LRA Samples'!$A$2:$B$108, 2,FALSE)</f>
        <v>1209</v>
      </c>
      <c r="B421" t="s">
        <v>111</v>
      </c>
      <c r="C421">
        <v>44</v>
      </c>
    </row>
    <row r="422" spans="1:32" x14ac:dyDescent="0.2">
      <c r="A422" s="5" t="s">
        <v>0</v>
      </c>
      <c r="E422" s="2" t="s">
        <v>274</v>
      </c>
      <c r="F422" s="2" t="s">
        <v>275</v>
      </c>
      <c r="G422" t="s">
        <v>119</v>
      </c>
      <c r="J422" s="5" t="s">
        <v>1</v>
      </c>
      <c r="N422" s="2" t="s">
        <v>277</v>
      </c>
      <c r="O422" t="s">
        <v>278</v>
      </c>
      <c r="Q422" s="5" t="s">
        <v>115</v>
      </c>
      <c r="R422" s="5" t="s">
        <v>0</v>
      </c>
      <c r="S422" s="5" t="s">
        <v>1</v>
      </c>
      <c r="U422" s="5" t="s">
        <v>115</v>
      </c>
      <c r="V422" s="5" t="s">
        <v>0</v>
      </c>
      <c r="W422" s="5" t="s">
        <v>1</v>
      </c>
      <c r="X422" s="5" t="s">
        <v>122</v>
      </c>
      <c r="AA422" t="str">
        <f>IF(R423="Yes","LRA-Soil","")</f>
        <v/>
      </c>
      <c r="AB422" t="str">
        <f>IF(R424="Yes","LRA-Paint","")</f>
        <v>LRA-Paint</v>
      </c>
      <c r="AC422" t="str">
        <f>IF(R425="Yes","LRA-Dust","")</f>
        <v>LRA-Dust</v>
      </c>
      <c r="AD422" t="str">
        <f>IF(S423="Yes","LSK-Soil","")</f>
        <v>LSK-Soil</v>
      </c>
      <c r="AE422" t="str">
        <f>IF(S424="Yes","LSK-Paint","")</f>
        <v/>
      </c>
      <c r="AF422" t="str">
        <f>IF(S425="Yes","LSK-Dust","")</f>
        <v/>
      </c>
    </row>
    <row r="423" spans="1:32" x14ac:dyDescent="0.2">
      <c r="A423" t="s">
        <v>63</v>
      </c>
      <c r="B423" t="s">
        <v>10</v>
      </c>
      <c r="C423">
        <v>0.25</v>
      </c>
      <c r="D423" t="s">
        <v>4</v>
      </c>
      <c r="F423" s="2" t="str">
        <f t="shared" ref="F423:F434" si="208">IF(C423&gt;=$W$2,"Yes","No")</f>
        <v>No</v>
      </c>
      <c r="G423" t="s">
        <v>9</v>
      </c>
      <c r="H423" t="s">
        <v>46</v>
      </c>
      <c r="J423" s="2" t="s">
        <v>6</v>
      </c>
      <c r="K423">
        <v>106</v>
      </c>
      <c r="L423" t="s">
        <v>12</v>
      </c>
      <c r="M423" t="s">
        <v>114</v>
      </c>
      <c r="N423" t="str">
        <f>IF(K423="N/A","No", IF(K423&gt;1200,"Yes","No"))</f>
        <v>No</v>
      </c>
      <c r="O423" t="str">
        <f t="shared" ref="O423:O425" si="209">IF(K423="Not","No",IF(K423="n/a","N/A",IF(K423&gt;$Y$3,"Yes","No")))</f>
        <v>No</v>
      </c>
      <c r="Q423" s="2" t="s">
        <v>116</v>
      </c>
      <c r="R423" t="str">
        <f>_xlfn.XLOOKUP("ppm",D423:D449,F423:F449,"N/A")</f>
        <v>No</v>
      </c>
      <c r="S423" t="str">
        <f>IF(COUNTIF(O423:O425,"Yes"),"Yes","No")</f>
        <v>Yes</v>
      </c>
      <c r="U423" t="s">
        <v>92</v>
      </c>
      <c r="V423" t="s">
        <v>120</v>
      </c>
      <c r="W423" t="s">
        <v>120</v>
      </c>
      <c r="X423" t="str">
        <f>IF(V423="N/A","N/A",IF(W423="N/A", "N/A", IF(V423=W423, "Yes","No")))</f>
        <v>N/A</v>
      </c>
    </row>
    <row r="424" spans="1:32" x14ac:dyDescent="0.2">
      <c r="A424" t="s">
        <v>63</v>
      </c>
      <c r="B424" t="s">
        <v>10</v>
      </c>
      <c r="C424">
        <v>3.4</v>
      </c>
      <c r="D424" t="s">
        <v>4</v>
      </c>
      <c r="F424" s="2" t="str">
        <f t="shared" si="208"/>
        <v>Yes</v>
      </c>
      <c r="G424" t="s">
        <v>5</v>
      </c>
      <c r="H424" t="s">
        <v>46</v>
      </c>
      <c r="J424" s="2" t="s">
        <v>11</v>
      </c>
      <c r="K424">
        <v>346</v>
      </c>
      <c r="L424" t="s">
        <v>12</v>
      </c>
      <c r="M424" t="s">
        <v>67</v>
      </c>
      <c r="N424" t="str">
        <f t="shared" ref="N424:N425" si="210">IF(K424="N/A","No", IF(K424&gt;1200,"Yes","No"))</f>
        <v>No</v>
      </c>
      <c r="O424" t="str">
        <f t="shared" si="209"/>
        <v>No</v>
      </c>
      <c r="Q424" s="2" t="s">
        <v>98</v>
      </c>
      <c r="R424" t="str">
        <f>_xlfn.XLOOKUP("mg/cm2",D423:D449,G423:G449,"N/A",1,-1)</f>
        <v>Yes</v>
      </c>
      <c r="S424" t="str">
        <f>IF(COUNTIF(O426:O427,"Yes"),"Yes","No")</f>
        <v>No</v>
      </c>
      <c r="U424" t="s">
        <v>95</v>
      </c>
      <c r="V424" t="str">
        <f>R423</f>
        <v>No</v>
      </c>
      <c r="W424" t="str">
        <f>S423</f>
        <v>Yes</v>
      </c>
      <c r="X424" t="str">
        <f t="shared" ref="X424:X427" si="211">IF(V424="N/A","N/A",IF(W424="N/A", "N/A", IF(V424=W424, "Yes","No")))</f>
        <v>No</v>
      </c>
    </row>
    <row r="425" spans="1:32" x14ac:dyDescent="0.2">
      <c r="A425" t="s">
        <v>63</v>
      </c>
      <c r="B425" t="s">
        <v>10</v>
      </c>
      <c r="C425">
        <v>1.5</v>
      </c>
      <c r="D425" t="s">
        <v>4</v>
      </c>
      <c r="F425" s="2" t="str">
        <f t="shared" si="208"/>
        <v>Yes</v>
      </c>
      <c r="G425" t="s">
        <v>9</v>
      </c>
      <c r="H425" t="s">
        <v>46</v>
      </c>
      <c r="J425" s="2" t="s">
        <v>15</v>
      </c>
      <c r="K425">
        <v>2333</v>
      </c>
      <c r="L425" t="s">
        <v>12</v>
      </c>
      <c r="M425" t="s">
        <v>112</v>
      </c>
      <c r="N425" t="str">
        <f t="shared" si="210"/>
        <v>Yes</v>
      </c>
      <c r="O425" t="str">
        <f t="shared" si="209"/>
        <v>Yes</v>
      </c>
      <c r="Q425" s="2" t="s">
        <v>117</v>
      </c>
      <c r="R425" t="str">
        <f>_xlfn.XLOOKUP("ug/ft2",D423:D449,F423:F449,"N/A")</f>
        <v>Yes</v>
      </c>
      <c r="S425" t="str">
        <f>IF(COUNTIF(O428:O431,"Yes"),"Yes","No")</f>
        <v>No</v>
      </c>
      <c r="U425" t="s">
        <v>163</v>
      </c>
      <c r="V425" t="s">
        <v>5</v>
      </c>
      <c r="W425" t="str">
        <f>O427</f>
        <v>No</v>
      </c>
      <c r="X425" t="str">
        <f t="shared" si="211"/>
        <v>No</v>
      </c>
    </row>
    <row r="426" spans="1:32" x14ac:dyDescent="0.2">
      <c r="A426" t="s">
        <v>63</v>
      </c>
      <c r="B426" t="s">
        <v>10</v>
      </c>
      <c r="C426">
        <v>7.9</v>
      </c>
      <c r="D426" t="s">
        <v>4</v>
      </c>
      <c r="F426" s="2" t="str">
        <f t="shared" si="208"/>
        <v>Yes</v>
      </c>
      <c r="G426" t="s">
        <v>5</v>
      </c>
      <c r="H426" t="s">
        <v>46</v>
      </c>
      <c r="J426" s="2" t="s">
        <v>19</v>
      </c>
      <c r="K426">
        <v>23</v>
      </c>
      <c r="L426" t="s">
        <v>12</v>
      </c>
      <c r="M426" t="s">
        <v>46</v>
      </c>
      <c r="N426" t="str">
        <f>IF(K426="N/A","No", IF(K426&gt;5000,"Yes","No"))</f>
        <v>No</v>
      </c>
      <c r="O426" t="str">
        <f>IF(K426="Not","No",IF(K426="n/a","N/A",IF(K426&gt;$Y$2,"Yes","No")))</f>
        <v>No</v>
      </c>
      <c r="Q426" s="2" t="s">
        <v>118</v>
      </c>
      <c r="R426" t="str">
        <f>IF(COUNTIF(R423:R425,"Yes"),"Yes","No")</f>
        <v>Yes</v>
      </c>
      <c r="S426" t="str">
        <f>IF(COUNTIF(S423:S425,"Yes"),"Yes","No")</f>
        <v>Yes</v>
      </c>
      <c r="U426" t="s">
        <v>164</v>
      </c>
      <c r="V426" t="s">
        <v>5</v>
      </c>
      <c r="W426" t="str">
        <f>O426</f>
        <v>No</v>
      </c>
      <c r="X426" t="str">
        <f t="shared" si="211"/>
        <v>No</v>
      </c>
    </row>
    <row r="427" spans="1:32" x14ac:dyDescent="0.2">
      <c r="A427" t="s">
        <v>63</v>
      </c>
      <c r="B427" t="s">
        <v>77</v>
      </c>
      <c r="C427">
        <v>3.7</v>
      </c>
      <c r="D427" t="s">
        <v>4</v>
      </c>
      <c r="F427" s="2" t="str">
        <f t="shared" si="208"/>
        <v>Yes</v>
      </c>
      <c r="G427" t="s">
        <v>5</v>
      </c>
      <c r="H427" t="s">
        <v>46</v>
      </c>
      <c r="J427" s="2" t="s">
        <v>22</v>
      </c>
      <c r="K427">
        <v>188</v>
      </c>
      <c r="L427" t="s">
        <v>12</v>
      </c>
      <c r="M427" t="s">
        <v>43</v>
      </c>
      <c r="N427" t="str">
        <f>IF(K427="N/A","No", IF(K427&gt;5000,"Yes","No"))</f>
        <v>No</v>
      </c>
      <c r="O427" t="str">
        <f>IF(K427="Not","No",IF(K427="n/a","N/A",IF(K427&gt;$Y$2,"Yes","No")))</f>
        <v>No</v>
      </c>
      <c r="U427" t="s">
        <v>162</v>
      </c>
      <c r="V427" t="str">
        <f>R424</f>
        <v>Yes</v>
      </c>
      <c r="W427" t="str">
        <f>S424</f>
        <v>No</v>
      </c>
      <c r="X427" t="str">
        <f t="shared" si="211"/>
        <v>No</v>
      </c>
    </row>
    <row r="428" spans="1:32" x14ac:dyDescent="0.2">
      <c r="A428" t="s">
        <v>63</v>
      </c>
      <c r="B428" t="s">
        <v>77</v>
      </c>
      <c r="C428">
        <v>10.5</v>
      </c>
      <c r="D428" t="s">
        <v>4</v>
      </c>
      <c r="F428" s="2" t="str">
        <f t="shared" si="208"/>
        <v>Yes</v>
      </c>
      <c r="G428" t="s">
        <v>5</v>
      </c>
      <c r="H428" t="s">
        <v>46</v>
      </c>
      <c r="J428" s="2" t="s">
        <v>25</v>
      </c>
      <c r="K428">
        <v>4</v>
      </c>
      <c r="L428" t="s">
        <v>12</v>
      </c>
      <c r="M428" t="s">
        <v>126</v>
      </c>
      <c r="N428" t="str">
        <f>IF(K428="N/A","No", IF(K428&gt;20,"Yes","No"))</f>
        <v>No</v>
      </c>
      <c r="O428" t="str">
        <f t="shared" ref="O428:O429" si="212">IF(K428="Not","No",IF(K428="n/a","N/A",IF(K428&gt;$Y$6,"Yes","No")))</f>
        <v>No</v>
      </c>
      <c r="U428" t="s">
        <v>101</v>
      </c>
      <c r="V428" t="s">
        <v>5</v>
      </c>
      <c r="W428" t="s">
        <v>9</v>
      </c>
      <c r="X428" t="str">
        <f>IF(V428="N/A","N/A",IF(W428="N/A", "N/A", IF(V428=W428, "Yes","No")))</f>
        <v>No</v>
      </c>
    </row>
    <row r="429" spans="1:32" x14ac:dyDescent="0.2">
      <c r="A429" t="s">
        <v>63</v>
      </c>
      <c r="B429" t="s">
        <v>24</v>
      </c>
      <c r="C429">
        <v>3.9</v>
      </c>
      <c r="D429" t="s">
        <v>4</v>
      </c>
      <c r="F429" s="2" t="str">
        <f t="shared" si="208"/>
        <v>Yes</v>
      </c>
      <c r="G429" t="s">
        <v>5</v>
      </c>
      <c r="H429" t="s">
        <v>46</v>
      </c>
      <c r="J429" s="2" t="s">
        <v>29</v>
      </c>
      <c r="K429">
        <v>5</v>
      </c>
      <c r="L429" t="s">
        <v>12</v>
      </c>
      <c r="M429" t="s">
        <v>222</v>
      </c>
      <c r="N429" t="str">
        <f>IF(K429="N/A","No", IF(K429&gt;20,"Yes","No"))</f>
        <v>No</v>
      </c>
      <c r="O429" t="str">
        <f t="shared" si="212"/>
        <v>No</v>
      </c>
      <c r="U429" t="s">
        <v>104</v>
      </c>
      <c r="V429" t="s">
        <v>5</v>
      </c>
      <c r="W429" t="str">
        <f>O430</f>
        <v>No</v>
      </c>
      <c r="X429" t="str">
        <f>IF(V429="N/A","N/A",IF(W429="N/A", "N/A", IF(V429=W429, "Yes","No")))</f>
        <v>No</v>
      </c>
    </row>
    <row r="430" spans="1:32" x14ac:dyDescent="0.2">
      <c r="A430" t="s">
        <v>63</v>
      </c>
      <c r="B430" t="s">
        <v>24</v>
      </c>
      <c r="C430">
        <v>4.5</v>
      </c>
      <c r="D430" t="s">
        <v>4</v>
      </c>
      <c r="F430" s="2" t="str">
        <f t="shared" si="208"/>
        <v>Yes</v>
      </c>
      <c r="G430" t="s">
        <v>5</v>
      </c>
      <c r="H430" t="s">
        <v>46</v>
      </c>
      <c r="J430" s="2" t="s">
        <v>34</v>
      </c>
      <c r="K430">
        <v>11</v>
      </c>
      <c r="L430" t="s">
        <v>12</v>
      </c>
      <c r="M430" t="s">
        <v>210</v>
      </c>
      <c r="N430" t="str">
        <f>IF(K430="N/A","No", IF(K430&gt;230,"Yes","No"))</f>
        <v>No</v>
      </c>
      <c r="O430" t="str">
        <f>IF(K430="Not","No",IF(K430="n/a","N/A",IF(K430&gt;$Y$5,"Yes","No")))</f>
        <v>No</v>
      </c>
      <c r="U430" t="s">
        <v>106</v>
      </c>
      <c r="V430" t="str">
        <f>R425</f>
        <v>Yes</v>
      </c>
      <c r="W430" t="str">
        <f>S425</f>
        <v>No</v>
      </c>
      <c r="X430" t="str">
        <f>IF(V430="N/A","N/A",IF(W430="N/A", "N/A", IF(V430=W430, "Yes","No")))</f>
        <v>No</v>
      </c>
    </row>
    <row r="431" spans="1:32" x14ac:dyDescent="0.2">
      <c r="A431" t="s">
        <v>63</v>
      </c>
      <c r="B431" t="s">
        <v>24</v>
      </c>
      <c r="C431">
        <v>0.1</v>
      </c>
      <c r="D431" t="s">
        <v>4</v>
      </c>
      <c r="F431" s="2" t="str">
        <f t="shared" si="208"/>
        <v>No</v>
      </c>
      <c r="G431" t="s">
        <v>9</v>
      </c>
      <c r="H431" t="s">
        <v>46</v>
      </c>
      <c r="J431" s="2" t="s">
        <v>208</v>
      </c>
      <c r="K431">
        <v>363</v>
      </c>
      <c r="L431" t="s">
        <v>12</v>
      </c>
      <c r="M431" t="s">
        <v>223</v>
      </c>
      <c r="N431" t="str">
        <f>IF(K431="N/A","No", IF(K431&gt;20,"Yes","No"))</f>
        <v>Yes</v>
      </c>
      <c r="O431" t="str">
        <f>IF(K431="Not","No",IF(K431="n/a","N/A",IF(K431&gt;$Y$7,"Yes","No")))</f>
        <v>No</v>
      </c>
      <c r="U431" t="s">
        <v>121</v>
      </c>
      <c r="V431" t="str">
        <f>R426</f>
        <v>Yes</v>
      </c>
      <c r="W431" t="str">
        <f>S426</f>
        <v>Yes</v>
      </c>
      <c r="X431" t="str">
        <f>IF(V431="N/A","N/A",IF(W431="N/A", "N/A", IF(V431=W431, "Yes","No")))</f>
        <v>Yes</v>
      </c>
    </row>
    <row r="432" spans="1:32" x14ac:dyDescent="0.2">
      <c r="A432" t="s">
        <v>63</v>
      </c>
      <c r="B432" t="s">
        <v>24</v>
      </c>
      <c r="C432">
        <v>0.28000000000000003</v>
      </c>
      <c r="D432" t="s">
        <v>4</v>
      </c>
      <c r="F432" s="2" t="str">
        <f t="shared" si="208"/>
        <v>No</v>
      </c>
      <c r="G432" t="s">
        <v>9</v>
      </c>
      <c r="H432" t="s">
        <v>46</v>
      </c>
    </row>
    <row r="433" spans="1:8" x14ac:dyDescent="0.2">
      <c r="A433" t="s">
        <v>63</v>
      </c>
      <c r="B433" t="s">
        <v>24</v>
      </c>
      <c r="C433">
        <v>6.2</v>
      </c>
      <c r="D433" t="s">
        <v>4</v>
      </c>
      <c r="F433" s="2" t="str">
        <f t="shared" si="208"/>
        <v>Yes</v>
      </c>
      <c r="G433" t="s">
        <v>5</v>
      </c>
      <c r="H433" t="s">
        <v>46</v>
      </c>
    </row>
    <row r="434" spans="1:8" x14ac:dyDescent="0.2">
      <c r="A434" t="s">
        <v>63</v>
      </c>
      <c r="B434" t="s">
        <v>24</v>
      </c>
      <c r="C434">
        <v>1.1000000000000001</v>
      </c>
      <c r="D434" t="s">
        <v>4</v>
      </c>
      <c r="F434" s="2" t="str">
        <f t="shared" si="208"/>
        <v>Yes</v>
      </c>
      <c r="G434" t="s">
        <v>5</v>
      </c>
      <c r="H434" t="s">
        <v>46</v>
      </c>
    </row>
    <row r="435" spans="1:8" x14ac:dyDescent="0.2">
      <c r="A435" t="s">
        <v>68</v>
      </c>
      <c r="B435" t="s">
        <v>69</v>
      </c>
      <c r="C435">
        <v>252</v>
      </c>
      <c r="D435" t="s">
        <v>12</v>
      </c>
      <c r="F435" s="2" t="str">
        <f>IF(C435&gt;$W$3,"Yes","No")</f>
        <v>No</v>
      </c>
      <c r="G435" t="s">
        <v>9</v>
      </c>
    </row>
    <row r="436" spans="1:8" x14ac:dyDescent="0.2">
      <c r="A436" t="s">
        <v>245</v>
      </c>
      <c r="B436" t="s">
        <v>24</v>
      </c>
      <c r="C436">
        <v>3.9</v>
      </c>
      <c r="D436" t="s">
        <v>4</v>
      </c>
      <c r="F436" s="2" t="str">
        <f t="shared" ref="F436:F441" si="213">IF(C436&gt;=$W$2,"Yes","No")</f>
        <v>Yes</v>
      </c>
      <c r="G436" t="s">
        <v>5</v>
      </c>
      <c r="H436" t="s">
        <v>43</v>
      </c>
    </row>
    <row r="437" spans="1:8" x14ac:dyDescent="0.2">
      <c r="A437" t="s">
        <v>64</v>
      </c>
      <c r="B437" t="s">
        <v>174</v>
      </c>
      <c r="C437">
        <v>8.6999999999999993</v>
      </c>
      <c r="D437" t="s">
        <v>4</v>
      </c>
      <c r="F437" s="2" t="str">
        <f t="shared" si="213"/>
        <v>Yes</v>
      </c>
      <c r="G437" t="s">
        <v>5</v>
      </c>
      <c r="H437" t="s">
        <v>43</v>
      </c>
    </row>
    <row r="438" spans="1:8" x14ac:dyDescent="0.2">
      <c r="A438" t="s">
        <v>64</v>
      </c>
      <c r="B438" t="s">
        <v>174</v>
      </c>
      <c r="C438">
        <v>9.1999999999999993</v>
      </c>
      <c r="D438" t="s">
        <v>4</v>
      </c>
      <c r="F438" s="2" t="str">
        <f t="shared" si="213"/>
        <v>Yes</v>
      </c>
      <c r="G438" t="s">
        <v>5</v>
      </c>
      <c r="H438" t="s">
        <v>43</v>
      </c>
    </row>
    <row r="439" spans="1:8" x14ac:dyDescent="0.2">
      <c r="A439" t="s">
        <v>64</v>
      </c>
      <c r="B439" t="s">
        <v>3</v>
      </c>
      <c r="C439">
        <v>5.8</v>
      </c>
      <c r="D439" t="s">
        <v>4</v>
      </c>
      <c r="F439" s="2" t="str">
        <f t="shared" si="213"/>
        <v>Yes</v>
      </c>
      <c r="G439" t="s">
        <v>5</v>
      </c>
      <c r="H439" t="s">
        <v>43</v>
      </c>
    </row>
    <row r="440" spans="1:8" x14ac:dyDescent="0.2">
      <c r="A440" t="s">
        <v>64</v>
      </c>
      <c r="B440" t="s">
        <v>40</v>
      </c>
      <c r="C440">
        <v>10.1</v>
      </c>
      <c r="D440" t="s">
        <v>4</v>
      </c>
      <c r="F440" s="2" t="str">
        <f t="shared" si="213"/>
        <v>Yes</v>
      </c>
      <c r="G440" t="s">
        <v>5</v>
      </c>
      <c r="H440" t="s">
        <v>43</v>
      </c>
    </row>
    <row r="441" spans="1:8" x14ac:dyDescent="0.2">
      <c r="A441" t="s">
        <v>64</v>
      </c>
      <c r="B441" t="s">
        <v>40</v>
      </c>
      <c r="C441">
        <v>6.6</v>
      </c>
      <c r="D441" t="s">
        <v>4</v>
      </c>
      <c r="F441" s="2" t="str">
        <f t="shared" si="213"/>
        <v>Yes</v>
      </c>
      <c r="G441" t="s">
        <v>5</v>
      </c>
      <c r="H441" t="s">
        <v>43</v>
      </c>
    </row>
    <row r="442" spans="1:8" x14ac:dyDescent="0.2">
      <c r="A442" t="s">
        <v>113</v>
      </c>
      <c r="B442" t="s">
        <v>32</v>
      </c>
      <c r="C442">
        <v>15.5</v>
      </c>
      <c r="D442" t="s">
        <v>33</v>
      </c>
      <c r="F442" s="2" t="str">
        <f t="shared" ref="F442:F443" si="214">IF(C442&gt;$W$6,"Yes","No")</f>
        <v>Yes</v>
      </c>
      <c r="G442" t="s">
        <v>5</v>
      </c>
    </row>
    <row r="443" spans="1:8" x14ac:dyDescent="0.2">
      <c r="A443" t="s">
        <v>109</v>
      </c>
      <c r="B443" t="s">
        <v>32</v>
      </c>
      <c r="C443">
        <v>4.8</v>
      </c>
      <c r="D443" t="s">
        <v>33</v>
      </c>
      <c r="F443" s="2" t="str">
        <f t="shared" si="214"/>
        <v>No</v>
      </c>
      <c r="G443" t="s">
        <v>9</v>
      </c>
    </row>
    <row r="444" spans="1:8" x14ac:dyDescent="0.2">
      <c r="A444" t="s">
        <v>109</v>
      </c>
      <c r="B444" t="s">
        <v>54</v>
      </c>
      <c r="C444">
        <v>119.4</v>
      </c>
      <c r="D444" t="s">
        <v>33</v>
      </c>
      <c r="F444" s="2" t="str">
        <f>IF(C444&gt;$W$5,"Yes","No")</f>
        <v>Yes</v>
      </c>
      <c r="G444" t="s">
        <v>5</v>
      </c>
    </row>
    <row r="445" spans="1:8" x14ac:dyDescent="0.2">
      <c r="A445" t="s">
        <v>293</v>
      </c>
      <c r="B445" t="s">
        <v>32</v>
      </c>
      <c r="C445">
        <v>29.3</v>
      </c>
      <c r="D445" t="s">
        <v>33</v>
      </c>
      <c r="F445" s="2" t="str">
        <f t="shared" ref="F445:F448" si="215">IF(C445&gt;$W$6,"Yes","No")</f>
        <v>Yes</v>
      </c>
      <c r="G445" t="s">
        <v>5</v>
      </c>
    </row>
    <row r="446" spans="1:8" x14ac:dyDescent="0.2">
      <c r="A446" t="s">
        <v>71</v>
      </c>
      <c r="B446" t="s">
        <v>32</v>
      </c>
      <c r="C446">
        <v>1240</v>
      </c>
      <c r="D446" t="s">
        <v>33</v>
      </c>
      <c r="F446" s="2" t="str">
        <f t="shared" si="215"/>
        <v>Yes</v>
      </c>
      <c r="G446" t="s">
        <v>5</v>
      </c>
    </row>
    <row r="447" spans="1:8" x14ac:dyDescent="0.2">
      <c r="A447" t="s">
        <v>71</v>
      </c>
      <c r="B447" t="s">
        <v>32</v>
      </c>
      <c r="C447">
        <v>33.9</v>
      </c>
      <c r="D447" t="s">
        <v>33</v>
      </c>
      <c r="F447" s="2" t="str">
        <f t="shared" si="215"/>
        <v>Yes</v>
      </c>
      <c r="G447" t="s">
        <v>5</v>
      </c>
    </row>
    <row r="448" spans="1:8" x14ac:dyDescent="0.2">
      <c r="A448" t="s">
        <v>70</v>
      </c>
      <c r="B448" t="s">
        <v>32</v>
      </c>
      <c r="C448">
        <v>69.3</v>
      </c>
      <c r="D448" t="s">
        <v>33</v>
      </c>
      <c r="F448" s="2" t="str">
        <f t="shared" si="215"/>
        <v>Yes</v>
      </c>
      <c r="G448" t="s">
        <v>5</v>
      </c>
    </row>
    <row r="449" spans="1:32" x14ac:dyDescent="0.2">
      <c r="A449" t="s">
        <v>158</v>
      </c>
      <c r="B449" t="s">
        <v>54</v>
      </c>
      <c r="C449">
        <v>268.8</v>
      </c>
      <c r="D449" t="s">
        <v>33</v>
      </c>
      <c r="F449" s="2" t="str">
        <f>IF(C449&gt;$W$5,"Yes","No")</f>
        <v>Yes</v>
      </c>
      <c r="G449" t="s">
        <v>5</v>
      </c>
    </row>
    <row r="451" spans="1:32" x14ac:dyDescent="0.2">
      <c r="A451" s="10"/>
    </row>
    <row r="452" spans="1:32" x14ac:dyDescent="0.2">
      <c r="A452" s="1">
        <f>VLOOKUP(C452,'Grid - LRA Samples'!$A$2:$B$108, 2,FALSE)</f>
        <v>1210</v>
      </c>
      <c r="B452" t="s">
        <v>111</v>
      </c>
      <c r="C452">
        <v>45</v>
      </c>
    </row>
    <row r="453" spans="1:32" x14ac:dyDescent="0.2">
      <c r="A453" s="5" t="s">
        <v>0</v>
      </c>
      <c r="E453" s="2" t="s">
        <v>274</v>
      </c>
      <c r="F453" s="2" t="s">
        <v>275</v>
      </c>
      <c r="G453" t="s">
        <v>119</v>
      </c>
      <c r="J453" s="5" t="s">
        <v>1</v>
      </c>
      <c r="N453" s="2" t="s">
        <v>277</v>
      </c>
      <c r="O453" t="s">
        <v>278</v>
      </c>
      <c r="Q453" s="5" t="s">
        <v>115</v>
      </c>
      <c r="R453" s="5" t="s">
        <v>0</v>
      </c>
      <c r="S453" s="5" t="s">
        <v>1</v>
      </c>
      <c r="U453" s="5" t="s">
        <v>115</v>
      </c>
      <c r="V453" s="5" t="s">
        <v>0</v>
      </c>
      <c r="W453" s="5" t="s">
        <v>1</v>
      </c>
      <c r="X453" s="5" t="s">
        <v>122</v>
      </c>
      <c r="AA453" t="str">
        <f>IF(R454="Yes","LRA-Soil","")</f>
        <v/>
      </c>
      <c r="AB453" t="str">
        <f>IF(R455="Yes","LRA-Paint","")</f>
        <v/>
      </c>
      <c r="AC453" t="str">
        <f>IF(R456="Yes","LRA-Dust","")</f>
        <v>LRA-Dust</v>
      </c>
      <c r="AD453" t="str">
        <f>IF(S454="Yes","LSK-Soil","")</f>
        <v/>
      </c>
      <c r="AE453" t="str">
        <f>IF(S455="Yes","LSK-Paint","")</f>
        <v/>
      </c>
      <c r="AF453" t="str">
        <f>IF(S456="Yes","LSK-Dust","")</f>
        <v/>
      </c>
    </row>
    <row r="454" spans="1:32" x14ac:dyDescent="0.2">
      <c r="A454" t="s">
        <v>185</v>
      </c>
      <c r="B454" t="s">
        <v>217</v>
      </c>
      <c r="C454">
        <v>0</v>
      </c>
      <c r="D454" t="s">
        <v>4</v>
      </c>
      <c r="E454" t="s">
        <v>9</v>
      </c>
      <c r="F454" s="2" t="str">
        <f t="shared" ref="F454" si="216">IF(C454&gt;=$W$2,"Yes","No")</f>
        <v>No</v>
      </c>
      <c r="G454" t="s">
        <v>9</v>
      </c>
      <c r="H454" t="s">
        <v>46</v>
      </c>
      <c r="J454" s="2" t="s">
        <v>6</v>
      </c>
      <c r="K454">
        <v>80</v>
      </c>
      <c r="L454" t="s">
        <v>12</v>
      </c>
      <c r="M454" t="s">
        <v>114</v>
      </c>
      <c r="N454" t="str">
        <f>IF(K454="N/A","No", IF(K454&gt;1200,"Yes","No"))</f>
        <v>No</v>
      </c>
      <c r="O454" t="str">
        <f>IF(K454="Not","No",IF(K454="n/a","N/A",IF(K454&gt;=$Y$3,"Yes","No")))</f>
        <v>No</v>
      </c>
      <c r="Q454" s="2" t="s">
        <v>116</v>
      </c>
      <c r="R454" t="str">
        <f>_xlfn.XLOOKUP("ppm",D454:D457,F454:F457,"N/A")</f>
        <v>No</v>
      </c>
      <c r="S454" t="str">
        <f>IF(COUNTIF(O454:O456,"Yes"),"Yes","No")</f>
        <v>No</v>
      </c>
      <c r="U454" t="s">
        <v>92</v>
      </c>
      <c r="V454" t="s">
        <v>120</v>
      </c>
      <c r="W454" t="s">
        <v>120</v>
      </c>
      <c r="X454" t="str">
        <f>IF(V454="N/A","N/A",IF(W454="N/A", "N/A", IF(V454=W454, "Yes","No")))</f>
        <v>N/A</v>
      </c>
    </row>
    <row r="455" spans="1:32" x14ac:dyDescent="0.2">
      <c r="A455" t="s">
        <v>243</v>
      </c>
      <c r="B455" t="s">
        <v>294</v>
      </c>
      <c r="C455">
        <v>20.2</v>
      </c>
      <c r="D455" t="s">
        <v>12</v>
      </c>
      <c r="E455" t="s">
        <v>9</v>
      </c>
      <c r="F455" s="2" t="str">
        <f>IF(C455&gt;$W$3,"Yes","No")</f>
        <v>No</v>
      </c>
      <c r="G455" t="s">
        <v>9</v>
      </c>
      <c r="J455" s="2" t="s">
        <v>11</v>
      </c>
      <c r="K455">
        <v>26.6</v>
      </c>
      <c r="L455" t="s">
        <v>12</v>
      </c>
      <c r="M455" t="s">
        <v>67</v>
      </c>
      <c r="N455" t="str">
        <f t="shared" ref="N455:N456" si="217">IF(K455="N/A","No", IF(K455&gt;1200,"Yes","No"))</f>
        <v>No</v>
      </c>
      <c r="O455" t="str">
        <f t="shared" ref="O455:O456" si="218">IF(K455="Not","No",IF(K455="n/a","N/A",IF(K455&gt;$Y$3,"Yes","No")))</f>
        <v>No</v>
      </c>
      <c r="Q455" s="2" t="s">
        <v>98</v>
      </c>
      <c r="R455" t="str">
        <f>_xlfn.XLOOKUP("mg/cm2",D454:D480,G454:G480,"N/A",1,-1)</f>
        <v>No</v>
      </c>
      <c r="S455" t="str">
        <f>IF(COUNTIF(O457:O458,"Yes"),"Yes","No")</f>
        <v>No</v>
      </c>
      <c r="U455" t="s">
        <v>95</v>
      </c>
      <c r="V455" t="str">
        <f>R454</f>
        <v>No</v>
      </c>
      <c r="W455" t="str">
        <f>S454</f>
        <v>No</v>
      </c>
      <c r="X455" t="str">
        <f t="shared" ref="X455:X458" si="219">IF(V455="N/A","N/A",IF(W455="N/A", "N/A", IF(V455=W455, "Yes","No")))</f>
        <v>Yes</v>
      </c>
    </row>
    <row r="456" spans="1:32" x14ac:dyDescent="0.2">
      <c r="A456" t="s">
        <v>191</v>
      </c>
      <c r="B456" t="s">
        <v>189</v>
      </c>
      <c r="C456">
        <v>0</v>
      </c>
      <c r="D456" t="s">
        <v>4</v>
      </c>
      <c r="E456" t="s">
        <v>9</v>
      </c>
      <c r="F456" s="2" t="str">
        <f t="shared" ref="F456" si="220">IF(C456&gt;=$W$2,"Yes","No")</f>
        <v>No</v>
      </c>
      <c r="G456" t="s">
        <v>9</v>
      </c>
      <c r="H456" t="s">
        <v>43</v>
      </c>
      <c r="J456" s="2" t="s">
        <v>15</v>
      </c>
      <c r="K456">
        <v>24.7</v>
      </c>
      <c r="L456" t="s">
        <v>12</v>
      </c>
      <c r="M456" t="s">
        <v>112</v>
      </c>
      <c r="N456" t="str">
        <f t="shared" si="217"/>
        <v>No</v>
      </c>
      <c r="O456" t="str">
        <f t="shared" si="218"/>
        <v>No</v>
      </c>
      <c r="Q456" s="2" t="s">
        <v>117</v>
      </c>
      <c r="R456" t="str">
        <f>_xlfn.XLOOKUP("ug/ft2",D454:D457,F454:F457,"N/A")</f>
        <v>Yes</v>
      </c>
      <c r="S456" t="str">
        <f>IF(COUNTIF(O459:O462,"Yes"),"Yes","No")</f>
        <v>No</v>
      </c>
      <c r="U456" t="s">
        <v>163</v>
      </c>
      <c r="V456" t="s">
        <v>9</v>
      </c>
      <c r="W456" t="str">
        <f>O458</f>
        <v>No</v>
      </c>
      <c r="X456" t="str">
        <f t="shared" si="219"/>
        <v>Yes</v>
      </c>
    </row>
    <row r="457" spans="1:32" x14ac:dyDescent="0.2">
      <c r="A457" t="s">
        <v>201</v>
      </c>
      <c r="B457" t="s">
        <v>214</v>
      </c>
      <c r="C457">
        <v>28.1</v>
      </c>
      <c r="D457" t="s">
        <v>33</v>
      </c>
      <c r="E457" t="s">
        <v>5</v>
      </c>
      <c r="F457" s="2" t="str">
        <f t="shared" ref="F457" si="221">IF(C457&gt;$W$6,"Yes","No")</f>
        <v>Yes</v>
      </c>
      <c r="G457" t="s">
        <v>5</v>
      </c>
      <c r="J457" s="2" t="s">
        <v>19</v>
      </c>
      <c r="K457" t="s">
        <v>120</v>
      </c>
      <c r="L457" t="s">
        <v>12</v>
      </c>
      <c r="M457" t="s">
        <v>46</v>
      </c>
      <c r="N457" t="str">
        <f>IF(K457="N/A","No", IF(K457&gt;5000,"Yes","No"))</f>
        <v>No</v>
      </c>
      <c r="O457" t="str">
        <f>IF(K457="Not","No",IF(K457="n/a","N/A",IF(K457&gt;$Y$2,"Yes","No")))</f>
        <v>N/A</v>
      </c>
      <c r="Q457" s="2" t="s">
        <v>118</v>
      </c>
      <c r="R457" t="str">
        <f>IF(COUNTIF(R454:R456,"Yes"),"Yes","No")</f>
        <v>Yes</v>
      </c>
      <c r="S457" t="str">
        <f>IF(COUNTIF(S454:S456,"Yes"),"Yes","No")</f>
        <v>No</v>
      </c>
      <c r="U457" t="s">
        <v>164</v>
      </c>
      <c r="V457" t="s">
        <v>9</v>
      </c>
      <c r="W457" t="str">
        <f>O457</f>
        <v>N/A</v>
      </c>
      <c r="X457" t="str">
        <f t="shared" si="219"/>
        <v>N/A</v>
      </c>
    </row>
    <row r="458" spans="1:32" x14ac:dyDescent="0.2">
      <c r="F458" s="2"/>
      <c r="J458" s="2" t="s">
        <v>22</v>
      </c>
      <c r="K458">
        <v>2.5</v>
      </c>
      <c r="L458" t="s">
        <v>12</v>
      </c>
      <c r="M458" t="s">
        <v>43</v>
      </c>
      <c r="N458" t="str">
        <f>IF(K458="N/A","No", IF(K458&gt;5000,"Yes","No"))</f>
        <v>No</v>
      </c>
      <c r="O458" t="str">
        <f>IF(K458="Not","No",IF(K458="n/a","N/A",IF(K458&gt;$Y$2,"Yes","No")))</f>
        <v>No</v>
      </c>
      <c r="U458" t="s">
        <v>162</v>
      </c>
      <c r="V458" t="str">
        <f>R455</f>
        <v>No</v>
      </c>
      <c r="W458" t="str">
        <f>S455</f>
        <v>No</v>
      </c>
      <c r="X458" t="str">
        <f t="shared" si="219"/>
        <v>Yes</v>
      </c>
    </row>
    <row r="459" spans="1:32" x14ac:dyDescent="0.2">
      <c r="F459" s="2"/>
      <c r="J459" s="2" t="s">
        <v>25</v>
      </c>
      <c r="K459">
        <v>2.5</v>
      </c>
      <c r="L459" t="s">
        <v>12</v>
      </c>
      <c r="M459" t="s">
        <v>126</v>
      </c>
      <c r="N459" t="str">
        <f>IF(K459="N/A","No", IF(K459&gt;20,"Yes","No"))</f>
        <v>No</v>
      </c>
      <c r="O459" t="str">
        <f t="shared" ref="O459:O460" si="222">IF(K459="Not","No",IF(K459="n/a","N/A",IF(K459&gt;$Y$6,"Yes","No")))</f>
        <v>No</v>
      </c>
      <c r="U459" t="s">
        <v>101</v>
      </c>
      <c r="V459" t="s">
        <v>5</v>
      </c>
      <c r="W459" t="s">
        <v>9</v>
      </c>
      <c r="X459" t="str">
        <f>IF(V459="N/A","N/A",IF(W459="N/A", "N/A", IF(V459=W459, "Yes","No")))</f>
        <v>No</v>
      </c>
    </row>
    <row r="460" spans="1:32" x14ac:dyDescent="0.2">
      <c r="F460" s="2"/>
      <c r="J460" s="2" t="s">
        <v>29</v>
      </c>
      <c r="K460">
        <v>2.5</v>
      </c>
      <c r="L460" t="s">
        <v>12</v>
      </c>
      <c r="M460" t="s">
        <v>222</v>
      </c>
      <c r="N460" t="str">
        <f>IF(K460="N/A","No", IF(K460&gt;20,"Yes","No"))</f>
        <v>No</v>
      </c>
      <c r="O460" t="str">
        <f t="shared" si="222"/>
        <v>No</v>
      </c>
      <c r="U460" t="s">
        <v>104</v>
      </c>
      <c r="V460" t="s">
        <v>120</v>
      </c>
      <c r="W460" t="str">
        <f>O461</f>
        <v>No</v>
      </c>
      <c r="X460" t="str">
        <f>IF(V460="N/A","N/A",IF(W460="N/A", "N/A", IF(V460=W460, "Yes","No")))</f>
        <v>N/A</v>
      </c>
    </row>
    <row r="461" spans="1:32" x14ac:dyDescent="0.2">
      <c r="F461" s="2"/>
      <c r="J461" s="2" t="s">
        <v>34</v>
      </c>
      <c r="K461">
        <v>2.5</v>
      </c>
      <c r="L461" t="s">
        <v>12</v>
      </c>
      <c r="M461" t="s">
        <v>210</v>
      </c>
      <c r="N461" t="str">
        <f>IF(K461="N/A","No", IF(K461&gt;230,"Yes","No"))</f>
        <v>No</v>
      </c>
      <c r="O461" t="str">
        <f>IF(K461="Not","No",IF(K461="n/a","N/A",IF(K461&gt;$Y$5,"Yes","No")))</f>
        <v>No</v>
      </c>
      <c r="U461" t="s">
        <v>106</v>
      </c>
      <c r="V461" t="str">
        <f>R456</f>
        <v>Yes</v>
      </c>
      <c r="W461" t="str">
        <f>S456</f>
        <v>No</v>
      </c>
      <c r="X461" t="str">
        <f>IF(V461="N/A","N/A",IF(W461="N/A", "N/A", IF(V461=W461, "Yes","No")))</f>
        <v>No</v>
      </c>
    </row>
    <row r="462" spans="1:32" x14ac:dyDescent="0.2">
      <c r="F462" s="2"/>
      <c r="J462" s="2" t="s">
        <v>208</v>
      </c>
      <c r="K462">
        <v>12.9</v>
      </c>
      <c r="L462" t="s">
        <v>12</v>
      </c>
      <c r="M462" t="s">
        <v>223</v>
      </c>
      <c r="N462" t="str">
        <f>IF(K462="N/A","No", IF(K462&gt;20,"Yes","No"))</f>
        <v>No</v>
      </c>
      <c r="O462" t="str">
        <f>IF(K462="Not","No",IF(K462="n/a","N/A",IF(K462&gt;$Y$7,"Yes","No")))</f>
        <v>No</v>
      </c>
      <c r="U462" t="s">
        <v>121</v>
      </c>
      <c r="V462" t="str">
        <f>R457</f>
        <v>Yes</v>
      </c>
      <c r="W462" t="str">
        <f>S457</f>
        <v>No</v>
      </c>
      <c r="X462" t="str">
        <f>IF(V462="N/A","N/A",IF(W462="N/A", "N/A", IF(V462=W462, "Yes","No")))</f>
        <v>No</v>
      </c>
    </row>
    <row r="463" spans="1:32" x14ac:dyDescent="0.2">
      <c r="F463" s="2"/>
    </row>
    <row r="464" spans="1:32" x14ac:dyDescent="0.2">
      <c r="A464" s="1">
        <f>VLOOKUP(C464,'Grid - LRA Samples'!$A$2:$B$108, 2,FALSE)</f>
        <v>1223</v>
      </c>
      <c r="B464" t="s">
        <v>111</v>
      </c>
      <c r="C464">
        <v>46</v>
      </c>
    </row>
    <row r="465" spans="1:32" x14ac:dyDescent="0.2">
      <c r="A465" s="5" t="s">
        <v>0</v>
      </c>
      <c r="E465" s="2" t="s">
        <v>274</v>
      </c>
      <c r="F465" s="2" t="s">
        <v>275</v>
      </c>
      <c r="G465" t="s">
        <v>119</v>
      </c>
      <c r="J465" s="5" t="s">
        <v>1</v>
      </c>
      <c r="N465" s="2" t="s">
        <v>277</v>
      </c>
      <c r="O465" t="s">
        <v>278</v>
      </c>
      <c r="Q465" s="5" t="s">
        <v>115</v>
      </c>
      <c r="R465" s="5" t="s">
        <v>0</v>
      </c>
      <c r="S465" s="5" t="s">
        <v>1</v>
      </c>
      <c r="U465" s="5" t="s">
        <v>115</v>
      </c>
      <c r="V465" s="5" t="s">
        <v>0</v>
      </c>
      <c r="W465" s="5" t="s">
        <v>1</v>
      </c>
      <c r="X465" s="5" t="s">
        <v>122</v>
      </c>
      <c r="AA465" t="str">
        <f>IF(R466="Yes","LRA-Soil","")</f>
        <v/>
      </c>
      <c r="AB465" t="str">
        <f>IF(R467="Yes","LRA-Paint","")</f>
        <v/>
      </c>
      <c r="AC465" t="str">
        <f>IF(R468="Yes","LRA-Dust","")</f>
        <v>LRA-Dust</v>
      </c>
      <c r="AD465" t="str">
        <f>IF(S466="Yes","LSK-Soil","")</f>
        <v>LSK-Soil</v>
      </c>
      <c r="AE465" t="str">
        <f>IF(S467="Yes","LSK-Paint","")</f>
        <v>LSK-Paint</v>
      </c>
      <c r="AF465" t="str">
        <f>IF(S468="Yes","LSK-Dust","")</f>
        <v/>
      </c>
    </row>
    <row r="466" spans="1:32" x14ac:dyDescent="0.2">
      <c r="A466" t="s">
        <v>63</v>
      </c>
      <c r="B466" t="s">
        <v>18</v>
      </c>
      <c r="C466">
        <v>0</v>
      </c>
      <c r="D466" t="s">
        <v>4</v>
      </c>
      <c r="F466" s="2" t="str">
        <f t="shared" ref="F466:F467" si="223">IF(C466&gt;=$W$2,"Yes","No")</f>
        <v>No</v>
      </c>
      <c r="G466" t="s">
        <v>9</v>
      </c>
      <c r="H466" t="s">
        <v>46</v>
      </c>
      <c r="J466" s="2" t="s">
        <v>6</v>
      </c>
      <c r="K466">
        <v>30</v>
      </c>
      <c r="L466" t="s">
        <v>12</v>
      </c>
      <c r="M466" t="s">
        <v>114</v>
      </c>
      <c r="N466" t="str">
        <f>IF(K466="N/A","No", IF(K466&gt;1200,"Yes","No"))</f>
        <v>No</v>
      </c>
      <c r="O466" t="str">
        <f>IF(K466="Not","No",IF(K466="n/a","N/A",IF(K466&gt;=$Y$3,"Yes","No")))</f>
        <v>No</v>
      </c>
      <c r="Q466" s="2" t="s">
        <v>116</v>
      </c>
      <c r="R466" t="str">
        <f>_xlfn.XLOOKUP("ppm",D466:D476,F466:F476,"N/A")</f>
        <v>No</v>
      </c>
      <c r="S466" t="str">
        <f>IF(COUNTIF(O466:O468,"Yes"),"Yes","No")</f>
        <v>Yes</v>
      </c>
      <c r="U466" t="s">
        <v>92</v>
      </c>
      <c r="V466" t="s">
        <v>9</v>
      </c>
      <c r="W466" t="s">
        <v>120</v>
      </c>
      <c r="X466" t="str">
        <f>IF(V466="N/A","N/A",IF(W466="N/A", "N/A", IF(V466=W466, "Yes","No")))</f>
        <v>N/A</v>
      </c>
    </row>
    <row r="467" spans="1:32" x14ac:dyDescent="0.2">
      <c r="A467" t="s">
        <v>63</v>
      </c>
      <c r="B467" t="s">
        <v>24</v>
      </c>
      <c r="C467">
        <v>0.02</v>
      </c>
      <c r="D467" t="s">
        <v>4</v>
      </c>
      <c r="F467" s="2" t="str">
        <f t="shared" si="223"/>
        <v>No</v>
      </c>
      <c r="G467" t="s">
        <v>9</v>
      </c>
      <c r="H467" t="s">
        <v>46</v>
      </c>
      <c r="J467" s="2" t="s">
        <v>11</v>
      </c>
      <c r="K467">
        <v>334</v>
      </c>
      <c r="L467" t="s">
        <v>12</v>
      </c>
      <c r="M467" t="s">
        <v>67</v>
      </c>
      <c r="N467" t="str">
        <f t="shared" ref="N467:N468" si="224">IF(K467="N/A","No", IF(K467&gt;1200,"Yes","No"))</f>
        <v>No</v>
      </c>
      <c r="O467" t="str">
        <f t="shared" ref="O467:O468" si="225">IF(K467="Not","No",IF(K467="n/a","N/A",IF(K467&gt;$Y$3,"Yes","No")))</f>
        <v>No</v>
      </c>
      <c r="Q467" s="2" t="s">
        <v>98</v>
      </c>
      <c r="R467" t="str">
        <f>_xlfn.XLOOKUP("mg/cm2",D466:D476,G466:G476,"N/A",1,-1)</f>
        <v>No</v>
      </c>
      <c r="S467" t="str">
        <f>IF(COUNTIF(O469:O470,"Yes"),"Yes","No")</f>
        <v>Yes</v>
      </c>
      <c r="U467" t="s">
        <v>95</v>
      </c>
      <c r="V467" t="str">
        <f>R466</f>
        <v>No</v>
      </c>
      <c r="W467" t="str">
        <f>S466</f>
        <v>Yes</v>
      </c>
      <c r="X467" t="str">
        <f t="shared" ref="X467:X470" si="226">IF(V467="N/A","N/A",IF(W467="N/A", "N/A", IF(V467=W467, "Yes","No")))</f>
        <v>No</v>
      </c>
    </row>
    <row r="468" spans="1:32" x14ac:dyDescent="0.2">
      <c r="A468" t="s">
        <v>161</v>
      </c>
      <c r="B468" t="s">
        <v>28</v>
      </c>
      <c r="C468">
        <v>266</v>
      </c>
      <c r="D468" t="s">
        <v>12</v>
      </c>
      <c r="F468" s="2" t="str">
        <f>IF(C468&gt;$W$3,"Yes","No")</f>
        <v>No</v>
      </c>
      <c r="G468" t="s">
        <v>9</v>
      </c>
      <c r="J468" s="2" t="s">
        <v>15</v>
      </c>
      <c r="K468">
        <v>494</v>
      </c>
      <c r="L468" t="s">
        <v>12</v>
      </c>
      <c r="M468" t="s">
        <v>112</v>
      </c>
      <c r="N468" t="str">
        <f t="shared" si="224"/>
        <v>No</v>
      </c>
      <c r="O468" t="str">
        <f t="shared" si="225"/>
        <v>Yes</v>
      </c>
      <c r="Q468" s="2" t="s">
        <v>117</v>
      </c>
      <c r="R468" s="30" t="s">
        <v>5</v>
      </c>
      <c r="S468" t="str">
        <f>IF(COUNTIF(O471:O474,"Yes"),"Yes","No")</f>
        <v>No</v>
      </c>
      <c r="U468" t="s">
        <v>163</v>
      </c>
      <c r="V468" t="s">
        <v>9</v>
      </c>
      <c r="W468" t="str">
        <f>O470</f>
        <v>No</v>
      </c>
      <c r="X468" t="str">
        <f t="shared" si="226"/>
        <v>Yes</v>
      </c>
    </row>
    <row r="469" spans="1:32" x14ac:dyDescent="0.2">
      <c r="A469" t="s">
        <v>307</v>
      </c>
      <c r="B469" t="s">
        <v>40</v>
      </c>
      <c r="C469">
        <v>0.2</v>
      </c>
      <c r="D469" t="s">
        <v>4</v>
      </c>
      <c r="F469" s="2" t="str">
        <f t="shared" ref="F469:F470" si="227">IF(C469&gt;=$W$2,"Yes","No")</f>
        <v>No</v>
      </c>
      <c r="G469" t="s">
        <v>9</v>
      </c>
      <c r="H469" t="s">
        <v>43</v>
      </c>
      <c r="J469" s="2" t="s">
        <v>19</v>
      </c>
      <c r="K469">
        <v>23593</v>
      </c>
      <c r="L469" t="s">
        <v>12</v>
      </c>
      <c r="M469" t="s">
        <v>46</v>
      </c>
      <c r="N469" t="str">
        <f>IF(K469="N/A","No", IF(K469&gt;5000,"Yes","No"))</f>
        <v>Yes</v>
      </c>
      <c r="O469" t="str">
        <f>IF(K469="Not","No",IF(K469="n/a","N/A",IF(K469&gt;$Y$2,"Yes","No")))</f>
        <v>Yes</v>
      </c>
      <c r="Q469" s="2" t="s">
        <v>118</v>
      </c>
      <c r="R469" t="str">
        <f>IF(COUNTIF(R466:R468,"Yes"),"Yes","No")</f>
        <v>Yes</v>
      </c>
      <c r="S469" t="str">
        <f>IF(COUNTIF(S466:S468,"Yes"),"Yes","No")</f>
        <v>Yes</v>
      </c>
      <c r="U469" t="s">
        <v>164</v>
      </c>
      <c r="V469" t="s">
        <v>9</v>
      </c>
      <c r="W469" t="str">
        <f>O469</f>
        <v>Yes</v>
      </c>
      <c r="X469" t="str">
        <f t="shared" si="226"/>
        <v>No</v>
      </c>
    </row>
    <row r="470" spans="1:32" x14ac:dyDescent="0.2">
      <c r="A470" t="s">
        <v>70</v>
      </c>
      <c r="B470" t="s">
        <v>40</v>
      </c>
      <c r="C470">
        <v>0.23</v>
      </c>
      <c r="D470" t="s">
        <v>4</v>
      </c>
      <c r="F470" s="2" t="str">
        <f t="shared" si="227"/>
        <v>No</v>
      </c>
      <c r="G470" t="s">
        <v>9</v>
      </c>
      <c r="H470" t="s">
        <v>43</v>
      </c>
      <c r="J470" s="2" t="s">
        <v>22</v>
      </c>
      <c r="K470">
        <v>180</v>
      </c>
      <c r="L470" t="s">
        <v>12</v>
      </c>
      <c r="M470" t="s">
        <v>43</v>
      </c>
      <c r="N470" t="str">
        <f>IF(K470="N/A","No", IF(K470&gt;5000,"Yes","No"))</f>
        <v>No</v>
      </c>
      <c r="O470" t="str">
        <f>IF(K470="Not","No",IF(K470="n/a","N/A",IF(K470&gt;$Y$2,"Yes","No")))</f>
        <v>No</v>
      </c>
      <c r="U470" t="s">
        <v>162</v>
      </c>
      <c r="V470" t="str">
        <f>R467</f>
        <v>No</v>
      </c>
      <c r="W470" t="str">
        <f>S467</f>
        <v>Yes</v>
      </c>
      <c r="X470" t="str">
        <f t="shared" si="226"/>
        <v>No</v>
      </c>
    </row>
    <row r="471" spans="1:32" x14ac:dyDescent="0.2">
      <c r="A471" t="s">
        <v>113</v>
      </c>
      <c r="B471" t="s">
        <v>32</v>
      </c>
      <c r="C471">
        <v>8.1999999999999993</v>
      </c>
      <c r="D471" t="s">
        <v>33</v>
      </c>
      <c r="F471" s="2" t="str">
        <f t="shared" ref="F471:F472" si="228">IF(C471&gt;$W$6,"Yes","No")</f>
        <v>No</v>
      </c>
      <c r="G471" t="s">
        <v>9</v>
      </c>
      <c r="J471" s="2" t="s">
        <v>25</v>
      </c>
      <c r="K471">
        <v>2.5</v>
      </c>
      <c r="L471" t="s">
        <v>12</v>
      </c>
      <c r="M471" t="s">
        <v>126</v>
      </c>
      <c r="N471" t="str">
        <f>IF(K471="N/A","No", IF(K471&gt;20,"Yes","No"))</f>
        <v>No</v>
      </c>
      <c r="O471" t="str">
        <f t="shared" ref="O471:O472" si="229">IF(K471="Not","No",IF(K471="n/a","N/A",IF(K471&gt;$Y$6,"Yes","No")))</f>
        <v>No</v>
      </c>
      <c r="U471" t="s">
        <v>101</v>
      </c>
      <c r="V471" t="s">
        <v>5</v>
      </c>
      <c r="W471" t="s">
        <v>9</v>
      </c>
      <c r="X471" t="str">
        <f>IF(V471="N/A","N/A",IF(W471="N/A", "N/A", IF(V471=W471, "Yes","No")))</f>
        <v>No</v>
      </c>
    </row>
    <row r="472" spans="1:32" x14ac:dyDescent="0.2">
      <c r="A472" t="s">
        <v>109</v>
      </c>
      <c r="B472" t="s">
        <v>32</v>
      </c>
      <c r="C472">
        <v>10.7</v>
      </c>
      <c r="D472" t="s">
        <v>33</v>
      </c>
      <c r="F472" s="2" t="str">
        <f t="shared" si="228"/>
        <v>Yes</v>
      </c>
      <c r="G472" t="s">
        <v>5</v>
      </c>
      <c r="J472" s="2" t="s">
        <v>29</v>
      </c>
      <c r="K472">
        <v>2.5</v>
      </c>
      <c r="L472" t="s">
        <v>12</v>
      </c>
      <c r="M472" t="s">
        <v>222</v>
      </c>
      <c r="N472" t="str">
        <f>IF(K472="N/A","No", IF(K472&gt;20,"Yes","No"))</f>
        <v>No</v>
      </c>
      <c r="O472" t="str">
        <f t="shared" si="229"/>
        <v>No</v>
      </c>
      <c r="U472" t="s">
        <v>104</v>
      </c>
      <c r="V472" t="s">
        <v>5</v>
      </c>
      <c r="W472" t="str">
        <f>O473</f>
        <v>No</v>
      </c>
      <c r="X472" t="str">
        <f>IF(V472="N/A","N/A",IF(W472="N/A", "N/A", IF(V472=W472, "Yes","No")))</f>
        <v>No</v>
      </c>
    </row>
    <row r="473" spans="1:32" x14ac:dyDescent="0.2">
      <c r="A473" t="s">
        <v>109</v>
      </c>
      <c r="B473" t="s">
        <v>54</v>
      </c>
      <c r="C473">
        <v>168</v>
      </c>
      <c r="D473" t="s">
        <v>33</v>
      </c>
      <c r="F473" s="2" t="str">
        <f>IF(C473&gt;$W$5,"Yes","No")</f>
        <v>Yes</v>
      </c>
      <c r="G473" t="s">
        <v>5</v>
      </c>
      <c r="J473" s="2" t="s">
        <v>34</v>
      </c>
      <c r="K473">
        <v>5</v>
      </c>
      <c r="L473" t="s">
        <v>12</v>
      </c>
      <c r="M473" t="s">
        <v>210</v>
      </c>
      <c r="N473" t="str">
        <f>IF(K473="N/A","No", IF(K473&gt;230,"Yes","No"))</f>
        <v>No</v>
      </c>
      <c r="O473" t="str">
        <f>IF(K473="Not","No",IF(K473="n/a","N/A",IF(K473&gt;$Y$5,"Yes","No")))</f>
        <v>No</v>
      </c>
      <c r="U473" t="s">
        <v>106</v>
      </c>
      <c r="V473" t="str">
        <f>R468</f>
        <v>Yes</v>
      </c>
      <c r="W473" t="str">
        <f>S468</f>
        <v>No</v>
      </c>
      <c r="X473" t="str">
        <f>IF(V473="N/A","N/A",IF(W473="N/A", "N/A", IF(V473=W473, "Yes","No")))</f>
        <v>No</v>
      </c>
    </row>
    <row r="474" spans="1:32" x14ac:dyDescent="0.2">
      <c r="A474" t="s">
        <v>71</v>
      </c>
      <c r="B474" t="s">
        <v>32</v>
      </c>
      <c r="C474">
        <v>51.1</v>
      </c>
      <c r="D474" t="s">
        <v>33</v>
      </c>
      <c r="F474" s="2" t="str">
        <f t="shared" ref="F474:F476" si="230">IF(C474&gt;$W$6,"Yes","No")</f>
        <v>Yes</v>
      </c>
      <c r="G474" t="s">
        <v>5</v>
      </c>
      <c r="J474" s="2" t="s">
        <v>208</v>
      </c>
      <c r="K474">
        <v>2.5</v>
      </c>
      <c r="L474" t="s">
        <v>12</v>
      </c>
      <c r="M474" t="s">
        <v>223</v>
      </c>
      <c r="N474" t="str">
        <f>IF(K474="N/A","No", IF(K474&gt;20,"Yes","No"))</f>
        <v>No</v>
      </c>
      <c r="O474" t="str">
        <f>IF(K474="Not","No",IF(K474="n/a","N/A",IF(K474&gt;$Y$7,"Yes","No")))</f>
        <v>No</v>
      </c>
      <c r="U474" t="s">
        <v>121</v>
      </c>
      <c r="V474" t="str">
        <f>R469</f>
        <v>Yes</v>
      </c>
      <c r="W474" t="str">
        <f>S469</f>
        <v>Yes</v>
      </c>
      <c r="X474" t="str">
        <f>IF(V474="N/A","N/A",IF(W474="N/A", "N/A", IF(V474=W474, "Yes","No")))</f>
        <v>Yes</v>
      </c>
    </row>
    <row r="475" spans="1:32" x14ac:dyDescent="0.2">
      <c r="A475" t="s">
        <v>71</v>
      </c>
      <c r="B475" t="s">
        <v>32</v>
      </c>
      <c r="C475">
        <v>24.7</v>
      </c>
      <c r="D475" t="s">
        <v>33</v>
      </c>
      <c r="F475" s="2" t="str">
        <f t="shared" si="230"/>
        <v>Yes</v>
      </c>
      <c r="G475" t="s">
        <v>5</v>
      </c>
    </row>
    <row r="476" spans="1:32" x14ac:dyDescent="0.2">
      <c r="A476" t="s">
        <v>70</v>
      </c>
      <c r="B476" t="s">
        <v>32</v>
      </c>
      <c r="C476">
        <v>6.8</v>
      </c>
      <c r="D476" t="s">
        <v>33</v>
      </c>
      <c r="F476" s="2" t="str">
        <f t="shared" si="230"/>
        <v>No</v>
      </c>
      <c r="G476" t="s">
        <v>9</v>
      </c>
    </row>
    <row r="479" spans="1:32" x14ac:dyDescent="0.2">
      <c r="A479" s="1">
        <f>VLOOKUP(C479,'Grid - LRA Samples'!$A$2:$B$108, 2,FALSE)</f>
        <v>1241</v>
      </c>
      <c r="B479" t="s">
        <v>111</v>
      </c>
      <c r="C479">
        <v>47</v>
      </c>
    </row>
    <row r="480" spans="1:32" x14ac:dyDescent="0.2">
      <c r="A480" s="5" t="s">
        <v>0</v>
      </c>
      <c r="E480" s="2" t="s">
        <v>274</v>
      </c>
      <c r="F480" s="2" t="s">
        <v>275</v>
      </c>
      <c r="G480" t="s">
        <v>119</v>
      </c>
      <c r="J480" s="5" t="s">
        <v>1</v>
      </c>
      <c r="N480" s="2" t="s">
        <v>277</v>
      </c>
      <c r="O480" t="s">
        <v>278</v>
      </c>
      <c r="Q480" s="5" t="s">
        <v>115</v>
      </c>
      <c r="R480" s="5" t="s">
        <v>0</v>
      </c>
      <c r="S480" s="5" t="s">
        <v>1</v>
      </c>
      <c r="U480" s="5" t="s">
        <v>115</v>
      </c>
      <c r="V480" s="5" t="s">
        <v>0</v>
      </c>
      <c r="W480" s="5" t="s">
        <v>1</v>
      </c>
      <c r="X480" s="5" t="s">
        <v>122</v>
      </c>
      <c r="AA480" t="str">
        <f>IF(R481="Yes","LRA-Soil","")</f>
        <v>LRA-Soil</v>
      </c>
      <c r="AB480" t="str">
        <f>IF(R482="Yes","LRA-Paint","")</f>
        <v>LRA-Paint</v>
      </c>
      <c r="AC480" t="str">
        <f>IF(R483="Yes","LRA-Dust","")</f>
        <v/>
      </c>
      <c r="AD480" t="str">
        <f>IF(S481="Yes","LSK-Soil","")</f>
        <v>LSK-Soil</v>
      </c>
      <c r="AE480" t="str">
        <f>IF(S482="Yes","LSK-Paint","")</f>
        <v/>
      </c>
      <c r="AF480" t="str">
        <f>IF(S483="Yes","LSK-Dust","")</f>
        <v/>
      </c>
    </row>
    <row r="481" spans="1:24" x14ac:dyDescent="0.2">
      <c r="A481" t="s">
        <v>185</v>
      </c>
      <c r="B481" t="s">
        <v>220</v>
      </c>
      <c r="C481">
        <v>19.5</v>
      </c>
      <c r="D481" t="s">
        <v>4</v>
      </c>
      <c r="E481" t="s">
        <v>5</v>
      </c>
      <c r="F481" s="2" t="str">
        <f t="shared" ref="F481:F486" si="231">IF(C481&gt;=$W$2,"Yes","No")</f>
        <v>Yes</v>
      </c>
      <c r="G481" t="s">
        <v>5</v>
      </c>
      <c r="H481" t="s">
        <v>46</v>
      </c>
      <c r="J481" s="2" t="s">
        <v>6</v>
      </c>
      <c r="K481">
        <v>88</v>
      </c>
      <c r="L481" t="s">
        <v>12</v>
      </c>
      <c r="M481" t="s">
        <v>114</v>
      </c>
      <c r="N481" t="str">
        <f>IF(K481="N/A","No", IF(K481&gt;1200,"Yes","No"))</f>
        <v>No</v>
      </c>
      <c r="O481" t="str">
        <f>IF(K481="Not","No",IF(K481="n/a","N/A",IF(K481&gt;=$Y$3,"Yes","No")))</f>
        <v>No</v>
      </c>
      <c r="Q481" s="2" t="s">
        <v>116</v>
      </c>
      <c r="R481" t="str">
        <f>_xlfn.XLOOKUP("ppm",D481:D495,F481:F495,"N/A")</f>
        <v>Yes</v>
      </c>
      <c r="S481" t="str">
        <f>IF(COUNTIF(O481:O483,"Yes"),"Yes","No")</f>
        <v>Yes</v>
      </c>
      <c r="U481" t="s">
        <v>92</v>
      </c>
      <c r="V481" t="s">
        <v>120</v>
      </c>
      <c r="W481" t="s">
        <v>120</v>
      </c>
      <c r="X481" t="str">
        <f>IF(V481="N/A","N/A",IF(W481="N/A", "N/A", IF(V481=W481, "Yes","No")))</f>
        <v>N/A</v>
      </c>
    </row>
    <row r="482" spans="1:24" x14ac:dyDescent="0.2">
      <c r="A482" t="s">
        <v>185</v>
      </c>
      <c r="B482" t="s">
        <v>211</v>
      </c>
      <c r="C482">
        <v>2.6</v>
      </c>
      <c r="D482" t="s">
        <v>4</v>
      </c>
      <c r="E482" t="s">
        <v>5</v>
      </c>
      <c r="F482" s="2" t="str">
        <f t="shared" si="231"/>
        <v>Yes</v>
      </c>
      <c r="G482" t="s">
        <v>9</v>
      </c>
      <c r="H482" t="s">
        <v>46</v>
      </c>
      <c r="J482" s="2" t="s">
        <v>11</v>
      </c>
      <c r="K482">
        <v>35.700000000000003</v>
      </c>
      <c r="L482" t="s">
        <v>12</v>
      </c>
      <c r="M482" t="s">
        <v>67</v>
      </c>
      <c r="N482" t="str">
        <f t="shared" ref="N482:N483" si="232">IF(K482="N/A","No", IF(K482&gt;1200,"Yes","No"))</f>
        <v>No</v>
      </c>
      <c r="O482" t="str">
        <f t="shared" ref="O482:O483" si="233">IF(K482="Not","No",IF(K482="n/a","N/A",IF(K482&gt;$Y$3,"Yes","No")))</f>
        <v>No</v>
      </c>
      <c r="Q482" s="2" t="s">
        <v>98</v>
      </c>
      <c r="R482" t="str">
        <f>_xlfn.XLOOKUP("mg/cm2",D481:D497,G481:G497,"N/A",1,-1)</f>
        <v>Yes</v>
      </c>
      <c r="S482" t="str">
        <f>IF(COUNTIF(O484:O485,"Yes"),"Yes","No")</f>
        <v>No</v>
      </c>
      <c r="U482" t="s">
        <v>95</v>
      </c>
      <c r="V482" t="str">
        <f>R481</f>
        <v>Yes</v>
      </c>
      <c r="W482" t="str">
        <f>S481</f>
        <v>Yes</v>
      </c>
      <c r="X482" t="str">
        <f t="shared" ref="X482:X485" si="234">IF(V482="N/A","N/A",IF(W482="N/A", "N/A", IF(V482=W482, "Yes","No")))</f>
        <v>Yes</v>
      </c>
    </row>
    <row r="483" spans="1:24" x14ac:dyDescent="0.2">
      <c r="A483" t="s">
        <v>185</v>
      </c>
      <c r="B483" t="s">
        <v>211</v>
      </c>
      <c r="C483">
        <v>2.9</v>
      </c>
      <c r="D483" t="s">
        <v>4</v>
      </c>
      <c r="E483" t="s">
        <v>5</v>
      </c>
      <c r="F483" s="2" t="str">
        <f t="shared" si="231"/>
        <v>Yes</v>
      </c>
      <c r="G483" t="s">
        <v>5</v>
      </c>
      <c r="H483" t="s">
        <v>46</v>
      </c>
      <c r="J483" s="2" t="s">
        <v>15</v>
      </c>
      <c r="K483">
        <v>2102</v>
      </c>
      <c r="L483" t="s">
        <v>12</v>
      </c>
      <c r="M483" t="s">
        <v>112</v>
      </c>
      <c r="N483" t="str">
        <f t="shared" si="232"/>
        <v>Yes</v>
      </c>
      <c r="O483" t="str">
        <f t="shared" si="233"/>
        <v>Yes</v>
      </c>
      <c r="Q483" s="2" t="s">
        <v>117</v>
      </c>
      <c r="R483" t="str">
        <f>_xlfn.XLOOKUP("ug/ft2",D481:D495,F481:F495,"N/A")</f>
        <v>No</v>
      </c>
      <c r="S483" t="str">
        <f>IF(COUNTIF(O486:O489,"Yes"),"Yes","No")</f>
        <v>No</v>
      </c>
      <c r="U483" t="s">
        <v>163</v>
      </c>
      <c r="V483" t="s">
        <v>5</v>
      </c>
      <c r="W483" t="str">
        <f>O485</f>
        <v>No</v>
      </c>
      <c r="X483" t="str">
        <f t="shared" si="234"/>
        <v>No</v>
      </c>
    </row>
    <row r="484" spans="1:24" x14ac:dyDescent="0.2">
      <c r="A484" t="s">
        <v>185</v>
      </c>
      <c r="B484" t="s">
        <v>211</v>
      </c>
      <c r="C484">
        <v>6.5</v>
      </c>
      <c r="D484" t="s">
        <v>4</v>
      </c>
      <c r="E484" t="s">
        <v>5</v>
      </c>
      <c r="F484" s="2" t="str">
        <f t="shared" si="231"/>
        <v>Yes</v>
      </c>
      <c r="G484" t="s">
        <v>5</v>
      </c>
      <c r="H484" t="s">
        <v>46</v>
      </c>
      <c r="J484" s="2" t="s">
        <v>19</v>
      </c>
      <c r="K484">
        <v>934</v>
      </c>
      <c r="L484" t="s">
        <v>12</v>
      </c>
      <c r="M484" t="s">
        <v>46</v>
      </c>
      <c r="N484" t="str">
        <f>IF(K484="N/A","No", IF(K484&gt;5000,"Yes","No"))</f>
        <v>No</v>
      </c>
      <c r="O484" t="str">
        <f>IF(K484="Not","No",IF(K484="n/a","N/A",IF(K484&gt;$Y$2,"Yes","No")))</f>
        <v>No</v>
      </c>
      <c r="Q484" s="2" t="s">
        <v>118</v>
      </c>
      <c r="R484" t="str">
        <f>IF(COUNTIF(R481:R483,"Yes"),"Yes","No")</f>
        <v>Yes</v>
      </c>
      <c r="S484" t="str">
        <f>IF(COUNTIF(S481:S483,"Yes"),"Yes","No")</f>
        <v>Yes</v>
      </c>
      <c r="U484" t="s">
        <v>164</v>
      </c>
      <c r="V484" t="s">
        <v>5</v>
      </c>
      <c r="W484" t="str">
        <f>O484</f>
        <v>No</v>
      </c>
      <c r="X484" t="str">
        <f t="shared" si="234"/>
        <v>No</v>
      </c>
    </row>
    <row r="485" spans="1:24" x14ac:dyDescent="0.2">
      <c r="A485" t="s">
        <v>185</v>
      </c>
      <c r="B485" t="s">
        <v>211</v>
      </c>
      <c r="C485">
        <v>14.6</v>
      </c>
      <c r="D485" t="s">
        <v>4</v>
      </c>
      <c r="E485" t="s">
        <v>5</v>
      </c>
      <c r="F485" s="2" t="str">
        <f t="shared" si="231"/>
        <v>Yes</v>
      </c>
      <c r="G485" t="s">
        <v>9</v>
      </c>
      <c r="H485" t="s">
        <v>46</v>
      </c>
      <c r="J485" s="2" t="s">
        <v>22</v>
      </c>
      <c r="K485">
        <v>306</v>
      </c>
      <c r="L485" t="s">
        <v>12</v>
      </c>
      <c r="M485" t="s">
        <v>43</v>
      </c>
      <c r="N485" t="str">
        <f>IF(K485="N/A","No", IF(K485&gt;5000,"Yes","No"))</f>
        <v>No</v>
      </c>
      <c r="O485" t="str">
        <f>IF(K485="Not","No",IF(K485="n/a","N/A",IF(K485&gt;$Y$2,"Yes","No")))</f>
        <v>No</v>
      </c>
      <c r="U485" t="s">
        <v>162</v>
      </c>
      <c r="V485" t="str">
        <f>R482</f>
        <v>Yes</v>
      </c>
      <c r="W485" t="str">
        <f>S482</f>
        <v>No</v>
      </c>
      <c r="X485" t="str">
        <f t="shared" si="234"/>
        <v>No</v>
      </c>
    </row>
    <row r="486" spans="1:24" x14ac:dyDescent="0.2">
      <c r="A486" t="s">
        <v>185</v>
      </c>
      <c r="B486" t="s">
        <v>211</v>
      </c>
      <c r="C486">
        <v>2.6</v>
      </c>
      <c r="D486" t="s">
        <v>4</v>
      </c>
      <c r="E486" t="s">
        <v>5</v>
      </c>
      <c r="F486" s="2" t="str">
        <f t="shared" si="231"/>
        <v>Yes</v>
      </c>
      <c r="G486" t="s">
        <v>5</v>
      </c>
      <c r="H486" t="s">
        <v>46</v>
      </c>
      <c r="J486" s="2" t="s">
        <v>25</v>
      </c>
      <c r="K486">
        <v>2.5</v>
      </c>
      <c r="L486" t="s">
        <v>12</v>
      </c>
      <c r="M486" t="s">
        <v>126</v>
      </c>
      <c r="N486" t="str">
        <f>IF(K486="N/A","No", IF(K486&gt;20,"Yes","No"))</f>
        <v>No</v>
      </c>
      <c r="O486" t="str">
        <f t="shared" ref="O486:O487" si="235">IF(K486="Not","No",IF(K486="n/a","N/A",IF(K486&gt;$Y$6,"Yes","No")))</f>
        <v>No</v>
      </c>
      <c r="U486" t="s">
        <v>101</v>
      </c>
      <c r="V486" t="s">
        <v>9</v>
      </c>
      <c r="W486" t="s">
        <v>9</v>
      </c>
      <c r="X486" t="str">
        <f>IF(V486="N/A","N/A",IF(W486="N/A", "N/A", IF(V486=W486, "Yes","No")))</f>
        <v>Yes</v>
      </c>
    </row>
    <row r="487" spans="1:24" x14ac:dyDescent="0.2">
      <c r="A487" t="s">
        <v>187</v>
      </c>
      <c r="B487" t="s">
        <v>294</v>
      </c>
      <c r="C487">
        <v>3050</v>
      </c>
      <c r="D487" t="s">
        <v>12</v>
      </c>
      <c r="E487" t="s">
        <v>5</v>
      </c>
      <c r="F487" s="2" t="str">
        <f>IF(C487&gt;$W$3,"Yes","No")</f>
        <v>Yes</v>
      </c>
      <c r="G487" t="s">
        <v>5</v>
      </c>
      <c r="J487" s="2" t="s">
        <v>29</v>
      </c>
      <c r="K487">
        <v>2.5</v>
      </c>
      <c r="L487" t="s">
        <v>12</v>
      </c>
      <c r="M487" t="s">
        <v>222</v>
      </c>
      <c r="N487" t="str">
        <f>IF(K487="N/A","No", IF(K487&gt;20,"Yes","No"))</f>
        <v>No</v>
      </c>
      <c r="O487" t="str">
        <f t="shared" si="235"/>
        <v>No</v>
      </c>
      <c r="U487" t="s">
        <v>104</v>
      </c>
      <c r="V487" t="s">
        <v>120</v>
      </c>
      <c r="W487" t="str">
        <f>O488</f>
        <v>No</v>
      </c>
      <c r="X487" t="str">
        <f>IF(V487="N/A","N/A",IF(W487="N/A", "N/A", IF(V487=W487, "Yes","No")))</f>
        <v>N/A</v>
      </c>
    </row>
    <row r="488" spans="1:24" x14ac:dyDescent="0.2">
      <c r="A488" t="s">
        <v>289</v>
      </c>
      <c r="B488" t="s">
        <v>238</v>
      </c>
      <c r="C488">
        <v>20</v>
      </c>
      <c r="D488" t="s">
        <v>4</v>
      </c>
      <c r="E488" t="s">
        <v>5</v>
      </c>
      <c r="F488" s="2" t="str">
        <f t="shared" ref="F488:F494" si="236">IF(C488&gt;=$W$2,"Yes","No")</f>
        <v>Yes</v>
      </c>
      <c r="G488" t="s">
        <v>5</v>
      </c>
      <c r="H488" t="s">
        <v>43</v>
      </c>
      <c r="J488" s="2" t="s">
        <v>34</v>
      </c>
      <c r="K488">
        <v>140</v>
      </c>
      <c r="L488" t="s">
        <v>12</v>
      </c>
      <c r="M488" t="s">
        <v>210</v>
      </c>
      <c r="N488" t="str">
        <f>IF(K488="N/A","No", IF(K488&gt;230,"Yes","No"))</f>
        <v>No</v>
      </c>
      <c r="O488" t="str">
        <f>IF(K488="Not","No",IF(K488="n/a","N/A",IF(K488&gt;$Y$5,"Yes","No")))</f>
        <v>No</v>
      </c>
      <c r="U488" t="s">
        <v>106</v>
      </c>
      <c r="V488" t="str">
        <f>R483</f>
        <v>No</v>
      </c>
      <c r="W488" t="str">
        <f>S483</f>
        <v>No</v>
      </c>
      <c r="X488" t="str">
        <f>IF(V488="N/A","N/A",IF(W488="N/A", "N/A", IF(V488=W488, "Yes","No")))</f>
        <v>Yes</v>
      </c>
    </row>
    <row r="489" spans="1:24" x14ac:dyDescent="0.2">
      <c r="A489" t="s">
        <v>289</v>
      </c>
      <c r="B489" t="s">
        <v>189</v>
      </c>
      <c r="C489">
        <v>15.3</v>
      </c>
      <c r="D489" t="s">
        <v>4</v>
      </c>
      <c r="E489" t="s">
        <v>5</v>
      </c>
      <c r="F489" s="2" t="str">
        <f t="shared" si="236"/>
        <v>Yes</v>
      </c>
      <c r="G489" t="s">
        <v>5</v>
      </c>
      <c r="H489" t="s">
        <v>43</v>
      </c>
      <c r="J489" s="2" t="s">
        <v>208</v>
      </c>
      <c r="K489">
        <v>219</v>
      </c>
      <c r="L489" t="s">
        <v>12</v>
      </c>
      <c r="M489" t="s">
        <v>223</v>
      </c>
      <c r="N489" t="str">
        <f>IF(K489="N/A","No", IF(K489&gt;20,"Yes","No"))</f>
        <v>Yes</v>
      </c>
      <c r="O489" t="str">
        <f>IF(K489="Not","No",IF(K489="n/a","N/A",IF(K489&gt;$Y$7,"Yes","No")))</f>
        <v>No</v>
      </c>
      <c r="U489" t="s">
        <v>121</v>
      </c>
      <c r="V489" t="str">
        <f>R484</f>
        <v>Yes</v>
      </c>
      <c r="W489" t="str">
        <f>S484</f>
        <v>Yes</v>
      </c>
      <c r="X489" t="str">
        <f>IF(V489="N/A","N/A",IF(W489="N/A", "N/A", IF(V489=W489, "Yes","No")))</f>
        <v>Yes</v>
      </c>
    </row>
    <row r="490" spans="1:24" x14ac:dyDescent="0.2">
      <c r="A490" t="s">
        <v>289</v>
      </c>
      <c r="B490" t="s">
        <v>189</v>
      </c>
      <c r="C490">
        <v>20.2</v>
      </c>
      <c r="D490" t="s">
        <v>4</v>
      </c>
      <c r="E490" t="s">
        <v>5</v>
      </c>
      <c r="F490" s="2" t="str">
        <f t="shared" si="236"/>
        <v>Yes</v>
      </c>
      <c r="G490" t="s">
        <v>5</v>
      </c>
      <c r="H490" t="s">
        <v>43</v>
      </c>
    </row>
    <row r="491" spans="1:24" x14ac:dyDescent="0.2">
      <c r="A491" t="s">
        <v>289</v>
      </c>
      <c r="B491" t="s">
        <v>189</v>
      </c>
      <c r="C491">
        <v>14.9</v>
      </c>
      <c r="D491" t="s">
        <v>4</v>
      </c>
      <c r="E491" t="s">
        <v>5</v>
      </c>
      <c r="F491" s="2" t="str">
        <f t="shared" si="236"/>
        <v>Yes</v>
      </c>
      <c r="G491" t="s">
        <v>5</v>
      </c>
      <c r="H491" t="s">
        <v>43</v>
      </c>
    </row>
    <row r="492" spans="1:24" x14ac:dyDescent="0.2">
      <c r="A492" t="s">
        <v>289</v>
      </c>
      <c r="B492" t="s">
        <v>189</v>
      </c>
      <c r="C492">
        <v>19.7</v>
      </c>
      <c r="D492" t="s">
        <v>4</v>
      </c>
      <c r="E492" t="s">
        <v>5</v>
      </c>
      <c r="F492" s="2" t="str">
        <f t="shared" si="236"/>
        <v>Yes</v>
      </c>
      <c r="G492" t="s">
        <v>5</v>
      </c>
      <c r="H492" t="s">
        <v>43</v>
      </c>
    </row>
    <row r="493" spans="1:24" x14ac:dyDescent="0.2">
      <c r="A493" t="s">
        <v>289</v>
      </c>
      <c r="B493" t="s">
        <v>211</v>
      </c>
      <c r="C493">
        <v>23.2</v>
      </c>
      <c r="D493" t="s">
        <v>4</v>
      </c>
      <c r="E493" t="s">
        <v>5</v>
      </c>
      <c r="F493" s="2" t="str">
        <f t="shared" si="236"/>
        <v>Yes</v>
      </c>
      <c r="G493" t="s">
        <v>5</v>
      </c>
    </row>
    <row r="494" spans="1:24" x14ac:dyDescent="0.2">
      <c r="A494" t="s">
        <v>289</v>
      </c>
      <c r="B494" t="s">
        <v>211</v>
      </c>
      <c r="C494">
        <v>11.1</v>
      </c>
      <c r="D494" t="s">
        <v>4</v>
      </c>
      <c r="E494" t="s">
        <v>5</v>
      </c>
      <c r="F494" s="2" t="str">
        <f t="shared" si="236"/>
        <v>Yes</v>
      </c>
      <c r="G494" t="s">
        <v>5</v>
      </c>
    </row>
    <row r="495" spans="1:24" x14ac:dyDescent="0.2">
      <c r="A495" t="s">
        <v>71</v>
      </c>
      <c r="B495" t="s">
        <v>32</v>
      </c>
      <c r="C495">
        <v>5.9</v>
      </c>
      <c r="D495" t="s">
        <v>33</v>
      </c>
      <c r="F495" s="2" t="str">
        <f t="shared" ref="F495" si="237">IF(C495&gt;$W$6,"Yes","No")</f>
        <v>No</v>
      </c>
      <c r="G495" t="s">
        <v>9</v>
      </c>
    </row>
    <row r="496" spans="1:24" x14ac:dyDescent="0.2">
      <c r="A496" t="s">
        <v>309</v>
      </c>
      <c r="B496" t="s">
        <v>311</v>
      </c>
      <c r="C496">
        <v>71.599999999999994</v>
      </c>
      <c r="D496" t="s">
        <v>33</v>
      </c>
      <c r="E496" t="s">
        <v>310</v>
      </c>
      <c r="G496" t="s">
        <v>9</v>
      </c>
    </row>
    <row r="497" spans="1:32" x14ac:dyDescent="0.2">
      <c r="A497" t="s">
        <v>309</v>
      </c>
      <c r="B497" t="s">
        <v>64</v>
      </c>
      <c r="C497">
        <v>36.700000000000003</v>
      </c>
      <c r="D497" t="s">
        <v>312</v>
      </c>
      <c r="G497" t="s">
        <v>9</v>
      </c>
    </row>
    <row r="499" spans="1:32" x14ac:dyDescent="0.2">
      <c r="A499" s="1">
        <f>VLOOKUP(C499,'Grid - LRA Samples'!$A$2:$B$108, 2,FALSE)</f>
        <v>1242</v>
      </c>
      <c r="B499" t="s">
        <v>111</v>
      </c>
      <c r="C499">
        <v>48</v>
      </c>
    </row>
    <row r="500" spans="1:32" x14ac:dyDescent="0.2">
      <c r="A500" s="5" t="s">
        <v>0</v>
      </c>
      <c r="E500" s="2" t="s">
        <v>274</v>
      </c>
      <c r="F500" s="2" t="s">
        <v>275</v>
      </c>
      <c r="G500" t="s">
        <v>119</v>
      </c>
      <c r="J500" s="5" t="s">
        <v>1</v>
      </c>
      <c r="N500" s="2" t="s">
        <v>277</v>
      </c>
      <c r="O500" t="s">
        <v>278</v>
      </c>
      <c r="Q500" s="5" t="s">
        <v>115</v>
      </c>
      <c r="R500" s="5" t="s">
        <v>0</v>
      </c>
      <c r="S500" s="5" t="s">
        <v>1</v>
      </c>
      <c r="U500" s="5" t="s">
        <v>115</v>
      </c>
      <c r="V500" s="5" t="s">
        <v>0</v>
      </c>
      <c r="W500" s="5" t="s">
        <v>1</v>
      </c>
      <c r="X500" s="5" t="s">
        <v>122</v>
      </c>
      <c r="AA500" t="str">
        <f>IF(R501="Yes","LRA-Soil","")</f>
        <v>LRA-Soil</v>
      </c>
      <c r="AB500" t="str">
        <f>IF(R502="Yes","LRA-Paint","")</f>
        <v>LRA-Paint</v>
      </c>
      <c r="AC500" t="str">
        <f>IF(R503="Yes","LRA-Dust","")</f>
        <v>LRA-Dust</v>
      </c>
      <c r="AD500" t="str">
        <f>IF(S501="Yes","LSK-Soil","")</f>
        <v/>
      </c>
      <c r="AE500" t="str">
        <f>IF(S502="Yes","LSK-Paint","")</f>
        <v/>
      </c>
      <c r="AF500" t="str">
        <f>IF(S503="Yes","LSK-Dust","")</f>
        <v>LSK-Dust</v>
      </c>
    </row>
    <row r="501" spans="1:32" x14ac:dyDescent="0.2">
      <c r="A501" t="s">
        <v>63</v>
      </c>
      <c r="B501" t="s">
        <v>10</v>
      </c>
      <c r="C501">
        <v>29.5</v>
      </c>
      <c r="D501" t="s">
        <v>4</v>
      </c>
      <c r="F501" s="2" t="str">
        <f t="shared" ref="F501:F533" si="238">IF(C501&gt;=$W$2,"Yes","No")</f>
        <v>Yes</v>
      </c>
      <c r="G501" t="s">
        <v>5</v>
      </c>
      <c r="H501" t="s">
        <v>46</v>
      </c>
      <c r="J501" s="2" t="s">
        <v>6</v>
      </c>
      <c r="K501">
        <v>40.299999999999997</v>
      </c>
      <c r="L501" t="s">
        <v>12</v>
      </c>
      <c r="M501" t="s">
        <v>114</v>
      </c>
      <c r="N501" t="str">
        <f>IF(K501="N/A","No", IF(K501&gt;1200,"Yes","No"))</f>
        <v>No</v>
      </c>
      <c r="O501" t="str">
        <f>IF(K501="Not","No",IF(K501="n/a","N/A",IF(K501&gt;=$Y$3,"Yes","No")))</f>
        <v>No</v>
      </c>
      <c r="Q501" s="2" t="s">
        <v>116</v>
      </c>
      <c r="R501" t="str">
        <f>_xlfn.XLOOKUP("ppm",D501:D535,F501:F535,"N/A")</f>
        <v>Yes</v>
      </c>
      <c r="S501" t="str">
        <f>IF(COUNTIF(O501:O503,"Yes"),"Yes","No")</f>
        <v>No</v>
      </c>
      <c r="U501" t="s">
        <v>92</v>
      </c>
      <c r="V501" t="s">
        <v>120</v>
      </c>
      <c r="W501" t="s">
        <v>120</v>
      </c>
      <c r="X501" t="str">
        <f>IF(V501="N/A","N/A",IF(W501="N/A", "N/A", IF(V501=W501, "Yes","No")))</f>
        <v>N/A</v>
      </c>
    </row>
    <row r="502" spans="1:32" x14ac:dyDescent="0.2">
      <c r="A502" t="s">
        <v>63</v>
      </c>
      <c r="B502" t="s">
        <v>10</v>
      </c>
      <c r="C502">
        <v>20.3</v>
      </c>
      <c r="D502" t="s">
        <v>4</v>
      </c>
      <c r="F502" s="2" t="str">
        <f t="shared" si="238"/>
        <v>Yes</v>
      </c>
      <c r="G502" t="s">
        <v>5</v>
      </c>
      <c r="H502" t="s">
        <v>46</v>
      </c>
      <c r="J502" s="2" t="s">
        <v>11</v>
      </c>
      <c r="K502">
        <v>99</v>
      </c>
      <c r="L502" t="s">
        <v>12</v>
      </c>
      <c r="M502" t="s">
        <v>67</v>
      </c>
      <c r="N502" t="str">
        <f t="shared" ref="N502:N503" si="239">IF(K502="N/A","No", IF(K502&gt;1200,"Yes","No"))</f>
        <v>No</v>
      </c>
      <c r="O502" t="str">
        <f t="shared" ref="O502:O503" si="240">IF(K502="Not","No",IF(K502="n/a","N/A",IF(K502&gt;$Y$3,"Yes","No")))</f>
        <v>No</v>
      </c>
      <c r="Q502" s="2" t="s">
        <v>98</v>
      </c>
      <c r="R502" t="str">
        <f>IF(COUNTIFS(D501:D535,"mg/cm2",G501:G535,"Yes")&gt;=1, "Yes","No")</f>
        <v>Yes</v>
      </c>
      <c r="S502" t="str">
        <f>IF(COUNTIF(O504:O505,"Yes"),"Yes","No")</f>
        <v>No</v>
      </c>
      <c r="U502" t="s">
        <v>95</v>
      </c>
      <c r="V502" t="str">
        <f>R501</f>
        <v>Yes</v>
      </c>
      <c r="W502" t="str">
        <f>S501</f>
        <v>No</v>
      </c>
      <c r="X502" t="str">
        <f t="shared" ref="X502:X505" si="241">IF(V502="N/A","N/A",IF(W502="N/A", "N/A", IF(V502=W502, "Yes","No")))</f>
        <v>No</v>
      </c>
    </row>
    <row r="503" spans="1:32" x14ac:dyDescent="0.2">
      <c r="A503" t="s">
        <v>63</v>
      </c>
      <c r="B503" t="s">
        <v>10</v>
      </c>
      <c r="C503">
        <v>7.6</v>
      </c>
      <c r="D503" t="s">
        <v>4</v>
      </c>
      <c r="F503" s="2" t="str">
        <f t="shared" si="238"/>
        <v>Yes</v>
      </c>
      <c r="G503" t="s">
        <v>5</v>
      </c>
      <c r="H503" t="s">
        <v>46</v>
      </c>
      <c r="J503" s="2" t="s">
        <v>15</v>
      </c>
      <c r="K503" t="s">
        <v>120</v>
      </c>
      <c r="L503" t="s">
        <v>12</v>
      </c>
      <c r="M503" t="s">
        <v>112</v>
      </c>
      <c r="N503" t="str">
        <f t="shared" si="239"/>
        <v>No</v>
      </c>
      <c r="O503" t="str">
        <f t="shared" si="240"/>
        <v>N/A</v>
      </c>
      <c r="Q503" s="2" t="s">
        <v>117</v>
      </c>
      <c r="R503" t="str">
        <f>_xlfn.XLOOKUP("ug/ft2",D501:D535,F501:F535,"N/A")</f>
        <v>Yes</v>
      </c>
      <c r="S503" t="str">
        <f>IF(COUNTIF(O506:O509,"Yes"),"Yes","No")</f>
        <v>Yes</v>
      </c>
      <c r="U503" t="s">
        <v>163</v>
      </c>
      <c r="V503" t="s">
        <v>5</v>
      </c>
      <c r="W503" t="s">
        <v>9</v>
      </c>
      <c r="X503" t="str">
        <f t="shared" si="241"/>
        <v>No</v>
      </c>
    </row>
    <row r="504" spans="1:32" x14ac:dyDescent="0.2">
      <c r="A504" t="s">
        <v>63</v>
      </c>
      <c r="B504" t="s">
        <v>10</v>
      </c>
      <c r="C504">
        <v>14.2</v>
      </c>
      <c r="D504" t="s">
        <v>4</v>
      </c>
      <c r="F504" s="2" t="str">
        <f t="shared" si="238"/>
        <v>Yes</v>
      </c>
      <c r="G504" t="s">
        <v>5</v>
      </c>
      <c r="H504" t="s">
        <v>46</v>
      </c>
      <c r="J504" s="2" t="s">
        <v>19</v>
      </c>
      <c r="K504">
        <v>224</v>
      </c>
      <c r="L504" t="s">
        <v>12</v>
      </c>
      <c r="M504" t="s">
        <v>46</v>
      </c>
      <c r="N504" t="str">
        <f>IF(K504="N/A","No", IF(K504&gt;5000,"Yes","No"))</f>
        <v>No</v>
      </c>
      <c r="O504" t="str">
        <f>IF(K504="Not","No",IF(K504="n/a","N/A",IF(K504&gt;$Y$2,"Yes","No")))</f>
        <v>No</v>
      </c>
      <c r="Q504" s="2" t="s">
        <v>118</v>
      </c>
      <c r="R504" t="str">
        <f>IF(COUNTIF(R501:R503,"Yes"),"Yes","No")</f>
        <v>Yes</v>
      </c>
      <c r="S504" t="str">
        <f>IF(COUNTIF(S501:S503,"Yes"),"Yes","No")</f>
        <v>Yes</v>
      </c>
      <c r="U504" t="s">
        <v>164</v>
      </c>
      <c r="V504" t="s">
        <v>5</v>
      </c>
      <c r="W504" t="s">
        <v>5</v>
      </c>
      <c r="X504" t="s">
        <v>9</v>
      </c>
    </row>
    <row r="505" spans="1:32" x14ac:dyDescent="0.2">
      <c r="A505" t="s">
        <v>63</v>
      </c>
      <c r="B505" t="s">
        <v>77</v>
      </c>
      <c r="C505">
        <v>3.2</v>
      </c>
      <c r="D505" t="s">
        <v>4</v>
      </c>
      <c r="F505" s="2" t="str">
        <f t="shared" si="238"/>
        <v>Yes</v>
      </c>
      <c r="G505" t="s">
        <v>5</v>
      </c>
      <c r="H505" t="s">
        <v>46</v>
      </c>
      <c r="J505" s="2" t="s">
        <v>22</v>
      </c>
      <c r="K505">
        <v>1863</v>
      </c>
      <c r="L505" t="s">
        <v>12</v>
      </c>
      <c r="M505" t="s">
        <v>43</v>
      </c>
      <c r="N505" t="str">
        <f>IF(K505="N/A","No", IF(K505&gt;5000,"Yes","No"))</f>
        <v>No</v>
      </c>
      <c r="O505" t="str">
        <f>IF(K505="Not","No",IF(K505="n/a","N/A",IF(K505&gt;$Y$2,"Yes","No")))</f>
        <v>No</v>
      </c>
      <c r="U505" t="s">
        <v>162</v>
      </c>
      <c r="V505" t="str">
        <f>R502</f>
        <v>Yes</v>
      </c>
      <c r="W505" t="str">
        <f>S502</f>
        <v>No</v>
      </c>
      <c r="X505" t="str">
        <f t="shared" si="241"/>
        <v>No</v>
      </c>
    </row>
    <row r="506" spans="1:32" x14ac:dyDescent="0.2">
      <c r="A506" t="s">
        <v>63</v>
      </c>
      <c r="B506" t="s">
        <v>77</v>
      </c>
      <c r="C506">
        <v>35.4</v>
      </c>
      <c r="D506" t="s">
        <v>4</v>
      </c>
      <c r="F506" s="2" t="str">
        <f t="shared" si="238"/>
        <v>Yes</v>
      </c>
      <c r="G506" t="s">
        <v>5</v>
      </c>
      <c r="H506" t="s">
        <v>46</v>
      </c>
      <c r="J506" s="2" t="s">
        <v>25</v>
      </c>
      <c r="K506">
        <v>2.5</v>
      </c>
      <c r="L506" t="s">
        <v>12</v>
      </c>
      <c r="M506" t="s">
        <v>126</v>
      </c>
      <c r="N506" t="str">
        <f>IF(K506="N/A","No", IF(K506&gt;20,"Yes","No"))</f>
        <v>No</v>
      </c>
      <c r="O506" t="str">
        <f t="shared" ref="O506:O507" si="242">IF(K506="Not","No",IF(K506="n/a","N/A",IF(K506&gt;$Y$6,"Yes","No")))</f>
        <v>No</v>
      </c>
      <c r="U506" t="s">
        <v>101</v>
      </c>
      <c r="V506" t="s">
        <v>5</v>
      </c>
      <c r="W506" t="s">
        <v>5</v>
      </c>
      <c r="X506" t="s">
        <v>5</v>
      </c>
    </row>
    <row r="507" spans="1:32" x14ac:dyDescent="0.2">
      <c r="A507" t="s">
        <v>63</v>
      </c>
      <c r="B507" t="s">
        <v>24</v>
      </c>
      <c r="C507">
        <v>10.7</v>
      </c>
      <c r="D507" t="s">
        <v>4</v>
      </c>
      <c r="F507" s="2" t="str">
        <f t="shared" si="238"/>
        <v>Yes</v>
      </c>
      <c r="G507" t="s">
        <v>5</v>
      </c>
      <c r="J507" s="2" t="s">
        <v>29</v>
      </c>
      <c r="K507">
        <v>46</v>
      </c>
      <c r="L507" t="s">
        <v>12</v>
      </c>
      <c r="M507" t="s">
        <v>222</v>
      </c>
      <c r="N507" t="str">
        <f>IF(K507="N/A","No", IF(K507&gt;20,"Yes","No"))</f>
        <v>Yes</v>
      </c>
      <c r="O507" t="str">
        <f t="shared" si="242"/>
        <v>Yes</v>
      </c>
      <c r="U507" t="s">
        <v>104</v>
      </c>
      <c r="V507" t="s">
        <v>5</v>
      </c>
      <c r="W507" t="s">
        <v>9</v>
      </c>
      <c r="X507" t="s">
        <v>9</v>
      </c>
    </row>
    <row r="508" spans="1:32" x14ac:dyDescent="0.2">
      <c r="A508" t="s">
        <v>63</v>
      </c>
      <c r="B508" t="s">
        <v>24</v>
      </c>
      <c r="C508">
        <v>9.4</v>
      </c>
      <c r="D508" t="s">
        <v>4</v>
      </c>
      <c r="F508" s="2" t="str">
        <f t="shared" si="238"/>
        <v>Yes</v>
      </c>
      <c r="G508" t="s">
        <v>5</v>
      </c>
      <c r="H508" t="s">
        <v>43</v>
      </c>
      <c r="J508" s="2" t="s">
        <v>34</v>
      </c>
      <c r="K508">
        <v>80</v>
      </c>
      <c r="L508" t="s">
        <v>12</v>
      </c>
      <c r="M508" t="s">
        <v>210</v>
      </c>
      <c r="N508" t="str">
        <f>IF(K508="N/A","No", IF(K508&gt;230,"Yes","No"))</f>
        <v>No</v>
      </c>
      <c r="O508" t="str">
        <f>IF(K508="Not","No",IF(K508="n/a","N/A",IF(K508&gt;$Y$5,"Yes","No")))</f>
        <v>No</v>
      </c>
      <c r="U508" t="s">
        <v>106</v>
      </c>
      <c r="V508" t="str">
        <f>R503</f>
        <v>Yes</v>
      </c>
      <c r="W508" t="str">
        <f>S503</f>
        <v>Yes</v>
      </c>
      <c r="X508" t="str">
        <f>IF(V508="N/A","N/A",IF(W508="N/A", "N/A", IF(V508=W508, "Yes","No")))</f>
        <v>Yes</v>
      </c>
    </row>
    <row r="509" spans="1:32" x14ac:dyDescent="0.2">
      <c r="A509" t="s">
        <v>63</v>
      </c>
      <c r="B509" t="s">
        <v>24</v>
      </c>
      <c r="C509">
        <v>1.3</v>
      </c>
      <c r="D509" t="s">
        <v>4</v>
      </c>
      <c r="F509" s="2" t="str">
        <f t="shared" si="238"/>
        <v>Yes</v>
      </c>
      <c r="G509" t="s">
        <v>5</v>
      </c>
      <c r="H509" t="s">
        <v>43</v>
      </c>
      <c r="J509" s="2" t="s">
        <v>208</v>
      </c>
      <c r="K509">
        <v>804</v>
      </c>
      <c r="L509" t="s">
        <v>12</v>
      </c>
      <c r="M509" t="s">
        <v>223</v>
      </c>
      <c r="N509" t="str">
        <f>IF(K509="N/A","No", IF(K509&gt;20,"Yes","No"))</f>
        <v>Yes</v>
      </c>
      <c r="O509" t="str">
        <f>IF(K509="Not","No",IF(K509="n/a","N/A",IF(K509&gt;$Y$7,"Yes","No")))</f>
        <v>Yes</v>
      </c>
      <c r="U509" t="s">
        <v>121</v>
      </c>
      <c r="V509" t="str">
        <f>R504</f>
        <v>Yes</v>
      </c>
      <c r="W509" t="str">
        <f>S504</f>
        <v>Yes</v>
      </c>
      <c r="X509" t="str">
        <f>IF(V509="N/A","N/A",IF(W509="N/A", "N/A", IF(V509=W509, "Yes","No")))</f>
        <v>Yes</v>
      </c>
    </row>
    <row r="510" spans="1:32" x14ac:dyDescent="0.2">
      <c r="A510" t="s">
        <v>63</v>
      </c>
      <c r="B510" t="s">
        <v>24</v>
      </c>
      <c r="C510">
        <v>35.700000000000003</v>
      </c>
      <c r="D510" t="s">
        <v>4</v>
      </c>
      <c r="F510" s="2" t="str">
        <f t="shared" si="238"/>
        <v>Yes</v>
      </c>
      <c r="G510" t="s">
        <v>5</v>
      </c>
    </row>
    <row r="511" spans="1:32" x14ac:dyDescent="0.2">
      <c r="A511" t="s">
        <v>63</v>
      </c>
      <c r="B511" t="s">
        <v>24</v>
      </c>
      <c r="C511">
        <v>17.3</v>
      </c>
      <c r="D511" t="s">
        <v>4</v>
      </c>
      <c r="F511" s="2" t="str">
        <f t="shared" si="238"/>
        <v>Yes</v>
      </c>
      <c r="G511" t="s">
        <v>5</v>
      </c>
    </row>
    <row r="512" spans="1:32" x14ac:dyDescent="0.2">
      <c r="A512" t="s">
        <v>75</v>
      </c>
      <c r="B512" t="s">
        <v>301</v>
      </c>
      <c r="C512">
        <v>1200</v>
      </c>
      <c r="D512" t="s">
        <v>12</v>
      </c>
      <c r="F512" s="2" t="str">
        <f>IF(C512&gt;$W$3,"Yes","No")</f>
        <v>Yes</v>
      </c>
      <c r="G512" t="s">
        <v>5</v>
      </c>
    </row>
    <row r="513" spans="1:7" x14ac:dyDescent="0.2">
      <c r="A513" t="s">
        <v>109</v>
      </c>
      <c r="B513" t="s">
        <v>174</v>
      </c>
      <c r="C513">
        <v>1.6</v>
      </c>
      <c r="D513" t="s">
        <v>4</v>
      </c>
      <c r="F513" s="2" t="str">
        <f t="shared" si="238"/>
        <v>Yes</v>
      </c>
      <c r="G513" t="s">
        <v>5</v>
      </c>
    </row>
    <row r="514" spans="1:7" x14ac:dyDescent="0.2">
      <c r="A514" t="s">
        <v>109</v>
      </c>
      <c r="B514" t="s">
        <v>10</v>
      </c>
      <c r="C514">
        <v>1.3</v>
      </c>
      <c r="D514" t="s">
        <v>4</v>
      </c>
      <c r="F514" s="2" t="str">
        <f t="shared" si="238"/>
        <v>Yes</v>
      </c>
      <c r="G514" t="s">
        <v>5</v>
      </c>
    </row>
    <row r="515" spans="1:7" x14ac:dyDescent="0.2">
      <c r="A515" t="s">
        <v>293</v>
      </c>
      <c r="B515" t="s">
        <v>174</v>
      </c>
      <c r="C515">
        <v>1.7</v>
      </c>
      <c r="D515" t="s">
        <v>4</v>
      </c>
      <c r="F515" s="2" t="str">
        <f t="shared" si="238"/>
        <v>Yes</v>
      </c>
      <c r="G515" t="s">
        <v>5</v>
      </c>
    </row>
    <row r="516" spans="1:7" x14ac:dyDescent="0.2">
      <c r="A516" t="s">
        <v>293</v>
      </c>
      <c r="B516" t="s">
        <v>24</v>
      </c>
      <c r="C516">
        <v>1.5</v>
      </c>
      <c r="D516" t="s">
        <v>4</v>
      </c>
      <c r="F516" s="2" t="str">
        <f t="shared" si="238"/>
        <v>Yes</v>
      </c>
      <c r="G516" t="s">
        <v>5</v>
      </c>
    </row>
    <row r="517" spans="1:7" x14ac:dyDescent="0.2">
      <c r="A517" t="s">
        <v>293</v>
      </c>
      <c r="B517" t="s">
        <v>24</v>
      </c>
      <c r="C517">
        <v>1.6</v>
      </c>
      <c r="D517" t="s">
        <v>4</v>
      </c>
      <c r="F517" s="2" t="str">
        <f t="shared" si="238"/>
        <v>Yes</v>
      </c>
      <c r="G517" t="s">
        <v>5</v>
      </c>
    </row>
    <row r="518" spans="1:7" x14ac:dyDescent="0.2">
      <c r="A518" t="s">
        <v>293</v>
      </c>
      <c r="B518" t="s">
        <v>24</v>
      </c>
      <c r="C518">
        <v>2.4</v>
      </c>
      <c r="D518" t="s">
        <v>4</v>
      </c>
      <c r="F518" s="2" t="str">
        <f t="shared" si="238"/>
        <v>Yes</v>
      </c>
      <c r="G518" t="s">
        <v>5</v>
      </c>
    </row>
    <row r="519" spans="1:7" x14ac:dyDescent="0.2">
      <c r="A519" t="s">
        <v>70</v>
      </c>
      <c r="B519" t="s">
        <v>10</v>
      </c>
      <c r="C519">
        <v>8.9</v>
      </c>
      <c r="D519" t="s">
        <v>4</v>
      </c>
      <c r="F519" s="2" t="str">
        <f t="shared" si="238"/>
        <v>Yes</v>
      </c>
      <c r="G519" t="s">
        <v>5</v>
      </c>
    </row>
    <row r="520" spans="1:7" x14ac:dyDescent="0.2">
      <c r="A520" t="s">
        <v>70</v>
      </c>
      <c r="B520" t="s">
        <v>77</v>
      </c>
      <c r="C520">
        <v>21.3</v>
      </c>
      <c r="D520" t="s">
        <v>4</v>
      </c>
      <c r="F520" s="2" t="str">
        <f t="shared" si="238"/>
        <v>Yes</v>
      </c>
      <c r="G520" t="s">
        <v>5</v>
      </c>
    </row>
    <row r="521" spans="1:7" x14ac:dyDescent="0.2">
      <c r="A521" t="s">
        <v>70</v>
      </c>
      <c r="B521" t="s">
        <v>24</v>
      </c>
      <c r="C521">
        <v>4.4000000000000004</v>
      </c>
      <c r="D521" t="s">
        <v>4</v>
      </c>
      <c r="F521" s="2" t="str">
        <f t="shared" si="238"/>
        <v>Yes</v>
      </c>
      <c r="G521" t="s">
        <v>5</v>
      </c>
    </row>
    <row r="522" spans="1:7" x14ac:dyDescent="0.2">
      <c r="A522" t="s">
        <v>70</v>
      </c>
      <c r="B522" t="s">
        <v>24</v>
      </c>
      <c r="C522">
        <v>4.2</v>
      </c>
      <c r="D522" t="s">
        <v>4</v>
      </c>
      <c r="F522" s="2" t="str">
        <f t="shared" si="238"/>
        <v>Yes</v>
      </c>
      <c r="G522" t="s">
        <v>5</v>
      </c>
    </row>
    <row r="523" spans="1:7" x14ac:dyDescent="0.2">
      <c r="A523" t="s">
        <v>158</v>
      </c>
      <c r="B523" t="s">
        <v>174</v>
      </c>
      <c r="C523">
        <v>4.0999999999999996</v>
      </c>
      <c r="D523" t="s">
        <v>4</v>
      </c>
      <c r="F523" s="2" t="str">
        <f t="shared" si="238"/>
        <v>Yes</v>
      </c>
      <c r="G523" t="s">
        <v>5</v>
      </c>
    </row>
    <row r="524" spans="1:7" x14ac:dyDescent="0.2">
      <c r="A524" t="s">
        <v>158</v>
      </c>
      <c r="B524" t="s">
        <v>10</v>
      </c>
      <c r="C524">
        <v>9.4</v>
      </c>
      <c r="D524" t="s">
        <v>4</v>
      </c>
      <c r="F524" s="2" t="str">
        <f t="shared" si="238"/>
        <v>Yes</v>
      </c>
      <c r="G524" t="s">
        <v>5</v>
      </c>
    </row>
    <row r="525" spans="1:7" x14ac:dyDescent="0.2">
      <c r="A525" t="s">
        <v>158</v>
      </c>
      <c r="B525" t="s">
        <v>77</v>
      </c>
      <c r="C525">
        <v>27.4</v>
      </c>
      <c r="D525" t="s">
        <v>4</v>
      </c>
      <c r="F525" s="2" t="str">
        <f t="shared" si="238"/>
        <v>Yes</v>
      </c>
      <c r="G525" t="s">
        <v>5</v>
      </c>
    </row>
    <row r="526" spans="1:7" x14ac:dyDescent="0.2">
      <c r="A526" t="s">
        <v>158</v>
      </c>
      <c r="B526" t="s">
        <v>24</v>
      </c>
      <c r="C526">
        <v>1.8</v>
      </c>
      <c r="D526" t="s">
        <v>4</v>
      </c>
      <c r="F526" s="2" t="str">
        <f t="shared" si="238"/>
        <v>Yes</v>
      </c>
      <c r="G526" t="s">
        <v>5</v>
      </c>
    </row>
    <row r="527" spans="1:7" x14ac:dyDescent="0.2">
      <c r="A527" t="s">
        <v>64</v>
      </c>
      <c r="B527" t="s">
        <v>40</v>
      </c>
      <c r="C527">
        <v>17.8</v>
      </c>
      <c r="D527" t="s">
        <v>4</v>
      </c>
      <c r="F527" s="2" t="str">
        <f t="shared" si="238"/>
        <v>Yes</v>
      </c>
      <c r="G527" t="s">
        <v>5</v>
      </c>
    </row>
    <row r="528" spans="1:7" x14ac:dyDescent="0.2">
      <c r="A528" t="s">
        <v>64</v>
      </c>
      <c r="B528" t="s">
        <v>40</v>
      </c>
      <c r="C528">
        <v>29.3</v>
      </c>
      <c r="D528" t="s">
        <v>4</v>
      </c>
      <c r="F528" s="2" t="str">
        <f t="shared" si="238"/>
        <v>Yes</v>
      </c>
      <c r="G528" t="s">
        <v>5</v>
      </c>
    </row>
    <row r="529" spans="1:32" x14ac:dyDescent="0.2">
      <c r="A529" t="s">
        <v>64</v>
      </c>
      <c r="B529" t="s">
        <v>40</v>
      </c>
      <c r="C529">
        <v>243</v>
      </c>
      <c r="D529" t="s">
        <v>4</v>
      </c>
      <c r="F529" s="2" t="str">
        <f t="shared" si="238"/>
        <v>Yes</v>
      </c>
      <c r="G529" t="s">
        <v>5</v>
      </c>
    </row>
    <row r="530" spans="1:32" x14ac:dyDescent="0.2">
      <c r="A530" t="s">
        <v>64</v>
      </c>
      <c r="B530" t="s">
        <v>24</v>
      </c>
      <c r="C530">
        <v>17</v>
      </c>
      <c r="D530" t="s">
        <v>4</v>
      </c>
      <c r="F530" s="2" t="str">
        <f t="shared" si="238"/>
        <v>Yes</v>
      </c>
      <c r="G530" t="s">
        <v>5</v>
      </c>
    </row>
    <row r="531" spans="1:32" x14ac:dyDescent="0.2">
      <c r="A531" t="s">
        <v>64</v>
      </c>
      <c r="B531" t="s">
        <v>24</v>
      </c>
      <c r="C531">
        <v>2.2000000000000002</v>
      </c>
      <c r="D531" t="s">
        <v>4</v>
      </c>
      <c r="F531" s="2" t="str">
        <f t="shared" si="238"/>
        <v>Yes</v>
      </c>
      <c r="G531" t="s">
        <v>5</v>
      </c>
    </row>
    <row r="532" spans="1:32" x14ac:dyDescent="0.2">
      <c r="A532" t="s">
        <v>64</v>
      </c>
      <c r="B532" t="s">
        <v>24</v>
      </c>
      <c r="C532">
        <v>22</v>
      </c>
      <c r="D532" t="s">
        <v>4</v>
      </c>
      <c r="F532" s="2" t="str">
        <f t="shared" si="238"/>
        <v>Yes</v>
      </c>
      <c r="G532" t="s">
        <v>5</v>
      </c>
    </row>
    <row r="533" spans="1:32" x14ac:dyDescent="0.2">
      <c r="A533" t="s">
        <v>64</v>
      </c>
      <c r="B533" t="s">
        <v>24</v>
      </c>
      <c r="C533">
        <v>1.6</v>
      </c>
      <c r="D533" t="s">
        <v>4</v>
      </c>
      <c r="F533" s="2" t="str">
        <f t="shared" si="238"/>
        <v>Yes</v>
      </c>
      <c r="G533" t="s">
        <v>5</v>
      </c>
    </row>
    <row r="534" spans="1:32" x14ac:dyDescent="0.2">
      <c r="A534" t="s">
        <v>109</v>
      </c>
      <c r="B534" t="s">
        <v>54</v>
      </c>
      <c r="C534">
        <v>170</v>
      </c>
      <c r="D534" t="s">
        <v>33</v>
      </c>
      <c r="F534" s="2" t="str">
        <f>IF(C534&gt;$W$5,"Yes","No")</f>
        <v>Yes</v>
      </c>
      <c r="G534" t="s">
        <v>5</v>
      </c>
    </row>
    <row r="535" spans="1:32" x14ac:dyDescent="0.2">
      <c r="A535" t="s">
        <v>64</v>
      </c>
      <c r="B535" t="s">
        <v>32</v>
      </c>
      <c r="C535">
        <v>490</v>
      </c>
      <c r="D535" t="s">
        <v>33</v>
      </c>
      <c r="F535" s="2" t="str">
        <f>IF(C535&gt;$W$6,"Yes","No")</f>
        <v>Yes</v>
      </c>
      <c r="G535" t="s">
        <v>5</v>
      </c>
    </row>
    <row r="536" spans="1:32" x14ac:dyDescent="0.2">
      <c r="F536" s="2"/>
    </row>
    <row r="537" spans="1:32" x14ac:dyDescent="0.2">
      <c r="F537" s="2"/>
    </row>
    <row r="538" spans="1:32" x14ac:dyDescent="0.2">
      <c r="A538" s="1">
        <f>VLOOKUP(C538,'Grid - LRA Samples'!$A$2:$B$108, 2,FALSE)</f>
        <v>1243</v>
      </c>
      <c r="B538" t="s">
        <v>111</v>
      </c>
      <c r="C538">
        <v>49</v>
      </c>
    </row>
    <row r="539" spans="1:32" x14ac:dyDescent="0.2">
      <c r="A539" s="5" t="s">
        <v>0</v>
      </c>
      <c r="E539" s="2" t="s">
        <v>274</v>
      </c>
      <c r="F539" s="2" t="s">
        <v>275</v>
      </c>
      <c r="G539" t="s">
        <v>119</v>
      </c>
      <c r="J539" s="5" t="s">
        <v>1</v>
      </c>
      <c r="N539" s="2" t="s">
        <v>277</v>
      </c>
      <c r="O539" t="s">
        <v>278</v>
      </c>
      <c r="Q539" s="5" t="s">
        <v>115</v>
      </c>
      <c r="R539" s="5" t="s">
        <v>0</v>
      </c>
      <c r="S539" s="5" t="s">
        <v>1</v>
      </c>
      <c r="U539" s="5" t="s">
        <v>115</v>
      </c>
      <c r="V539" s="5" t="s">
        <v>0</v>
      </c>
      <c r="W539" s="5" t="s">
        <v>1</v>
      </c>
      <c r="X539" s="5" t="s">
        <v>122</v>
      </c>
      <c r="AA539" t="str">
        <f>IF(R540="Yes","LRA-Soil","")</f>
        <v/>
      </c>
      <c r="AB539" t="str">
        <f>IF(R541="Yes","LRA-Paint","")</f>
        <v/>
      </c>
      <c r="AC539" t="str">
        <f>IF(R542="Yes","LRA-Dust","")</f>
        <v/>
      </c>
      <c r="AD539" t="str">
        <f>IF(S540="Yes","LSK-Soil","")</f>
        <v/>
      </c>
      <c r="AE539" t="str">
        <f>IF(S541="Yes","LSK-Paint","")</f>
        <v/>
      </c>
      <c r="AF539" t="str">
        <f>IF(S542="Yes","LSK-Dust","")</f>
        <v/>
      </c>
    </row>
    <row r="540" spans="1:32" x14ac:dyDescent="0.2">
      <c r="A540" t="s">
        <v>63</v>
      </c>
      <c r="B540" t="s">
        <v>77</v>
      </c>
      <c r="C540">
        <v>0</v>
      </c>
      <c r="D540" t="s">
        <v>4</v>
      </c>
      <c r="F540" s="2" t="str">
        <f t="shared" ref="F540" si="243">IF(C540&gt;=$W$2,"Yes","No")</f>
        <v>No</v>
      </c>
      <c r="G540" t="s">
        <v>9</v>
      </c>
      <c r="H540" t="s">
        <v>46</v>
      </c>
      <c r="J540" s="2" t="s">
        <v>6</v>
      </c>
      <c r="K540">
        <v>139</v>
      </c>
      <c r="L540" t="s">
        <v>12</v>
      </c>
      <c r="M540" t="s">
        <v>114</v>
      </c>
      <c r="N540" t="str">
        <f>IF(K540="N/A","No", IF(K540&gt;1200,"Yes","No"))</f>
        <v>No</v>
      </c>
      <c r="O540" t="str">
        <f>IF(K540="Not","No",IF(K540="n/a","N/A",IF(K540&gt;=$Y$3,"Yes","No")))</f>
        <v>No</v>
      </c>
      <c r="Q540" s="2" t="s">
        <v>116</v>
      </c>
      <c r="R540" t="str">
        <f>_xlfn.XLOOKUP("ppm",D540:D554,F540:F554,"N/A")</f>
        <v>No</v>
      </c>
      <c r="S540" t="str">
        <f>IF(COUNTIF(O540:O542,"Yes"),"Yes","No")</f>
        <v>No</v>
      </c>
      <c r="U540" t="s">
        <v>92</v>
      </c>
      <c r="V540" t="s">
        <v>9</v>
      </c>
      <c r="W540" t="s">
        <v>120</v>
      </c>
      <c r="X540" t="str">
        <f>IF(V540="N/A","N/A",IF(W540="N/A", "N/A", IF(V540=W540, "Yes","No")))</f>
        <v>N/A</v>
      </c>
    </row>
    <row r="541" spans="1:32" x14ac:dyDescent="0.2">
      <c r="A541" t="s">
        <v>161</v>
      </c>
      <c r="B541" t="s">
        <v>28</v>
      </c>
      <c r="C541">
        <v>204</v>
      </c>
      <c r="D541" t="s">
        <v>12</v>
      </c>
      <c r="F541" s="2" t="str">
        <f>IF(C541&gt;$W$3,"Yes","No")</f>
        <v>No</v>
      </c>
      <c r="G541" t="s">
        <v>9</v>
      </c>
      <c r="J541" s="2" t="s">
        <v>11</v>
      </c>
      <c r="K541">
        <v>181</v>
      </c>
      <c r="L541" t="s">
        <v>12</v>
      </c>
      <c r="M541" t="s">
        <v>67</v>
      </c>
      <c r="N541" t="str">
        <f t="shared" ref="N541:N542" si="244">IF(K541="N/A","No", IF(K541&gt;1200,"Yes","No"))</f>
        <v>No</v>
      </c>
      <c r="O541" t="str">
        <f t="shared" ref="O541:O542" si="245">IF(K541="Not","No",IF(K541="n/a","N/A",IF(K541&gt;$Y$3,"Yes","No")))</f>
        <v>No</v>
      </c>
      <c r="Q541" s="2" t="s">
        <v>98</v>
      </c>
      <c r="R541" t="str">
        <f>_xlfn.XLOOKUP("mg/cm2",D540:D543,G540:G543,"N/A",1,-1)</f>
        <v>No</v>
      </c>
      <c r="S541" t="str">
        <f>IF(COUNTIF(O543:O544,"Yes"),"Yes","No")</f>
        <v>No</v>
      </c>
      <c r="U541" t="s">
        <v>95</v>
      </c>
      <c r="V541" t="str">
        <f>R540</f>
        <v>No</v>
      </c>
      <c r="W541" t="str">
        <f>S540</f>
        <v>No</v>
      </c>
      <c r="X541" t="str">
        <f t="shared" ref="X541:X544" si="246">IF(V541="N/A","N/A",IF(W541="N/A", "N/A", IF(V541=W541, "Yes","No")))</f>
        <v>Yes</v>
      </c>
    </row>
    <row r="542" spans="1:32" x14ac:dyDescent="0.2">
      <c r="A542" t="s">
        <v>71</v>
      </c>
      <c r="B542" t="s">
        <v>77</v>
      </c>
      <c r="C542">
        <v>0</v>
      </c>
      <c r="D542" t="s">
        <v>4</v>
      </c>
      <c r="F542" s="2" t="str">
        <f t="shared" ref="F542" si="247">IF(C542&gt;=$W$2,"Yes","No")</f>
        <v>No</v>
      </c>
      <c r="G542" t="s">
        <v>9</v>
      </c>
      <c r="H542" t="s">
        <v>43</v>
      </c>
      <c r="J542" s="2" t="s">
        <v>15</v>
      </c>
      <c r="K542">
        <v>85.7</v>
      </c>
      <c r="L542" t="s">
        <v>12</v>
      </c>
      <c r="M542" t="s">
        <v>112</v>
      </c>
      <c r="N542" t="str">
        <f t="shared" si="244"/>
        <v>No</v>
      </c>
      <c r="O542" t="str">
        <f t="shared" si="245"/>
        <v>No</v>
      </c>
      <c r="Q542" s="2" t="s">
        <v>117</v>
      </c>
      <c r="R542" t="str">
        <f>_xlfn.XLOOKUP("ug/ft2",D540:D554,F540:F554,"N/A")</f>
        <v>No</v>
      </c>
      <c r="S542" t="str">
        <f>IF(COUNTIF(O545:O548,"Yes"),"Yes","No")</f>
        <v>No</v>
      </c>
      <c r="U542" t="s">
        <v>163</v>
      </c>
      <c r="V542" t="s">
        <v>9</v>
      </c>
      <c r="W542" t="str">
        <f>O544</f>
        <v>No</v>
      </c>
      <c r="X542" t="str">
        <f t="shared" si="246"/>
        <v>Yes</v>
      </c>
    </row>
    <row r="543" spans="1:32" x14ac:dyDescent="0.2">
      <c r="A543" t="s">
        <v>71</v>
      </c>
      <c r="B543" t="s">
        <v>54</v>
      </c>
      <c r="C543">
        <v>11</v>
      </c>
      <c r="D543" t="s">
        <v>33</v>
      </c>
      <c r="F543" s="2" t="str">
        <f>IF(C543&gt;$W$5,"Yes","No")</f>
        <v>No</v>
      </c>
      <c r="G543" t="s">
        <v>9</v>
      </c>
      <c r="J543" s="2" t="s">
        <v>19</v>
      </c>
      <c r="K543">
        <v>2.5</v>
      </c>
      <c r="L543" t="s">
        <v>12</v>
      </c>
      <c r="M543" t="s">
        <v>46</v>
      </c>
      <c r="N543" t="str">
        <f>IF(K543="N/A","No", IF(K543&gt;5000,"Yes","No"))</f>
        <v>No</v>
      </c>
      <c r="O543" t="str">
        <f>IF(K543="Not","No",IF(K543="n/a","N/A",IF(K543&gt;$Y$2,"Yes","No")))</f>
        <v>No</v>
      </c>
      <c r="Q543" s="2" t="s">
        <v>118</v>
      </c>
      <c r="R543" t="str">
        <f>IF(COUNTIF(R540:R542,"Yes"),"Yes","No")</f>
        <v>No</v>
      </c>
      <c r="S543" t="str">
        <f>IF(COUNTIF(S540:S542,"Yes"),"Yes","No")</f>
        <v>No</v>
      </c>
      <c r="U543" t="s">
        <v>164</v>
      </c>
      <c r="V543" t="s">
        <v>9</v>
      </c>
      <c r="W543" t="str">
        <f>O543</f>
        <v>No</v>
      </c>
      <c r="X543" t="str">
        <f t="shared" si="246"/>
        <v>Yes</v>
      </c>
    </row>
    <row r="544" spans="1:32" x14ac:dyDescent="0.2">
      <c r="F544" s="2"/>
      <c r="J544" s="2" t="s">
        <v>22</v>
      </c>
      <c r="K544">
        <v>2.5</v>
      </c>
      <c r="L544" t="s">
        <v>12</v>
      </c>
      <c r="M544" t="s">
        <v>43</v>
      </c>
      <c r="N544" t="str">
        <f>IF(K544="N/A","No", IF(K544&gt;5000,"Yes","No"))</f>
        <v>No</v>
      </c>
      <c r="O544" t="str">
        <f>IF(K544="Not","No",IF(K544="n/a","N/A",IF(K544&gt;$Y$2,"Yes","No")))</f>
        <v>No</v>
      </c>
      <c r="U544" t="s">
        <v>162</v>
      </c>
      <c r="V544" t="str">
        <f>R541</f>
        <v>No</v>
      </c>
      <c r="W544" t="str">
        <f>S541</f>
        <v>No</v>
      </c>
      <c r="X544" t="str">
        <f t="shared" si="246"/>
        <v>Yes</v>
      </c>
    </row>
    <row r="545" spans="1:32" x14ac:dyDescent="0.2">
      <c r="F545" s="2"/>
      <c r="J545" s="2" t="s">
        <v>25</v>
      </c>
      <c r="K545">
        <v>2.5</v>
      </c>
      <c r="L545" t="s">
        <v>12</v>
      </c>
      <c r="M545" t="s">
        <v>126</v>
      </c>
      <c r="N545" t="str">
        <f>IF(K545="N/A","No", IF(K545&gt;20,"Yes","No"))</f>
        <v>No</v>
      </c>
      <c r="O545" t="str">
        <f t="shared" ref="O545:O546" si="248">IF(K545="Not","No",IF(K545="n/a","N/A",IF(K545&gt;$Y$6,"Yes","No")))</f>
        <v>No</v>
      </c>
      <c r="U545" t="s">
        <v>101</v>
      </c>
      <c r="V545" t="s">
        <v>120</v>
      </c>
      <c r="W545" t="s">
        <v>9</v>
      </c>
      <c r="X545" t="str">
        <f>IF(V545="N/A","N/A",IF(W545="N/A", "N/A", IF(V545=W545, "Yes","No")))</f>
        <v>N/A</v>
      </c>
    </row>
    <row r="546" spans="1:32" x14ac:dyDescent="0.2">
      <c r="F546" s="2"/>
      <c r="J546" s="2" t="s">
        <v>29</v>
      </c>
      <c r="K546">
        <v>18</v>
      </c>
      <c r="L546" t="s">
        <v>12</v>
      </c>
      <c r="M546" t="s">
        <v>222</v>
      </c>
      <c r="N546" t="str">
        <f>IF(K546="N/A","No", IF(K546&gt;20,"Yes","No"))</f>
        <v>No</v>
      </c>
      <c r="O546" t="str">
        <f t="shared" si="248"/>
        <v>No</v>
      </c>
      <c r="U546" t="s">
        <v>104</v>
      </c>
      <c r="V546" t="s">
        <v>9</v>
      </c>
      <c r="W546" t="str">
        <f>O547</f>
        <v>No</v>
      </c>
      <c r="X546" t="str">
        <f>IF(V546="N/A","N/A",IF(W546="N/A", "N/A", IF(V546=W546, "Yes","No")))</f>
        <v>Yes</v>
      </c>
    </row>
    <row r="547" spans="1:32" x14ac:dyDescent="0.2">
      <c r="F547" s="2"/>
      <c r="J547" s="2" t="s">
        <v>34</v>
      </c>
      <c r="K547">
        <v>2.5</v>
      </c>
      <c r="L547" t="s">
        <v>12</v>
      </c>
      <c r="M547" t="s">
        <v>210</v>
      </c>
      <c r="N547" t="str">
        <f>IF(K547="N/A","No", IF(K547&gt;230,"Yes","No"))</f>
        <v>No</v>
      </c>
      <c r="O547" t="str">
        <f>IF(K547="Not","No",IF(K547="n/a","N/A",IF(K547&gt;$Y$5,"Yes","No")))</f>
        <v>No</v>
      </c>
      <c r="U547" t="s">
        <v>106</v>
      </c>
      <c r="V547" t="str">
        <f>R542</f>
        <v>No</v>
      </c>
      <c r="W547" t="str">
        <f>S542</f>
        <v>No</v>
      </c>
      <c r="X547" t="str">
        <f>IF(V547="N/A","N/A",IF(W547="N/A", "N/A", IF(V547=W547, "Yes","No")))</f>
        <v>Yes</v>
      </c>
    </row>
    <row r="548" spans="1:32" x14ac:dyDescent="0.2">
      <c r="F548" s="2"/>
      <c r="J548" s="2" t="s">
        <v>208</v>
      </c>
      <c r="K548">
        <v>2.5</v>
      </c>
      <c r="L548" t="s">
        <v>12</v>
      </c>
      <c r="M548" t="s">
        <v>223</v>
      </c>
      <c r="N548" t="str">
        <f>IF(K548="N/A","No", IF(K548&gt;20,"Yes","No"))</f>
        <v>No</v>
      </c>
      <c r="O548" t="str">
        <f>IF(K548="Not","No",IF(K548="n/a","N/A",IF(K548&gt;$Y$7,"Yes","No")))</f>
        <v>No</v>
      </c>
      <c r="U548" t="s">
        <v>121</v>
      </c>
      <c r="V548" t="str">
        <f>R543</f>
        <v>No</v>
      </c>
      <c r="W548" t="str">
        <f>S543</f>
        <v>No</v>
      </c>
      <c r="X548" t="str">
        <f>IF(V548="N/A","N/A",IF(W548="N/A", "N/A", IF(V548=W548, "Yes","No")))</f>
        <v>Yes</v>
      </c>
    </row>
    <row r="550" spans="1:32" x14ac:dyDescent="0.2">
      <c r="A550" s="1">
        <f>VLOOKUP(C550,'Grid - LRA Samples'!$A$2:$B$108, 2,FALSE)</f>
        <v>1244</v>
      </c>
      <c r="B550" t="s">
        <v>111</v>
      </c>
      <c r="C550">
        <v>50</v>
      </c>
    </row>
    <row r="551" spans="1:32" x14ac:dyDescent="0.2">
      <c r="A551" s="5" t="s">
        <v>0</v>
      </c>
      <c r="E551" s="2" t="s">
        <v>274</v>
      </c>
      <c r="F551" s="2" t="s">
        <v>275</v>
      </c>
      <c r="G551" t="s">
        <v>119</v>
      </c>
      <c r="J551" s="5" t="s">
        <v>1</v>
      </c>
      <c r="N551" s="2" t="s">
        <v>277</v>
      </c>
      <c r="O551" t="s">
        <v>278</v>
      </c>
      <c r="Q551" s="5" t="s">
        <v>115</v>
      </c>
      <c r="R551" s="5" t="s">
        <v>0</v>
      </c>
      <c r="S551" s="5" t="s">
        <v>1</v>
      </c>
      <c r="U551" s="5" t="s">
        <v>115</v>
      </c>
      <c r="V551" s="5" t="s">
        <v>0</v>
      </c>
      <c r="W551" s="5" t="s">
        <v>1</v>
      </c>
      <c r="X551" s="5" t="s">
        <v>122</v>
      </c>
      <c r="AA551" t="str">
        <f>IF(R552="Yes","LRA-Soil","")</f>
        <v/>
      </c>
      <c r="AB551" t="str">
        <f>IF(R553="Yes","LRA-Paint","")</f>
        <v/>
      </c>
      <c r="AC551" t="str">
        <f>IF(R554="Yes","LRA-Dust","")</f>
        <v/>
      </c>
      <c r="AD551" t="str">
        <f>IF(S552="Yes","LSK-Soil","")</f>
        <v/>
      </c>
      <c r="AE551" t="str">
        <f>IF(S553="Yes","LSK-Paint","")</f>
        <v>LSK-Paint</v>
      </c>
      <c r="AF551" t="str">
        <f>IF(S554="Yes","LSK-Dust","")</f>
        <v/>
      </c>
    </row>
    <row r="552" spans="1:32" x14ac:dyDescent="0.2">
      <c r="A552" t="s">
        <v>63</v>
      </c>
      <c r="B552" t="s">
        <v>10</v>
      </c>
      <c r="C552">
        <v>0.6</v>
      </c>
      <c r="D552" t="s">
        <v>4</v>
      </c>
      <c r="F552" s="2" t="str">
        <f t="shared" ref="F552" si="249">IF(C552&gt;=$W$2,"Yes","No")</f>
        <v>No</v>
      </c>
      <c r="G552" t="s">
        <v>9</v>
      </c>
      <c r="H552" t="s">
        <v>46</v>
      </c>
      <c r="J552" s="2" t="s">
        <v>6</v>
      </c>
      <c r="K552">
        <v>34.200000000000003</v>
      </c>
      <c r="L552" t="s">
        <v>12</v>
      </c>
      <c r="M552" t="s">
        <v>114</v>
      </c>
      <c r="N552" t="str">
        <f>IF(K552="N/A","No", IF(K552&gt;1200,"Yes","No"))</f>
        <v>No</v>
      </c>
      <c r="O552" t="str">
        <f>IF(K552="Not","No",IF(K552="n/a","N/A",IF(K552&gt;=$Y$3,"Yes","No")))</f>
        <v>No</v>
      </c>
      <c r="Q552" s="2" t="s">
        <v>116</v>
      </c>
      <c r="R552" t="str">
        <f>_xlfn.XLOOKUP("ppm",D552:D556,F552:F556,"N/A")</f>
        <v>No</v>
      </c>
      <c r="S552" t="str">
        <f>IF(COUNTIF(O552:O554,"Yes"),"Yes","No")</f>
        <v>No</v>
      </c>
      <c r="U552" t="s">
        <v>92</v>
      </c>
      <c r="W552" t="s">
        <v>120</v>
      </c>
      <c r="X552" t="str">
        <f>IF(V552="N/A","N/A",IF(W552="N/A", "N/A", IF(V552=W552, "Yes","No")))</f>
        <v>N/A</v>
      </c>
    </row>
    <row r="553" spans="1:32" x14ac:dyDescent="0.2">
      <c r="A553" t="s">
        <v>161</v>
      </c>
      <c r="B553" t="s">
        <v>28</v>
      </c>
      <c r="C553" s="26" t="s">
        <v>328</v>
      </c>
      <c r="D553" t="s">
        <v>12</v>
      </c>
      <c r="F553" s="29" t="s">
        <v>9</v>
      </c>
      <c r="G553" t="s">
        <v>9</v>
      </c>
      <c r="J553" s="2" t="s">
        <v>11</v>
      </c>
      <c r="K553">
        <v>27.4</v>
      </c>
      <c r="L553" t="s">
        <v>12</v>
      </c>
      <c r="M553" t="s">
        <v>67</v>
      </c>
      <c r="N553" t="str">
        <f t="shared" ref="N553:N554" si="250">IF(K553="N/A","No", IF(K553&gt;1200,"Yes","No"))</f>
        <v>No</v>
      </c>
      <c r="O553" t="str">
        <f t="shared" ref="O553:O554" si="251">IF(K553="Not","No",IF(K553="n/a","N/A",IF(K553&gt;$Y$3,"Yes","No")))</f>
        <v>No</v>
      </c>
      <c r="Q553" s="2" t="s">
        <v>98</v>
      </c>
      <c r="R553" t="str">
        <f>_xlfn.XLOOKUP("mg/cm2",D552:D556,G552:G556,"N/A",1,-1)</f>
        <v>No</v>
      </c>
      <c r="S553" t="str">
        <f>IF(COUNTIF(O555:O556,"Yes"),"Yes","No")</f>
        <v>Yes</v>
      </c>
      <c r="U553" t="s">
        <v>95</v>
      </c>
      <c r="V553" t="str">
        <f>R552</f>
        <v>No</v>
      </c>
      <c r="W553" t="str">
        <f>S552</f>
        <v>No</v>
      </c>
      <c r="X553" t="str">
        <f t="shared" ref="X553:X556" si="252">IF(V553="N/A","N/A",IF(W553="N/A", "N/A", IF(V553=W553, "Yes","No")))</f>
        <v>Yes</v>
      </c>
    </row>
    <row r="554" spans="1:32" x14ac:dyDescent="0.2">
      <c r="A554" t="s">
        <v>71</v>
      </c>
      <c r="B554" t="s">
        <v>40</v>
      </c>
      <c r="C554">
        <v>0.4</v>
      </c>
      <c r="D554" t="s">
        <v>4</v>
      </c>
      <c r="F554" s="2" t="str">
        <f t="shared" ref="F554" si="253">IF(C554&gt;=$W$2,"Yes","No")</f>
        <v>No</v>
      </c>
      <c r="G554" t="s">
        <v>9</v>
      </c>
      <c r="H554" t="s">
        <v>43</v>
      </c>
      <c r="J554" s="2" t="s">
        <v>15</v>
      </c>
      <c r="K554">
        <v>59.7</v>
      </c>
      <c r="L554" t="s">
        <v>12</v>
      </c>
      <c r="M554" t="s">
        <v>112</v>
      </c>
      <c r="N554" t="str">
        <f t="shared" si="250"/>
        <v>No</v>
      </c>
      <c r="O554" t="str">
        <f t="shared" si="251"/>
        <v>No</v>
      </c>
      <c r="Q554" s="2" t="s">
        <v>117</v>
      </c>
      <c r="R554" t="str">
        <f>_xlfn.XLOOKUP("ug/ft2",D552:D556,F552:F556,"N/A")</f>
        <v>No</v>
      </c>
      <c r="S554" t="str">
        <f>IF(COUNTIF(O557:O560,"Yes"),"Yes","No")</f>
        <v>No</v>
      </c>
      <c r="U554" t="s">
        <v>163</v>
      </c>
      <c r="V554" t="s">
        <v>9</v>
      </c>
      <c r="W554" t="str">
        <f>O556</f>
        <v>No</v>
      </c>
      <c r="X554" t="str">
        <f t="shared" si="252"/>
        <v>Yes</v>
      </c>
    </row>
    <row r="555" spans="1:32" x14ac:dyDescent="0.2">
      <c r="A555" t="s">
        <v>109</v>
      </c>
      <c r="B555" t="s">
        <v>32</v>
      </c>
      <c r="C555">
        <v>3</v>
      </c>
      <c r="D555" t="s">
        <v>33</v>
      </c>
      <c r="F555" s="2" t="str">
        <f>IF(C555&gt;$W$5,"Yes","No")</f>
        <v>No</v>
      </c>
      <c r="G555" t="s">
        <v>9</v>
      </c>
      <c r="J555" s="2" t="s">
        <v>19</v>
      </c>
      <c r="K555">
        <v>7346</v>
      </c>
      <c r="L555" t="s">
        <v>12</v>
      </c>
      <c r="M555" t="s">
        <v>46</v>
      </c>
      <c r="N555" t="str">
        <f>IF(K555="N/A","No", IF(K555&gt;5000,"Yes","No"))</f>
        <v>Yes</v>
      </c>
      <c r="O555" t="str">
        <f>IF(K555="Not","No",IF(K555="n/a","N/A",IF(K555&gt;$Y$2,"Yes","No")))</f>
        <v>Yes</v>
      </c>
      <c r="Q555" s="2" t="s">
        <v>118</v>
      </c>
      <c r="R555" t="str">
        <f>IF(COUNTIF(R552:R554,"Yes"),"Yes","No")</f>
        <v>No</v>
      </c>
      <c r="S555" t="str">
        <f>IF(COUNTIF(S552:S554,"Yes"),"Yes","No")</f>
        <v>Yes</v>
      </c>
      <c r="U555" t="s">
        <v>164</v>
      </c>
      <c r="V555" t="s">
        <v>9</v>
      </c>
      <c r="W555" t="str">
        <f>O555</f>
        <v>Yes</v>
      </c>
      <c r="X555" t="str">
        <f t="shared" si="252"/>
        <v>No</v>
      </c>
    </row>
    <row r="556" spans="1:32" x14ac:dyDescent="0.2">
      <c r="A556" t="s">
        <v>109</v>
      </c>
      <c r="B556" t="s">
        <v>54</v>
      </c>
      <c r="C556">
        <v>10</v>
      </c>
      <c r="D556" t="s">
        <v>33</v>
      </c>
      <c r="F556" s="2" t="str">
        <f>IF(C556&gt;$W$5,"Yes","No")</f>
        <v>No</v>
      </c>
      <c r="G556" t="s">
        <v>9</v>
      </c>
      <c r="J556" s="2" t="s">
        <v>22</v>
      </c>
      <c r="K556">
        <v>2.5</v>
      </c>
      <c r="L556" t="s">
        <v>12</v>
      </c>
      <c r="M556" t="s">
        <v>43</v>
      </c>
      <c r="N556" t="str">
        <f>IF(K556="N/A","No", IF(K556&gt;5000,"Yes","No"))</f>
        <v>No</v>
      </c>
      <c r="O556" t="str">
        <f>IF(K556="Not","No",IF(K556="n/a","N/A",IF(K556&gt;$Y$2,"Yes","No")))</f>
        <v>No</v>
      </c>
      <c r="U556" t="s">
        <v>162</v>
      </c>
      <c r="V556" t="str">
        <f>R553</f>
        <v>No</v>
      </c>
      <c r="W556" t="str">
        <f>S553</f>
        <v>Yes</v>
      </c>
      <c r="X556" t="str">
        <f t="shared" si="252"/>
        <v>No</v>
      </c>
    </row>
    <row r="557" spans="1:32" x14ac:dyDescent="0.2">
      <c r="F557" s="2"/>
      <c r="J557" s="2" t="s">
        <v>25</v>
      </c>
      <c r="K557">
        <v>2.5</v>
      </c>
      <c r="L557" t="s">
        <v>12</v>
      </c>
      <c r="M557" t="s">
        <v>126</v>
      </c>
      <c r="N557" t="str">
        <f>IF(K557="N/A","No", IF(K557&gt;20,"Yes","No"))</f>
        <v>No</v>
      </c>
      <c r="O557" t="str">
        <f t="shared" ref="O557:O558" si="254">IF(K557="Not","No",IF(K557="n/a","N/A",IF(K557&gt;$Y$6,"Yes","No")))</f>
        <v>No</v>
      </c>
      <c r="U557" t="s">
        <v>101</v>
      </c>
      <c r="V557" t="s">
        <v>9</v>
      </c>
      <c r="W557" t="s">
        <v>9</v>
      </c>
      <c r="X557" t="str">
        <f>IF(V557="N/A","N/A",IF(W557="N/A", "N/A", IF(V557=W557, "Yes","No")))</f>
        <v>Yes</v>
      </c>
    </row>
    <row r="558" spans="1:32" x14ac:dyDescent="0.2">
      <c r="F558" s="2"/>
      <c r="J558" s="2" t="s">
        <v>29</v>
      </c>
      <c r="K558" t="s">
        <v>120</v>
      </c>
      <c r="L558" t="s">
        <v>12</v>
      </c>
      <c r="M558" t="s">
        <v>222</v>
      </c>
      <c r="N558" t="str">
        <f>IF(K558="N/A","No", IF(K558&gt;20,"Yes","No"))</f>
        <v>No</v>
      </c>
      <c r="O558" t="str">
        <f t="shared" si="254"/>
        <v>N/A</v>
      </c>
      <c r="U558" t="s">
        <v>104</v>
      </c>
      <c r="V558" t="s">
        <v>9</v>
      </c>
      <c r="W558" t="str">
        <f>O559</f>
        <v>No</v>
      </c>
      <c r="X558" t="str">
        <f>IF(V558="N/A","N/A",IF(W558="N/A", "N/A", IF(V558=W558, "Yes","No")))</f>
        <v>Yes</v>
      </c>
    </row>
    <row r="559" spans="1:32" x14ac:dyDescent="0.2">
      <c r="F559" s="2"/>
      <c r="J559" s="2" t="s">
        <v>34</v>
      </c>
      <c r="K559">
        <v>2.5</v>
      </c>
      <c r="L559" t="s">
        <v>12</v>
      </c>
      <c r="M559" t="s">
        <v>210</v>
      </c>
      <c r="N559" t="str">
        <f>IF(K559="N/A","No", IF(K559&gt;230,"Yes","No"))</f>
        <v>No</v>
      </c>
      <c r="O559" t="str">
        <f>IF(K559="Not","No",IF(K559="n/a","N/A",IF(K559&gt;$Y$5,"Yes","No")))</f>
        <v>No</v>
      </c>
      <c r="U559" t="s">
        <v>106</v>
      </c>
      <c r="V559" t="str">
        <f>R554</f>
        <v>No</v>
      </c>
      <c r="W559" t="str">
        <f>S554</f>
        <v>No</v>
      </c>
      <c r="X559" t="str">
        <f>IF(V559="N/A","N/A",IF(W559="N/A", "N/A", IF(V559=W559, "Yes","No")))</f>
        <v>Yes</v>
      </c>
    </row>
    <row r="560" spans="1:32" x14ac:dyDescent="0.2">
      <c r="F560" s="2"/>
      <c r="J560" s="2" t="s">
        <v>208</v>
      </c>
      <c r="K560">
        <v>29.1</v>
      </c>
      <c r="L560" t="s">
        <v>12</v>
      </c>
      <c r="M560" t="s">
        <v>223</v>
      </c>
      <c r="N560" t="str">
        <f>IF(K560="N/A","No", IF(K560&gt;20,"Yes","No"))</f>
        <v>Yes</v>
      </c>
      <c r="O560" t="str">
        <f>IF(K560="Not","No",IF(K560="n/a","N/A",IF(K560&gt;$Y$7,"Yes","No")))</f>
        <v>No</v>
      </c>
      <c r="U560" t="s">
        <v>121</v>
      </c>
      <c r="V560" t="str">
        <f>R555</f>
        <v>No</v>
      </c>
      <c r="W560" t="str">
        <f>S555</f>
        <v>Yes</v>
      </c>
      <c r="X560" t="str">
        <f>IF(V560="N/A","N/A",IF(W560="N/A", "N/A", IF(V560=W560, "Yes","No")))</f>
        <v>No</v>
      </c>
    </row>
    <row r="562" spans="1:32" x14ac:dyDescent="0.2">
      <c r="A562" s="1">
        <f>VLOOKUP(C562,'Grid - LRA Samples'!$A$2:$B$108, 2,FALSE)</f>
        <v>1245</v>
      </c>
      <c r="B562" t="s">
        <v>111</v>
      </c>
      <c r="C562">
        <v>51</v>
      </c>
    </row>
    <row r="563" spans="1:32" x14ac:dyDescent="0.2">
      <c r="A563" s="5" t="s">
        <v>0</v>
      </c>
      <c r="E563" s="2" t="s">
        <v>274</v>
      </c>
      <c r="F563" s="2" t="s">
        <v>275</v>
      </c>
      <c r="G563" t="s">
        <v>119</v>
      </c>
      <c r="J563" s="5" t="s">
        <v>1</v>
      </c>
      <c r="N563" s="2" t="s">
        <v>277</v>
      </c>
      <c r="O563" t="s">
        <v>278</v>
      </c>
      <c r="Q563" s="5" t="s">
        <v>115</v>
      </c>
      <c r="R563" s="5" t="s">
        <v>0</v>
      </c>
      <c r="S563" s="5" t="s">
        <v>1</v>
      </c>
      <c r="U563" s="5" t="s">
        <v>115</v>
      </c>
      <c r="V563" s="5" t="s">
        <v>0</v>
      </c>
      <c r="W563" s="5" t="s">
        <v>1</v>
      </c>
      <c r="X563" s="5" t="s">
        <v>122</v>
      </c>
      <c r="AA563" t="str">
        <f>IF(R564="Yes","LRA-Soil","")</f>
        <v>LRA-Soil</v>
      </c>
      <c r="AB563" t="str">
        <f>IF(R565="Yes","LRA-Paint","")</f>
        <v/>
      </c>
      <c r="AC563" t="str">
        <f>IF(R566="Yes","LRA-Dust","")</f>
        <v/>
      </c>
      <c r="AD563" t="str">
        <f>IF(S564="Yes","LSK-Soil","")</f>
        <v>LSK-Soil</v>
      </c>
      <c r="AE563" t="str">
        <f>IF(S565="Yes","LSK-Paint","")</f>
        <v/>
      </c>
      <c r="AF563" t="str">
        <f>IF(S566="Yes","LSK-Dust","")</f>
        <v/>
      </c>
    </row>
    <row r="564" spans="1:32" x14ac:dyDescent="0.2">
      <c r="A564" t="s">
        <v>63</v>
      </c>
      <c r="B564" t="s">
        <v>18</v>
      </c>
      <c r="C564">
        <v>0</v>
      </c>
      <c r="D564" t="s">
        <v>4</v>
      </c>
      <c r="F564" s="2" t="str">
        <f t="shared" ref="F564" si="255">IF(C564&gt;=$W$2,"Yes","No")</f>
        <v>No</v>
      </c>
      <c r="G564" t="s">
        <v>9</v>
      </c>
      <c r="H564" t="s">
        <v>46</v>
      </c>
      <c r="J564" s="2" t="s">
        <v>6</v>
      </c>
      <c r="K564">
        <v>87</v>
      </c>
      <c r="L564" t="s">
        <v>12</v>
      </c>
      <c r="M564" t="s">
        <v>114</v>
      </c>
      <c r="N564" t="str">
        <f>IF(K564="N/A","No", IF(K564&gt;1200,"Yes","No"))</f>
        <v>No</v>
      </c>
      <c r="O564" t="str">
        <f>IF(K564="Not","No",IF(K564="n/a","N/A",IF(K564&gt;=$Y$3,"Yes","No")))</f>
        <v>No</v>
      </c>
      <c r="Q564" s="2" t="s">
        <v>116</v>
      </c>
      <c r="R564" t="str">
        <f>_xlfn.XLOOKUP("ppm",D564:D568,F564:F568,"N/A")</f>
        <v>Yes</v>
      </c>
      <c r="S564" t="str">
        <f>IF(COUNTIF(O564:O566,"Yes"),"Yes","No")</f>
        <v>Yes</v>
      </c>
      <c r="U564" t="s">
        <v>92</v>
      </c>
      <c r="V564" t="s">
        <v>5</v>
      </c>
      <c r="W564" t="s">
        <v>120</v>
      </c>
      <c r="X564" t="str">
        <f>IF(V564="N/A","N/A",IF(W564="N/A", "N/A", IF(V564=W564, "Yes","No")))</f>
        <v>N/A</v>
      </c>
    </row>
    <row r="565" spans="1:32" x14ac:dyDescent="0.2">
      <c r="A565" t="s">
        <v>317</v>
      </c>
      <c r="B565" t="s">
        <v>28</v>
      </c>
      <c r="C565">
        <v>422</v>
      </c>
      <c r="D565" t="s">
        <v>12</v>
      </c>
      <c r="F565" s="2" t="str">
        <f>IF(C565&gt;$W$3,"Yes","No")</f>
        <v>Yes</v>
      </c>
      <c r="G565" t="s">
        <v>5</v>
      </c>
      <c r="J565" s="2" t="s">
        <v>11</v>
      </c>
      <c r="K565">
        <v>599</v>
      </c>
      <c r="L565" t="s">
        <v>12</v>
      </c>
      <c r="M565" t="s">
        <v>67</v>
      </c>
      <c r="N565" t="str">
        <f t="shared" ref="N565:N566" si="256">IF(K565="N/A","No", IF(K565&gt;1200,"Yes","No"))</f>
        <v>No</v>
      </c>
      <c r="O565" t="str">
        <f t="shared" ref="O565:O566" si="257">IF(K565="Not","No",IF(K565="n/a","N/A",IF(K565&gt;$Y$3,"Yes","No")))</f>
        <v>Yes</v>
      </c>
      <c r="Q565" s="2" t="s">
        <v>98</v>
      </c>
      <c r="R565" t="str">
        <f>_xlfn.XLOOKUP("mg/cm2",D564:D568,G564:G568,"N/A",1,-1)</f>
        <v>No</v>
      </c>
      <c r="S565" t="str">
        <f>IF(COUNTIF(O567:O568,"Yes"),"Yes","No")</f>
        <v>No</v>
      </c>
      <c r="U565" t="s">
        <v>95</v>
      </c>
      <c r="V565" t="str">
        <f>R564</f>
        <v>Yes</v>
      </c>
      <c r="W565" t="str">
        <f>S564</f>
        <v>Yes</v>
      </c>
      <c r="X565" t="str">
        <f t="shared" ref="X565:X568" si="258">IF(V565="N/A","N/A",IF(W565="N/A", "N/A", IF(V565=W565, "Yes","No")))</f>
        <v>Yes</v>
      </c>
    </row>
    <row r="566" spans="1:32" x14ac:dyDescent="0.2">
      <c r="A566" t="s">
        <v>71</v>
      </c>
      <c r="B566" t="s">
        <v>77</v>
      </c>
      <c r="C566">
        <v>0</v>
      </c>
      <c r="D566" t="s">
        <v>4</v>
      </c>
      <c r="F566" s="2" t="str">
        <f t="shared" ref="F566" si="259">IF(C566&gt;=$W$2,"Yes","No")</f>
        <v>No</v>
      </c>
      <c r="G566" t="s">
        <v>9</v>
      </c>
      <c r="H566" t="s">
        <v>43</v>
      </c>
      <c r="J566" s="2" t="s">
        <v>15</v>
      </c>
      <c r="K566">
        <v>50.8</v>
      </c>
      <c r="L566" t="s">
        <v>12</v>
      </c>
      <c r="M566" t="s">
        <v>112</v>
      </c>
      <c r="N566" t="str">
        <f t="shared" si="256"/>
        <v>No</v>
      </c>
      <c r="O566" t="str">
        <f t="shared" si="257"/>
        <v>No</v>
      </c>
      <c r="Q566" s="2" t="s">
        <v>117</v>
      </c>
      <c r="R566" t="str">
        <f>_xlfn.XLOOKUP("ug/ft2",D564:D568,F564:F568,"N/A")</f>
        <v>No</v>
      </c>
      <c r="S566" t="str">
        <f>IF(COUNTIF(O569:O572,"Yes"),"Yes","No")</f>
        <v>No</v>
      </c>
      <c r="U566" t="s">
        <v>163</v>
      </c>
      <c r="V566" t="s">
        <v>9</v>
      </c>
      <c r="W566" t="str">
        <f>O568</f>
        <v>No</v>
      </c>
      <c r="X566" t="str">
        <f t="shared" si="258"/>
        <v>Yes</v>
      </c>
    </row>
    <row r="567" spans="1:32" x14ac:dyDescent="0.2">
      <c r="A567" t="s">
        <v>158</v>
      </c>
      <c r="B567" t="s">
        <v>32</v>
      </c>
      <c r="C567">
        <v>3</v>
      </c>
      <c r="D567" t="s">
        <v>33</v>
      </c>
      <c r="F567" s="2" t="str">
        <f t="shared" ref="F567" si="260">IF(C567&gt;$W$6,"Yes","No")</f>
        <v>No</v>
      </c>
      <c r="G567" t="s">
        <v>9</v>
      </c>
      <c r="J567" s="2" t="s">
        <v>19</v>
      </c>
      <c r="K567">
        <v>2.5</v>
      </c>
      <c r="L567" t="s">
        <v>12</v>
      </c>
      <c r="M567" t="s">
        <v>46</v>
      </c>
      <c r="N567" t="str">
        <f>IF(K567="N/A","No", IF(K567&gt;5000,"Yes","No"))</f>
        <v>No</v>
      </c>
      <c r="O567" t="str">
        <f>IF(K567="Not","No",IF(K567="n/a","N/A",IF(K567&gt;$Y$2,"Yes","No")))</f>
        <v>No</v>
      </c>
      <c r="Q567" s="2" t="s">
        <v>118</v>
      </c>
      <c r="R567" t="str">
        <f>IF(COUNTIF(R564:R566,"Yes"),"Yes","No")</f>
        <v>Yes</v>
      </c>
      <c r="S567" t="str">
        <f>IF(COUNTIF(S564:S566,"Yes"),"Yes","No")</f>
        <v>Yes</v>
      </c>
      <c r="U567" t="s">
        <v>164</v>
      </c>
      <c r="V567" t="s">
        <v>9</v>
      </c>
      <c r="W567" t="str">
        <f>O567</f>
        <v>No</v>
      </c>
      <c r="X567" t="str">
        <f t="shared" si="258"/>
        <v>Yes</v>
      </c>
    </row>
    <row r="568" spans="1:32" x14ac:dyDescent="0.2">
      <c r="A568" t="s">
        <v>158</v>
      </c>
      <c r="B568" t="s">
        <v>54</v>
      </c>
      <c r="C568">
        <v>11</v>
      </c>
      <c r="D568" t="s">
        <v>33</v>
      </c>
      <c r="F568" s="2" t="str">
        <f>IF(C568&gt;$W$5,"Yes","No")</f>
        <v>No</v>
      </c>
      <c r="G568" t="s">
        <v>9</v>
      </c>
      <c r="J568" s="2" t="s">
        <v>22</v>
      </c>
      <c r="K568">
        <v>2.5</v>
      </c>
      <c r="L568" t="s">
        <v>12</v>
      </c>
      <c r="M568" t="s">
        <v>43</v>
      </c>
      <c r="N568" t="str">
        <f>IF(K568="N/A","No", IF(K568&gt;5000,"Yes","No"))</f>
        <v>No</v>
      </c>
      <c r="O568" t="str">
        <f>IF(K568="Not","No",IF(K568="n/a","N/A",IF(K568&gt;$Y$2,"Yes","No")))</f>
        <v>No</v>
      </c>
      <c r="U568" t="s">
        <v>162</v>
      </c>
      <c r="V568" t="str">
        <f>R565</f>
        <v>No</v>
      </c>
      <c r="W568" t="str">
        <f>S565</f>
        <v>No</v>
      </c>
      <c r="X568" t="str">
        <f t="shared" si="258"/>
        <v>Yes</v>
      </c>
    </row>
    <row r="569" spans="1:32" x14ac:dyDescent="0.2">
      <c r="F569" s="2"/>
      <c r="J569" s="2" t="s">
        <v>25</v>
      </c>
      <c r="K569">
        <v>8</v>
      </c>
      <c r="L569" t="s">
        <v>12</v>
      </c>
      <c r="M569" t="s">
        <v>126</v>
      </c>
      <c r="N569" t="str">
        <f>IF(K569="N/A","No", IF(K569&gt;20,"Yes","No"))</f>
        <v>No</v>
      </c>
      <c r="O569" t="str">
        <f t="shared" ref="O569:O570" si="261">IF(K569="Not","No",IF(K569="n/a","N/A",IF(K569&gt;$Y$6,"Yes","No")))</f>
        <v>No</v>
      </c>
      <c r="U569" t="s">
        <v>101</v>
      </c>
      <c r="V569" t="s">
        <v>9</v>
      </c>
      <c r="W569" t="s">
        <v>9</v>
      </c>
      <c r="X569" t="str">
        <f>IF(V569="N/A","N/A",IF(W569="N/A", "N/A", IF(V569=W569, "Yes","No")))</f>
        <v>Yes</v>
      </c>
    </row>
    <row r="570" spans="1:32" x14ac:dyDescent="0.2">
      <c r="F570" s="2"/>
      <c r="J570" s="2" t="s">
        <v>29</v>
      </c>
      <c r="K570">
        <v>2.5</v>
      </c>
      <c r="L570" t="s">
        <v>12</v>
      </c>
      <c r="M570" t="s">
        <v>222</v>
      </c>
      <c r="N570" t="str">
        <f>IF(K570="N/A","No", IF(K570&gt;20,"Yes","No"))</f>
        <v>No</v>
      </c>
      <c r="O570" t="str">
        <f t="shared" si="261"/>
        <v>No</v>
      </c>
      <c r="U570" t="s">
        <v>104</v>
      </c>
      <c r="V570" t="s">
        <v>9</v>
      </c>
      <c r="W570" t="str">
        <f>O571</f>
        <v>No</v>
      </c>
      <c r="X570" t="str">
        <f>IF(V570="N/A","N/A",IF(W570="N/A", "N/A", IF(V570=W570, "Yes","No")))</f>
        <v>Yes</v>
      </c>
    </row>
    <row r="571" spans="1:32" x14ac:dyDescent="0.2">
      <c r="F571" s="2"/>
      <c r="J571" s="2" t="s">
        <v>34</v>
      </c>
      <c r="K571">
        <v>2.5</v>
      </c>
      <c r="L571" t="s">
        <v>12</v>
      </c>
      <c r="M571" t="s">
        <v>210</v>
      </c>
      <c r="N571" t="str">
        <f>IF(K571="N/A","No", IF(K571&gt;230,"Yes","No"))</f>
        <v>No</v>
      </c>
      <c r="O571" t="str">
        <f>IF(K571="Not","No",IF(K571="n/a","N/A",IF(K571&gt;$Y$5,"Yes","No")))</f>
        <v>No</v>
      </c>
      <c r="U571" t="s">
        <v>106</v>
      </c>
      <c r="V571" t="str">
        <f>R566</f>
        <v>No</v>
      </c>
      <c r="W571" t="str">
        <f>S566</f>
        <v>No</v>
      </c>
      <c r="X571" t="str">
        <f>IF(V571="N/A","N/A",IF(W571="N/A", "N/A", IF(V571=W571, "Yes","No")))</f>
        <v>Yes</v>
      </c>
    </row>
    <row r="572" spans="1:32" x14ac:dyDescent="0.2">
      <c r="F572" s="2"/>
      <c r="J572" s="2" t="s">
        <v>208</v>
      </c>
      <c r="K572">
        <v>74</v>
      </c>
      <c r="L572" t="s">
        <v>12</v>
      </c>
      <c r="M572" t="s">
        <v>223</v>
      </c>
      <c r="N572" t="str">
        <f>IF(K572="N/A","No", IF(K572&gt;20,"Yes","No"))</f>
        <v>Yes</v>
      </c>
      <c r="O572" t="str">
        <f>IF(K572="Not","No",IF(K572="n/a","N/A",IF(K572&gt;$Y$7,"Yes","No")))</f>
        <v>No</v>
      </c>
      <c r="U572" t="s">
        <v>121</v>
      </c>
      <c r="V572" t="str">
        <f>R567</f>
        <v>Yes</v>
      </c>
      <c r="W572" t="str">
        <f>S567</f>
        <v>Yes</v>
      </c>
      <c r="X572" t="str">
        <f>IF(V572="N/A","N/A",IF(W572="N/A", "N/A", IF(V572=W572, "Yes","No")))</f>
        <v>Yes</v>
      </c>
    </row>
    <row r="574" spans="1:32" x14ac:dyDescent="0.2">
      <c r="A574" s="1">
        <f>VLOOKUP(C574,'Grid - LRA Samples'!$A$2:$B$108, 2,FALSE)</f>
        <v>1246</v>
      </c>
      <c r="B574" t="s">
        <v>111</v>
      </c>
      <c r="C574">
        <v>52</v>
      </c>
    </row>
    <row r="575" spans="1:32" x14ac:dyDescent="0.2">
      <c r="A575" s="5" t="s">
        <v>0</v>
      </c>
      <c r="E575" s="2" t="s">
        <v>274</v>
      </c>
      <c r="F575" s="2" t="s">
        <v>275</v>
      </c>
      <c r="G575" t="s">
        <v>119</v>
      </c>
      <c r="J575" s="5" t="s">
        <v>1</v>
      </c>
      <c r="N575" s="2" t="s">
        <v>277</v>
      </c>
      <c r="O575" t="s">
        <v>278</v>
      </c>
      <c r="Q575" s="5" t="s">
        <v>115</v>
      </c>
      <c r="R575" s="5" t="s">
        <v>0</v>
      </c>
      <c r="S575" s="5" t="s">
        <v>1</v>
      </c>
      <c r="U575" s="5" t="s">
        <v>115</v>
      </c>
      <c r="V575" s="5" t="s">
        <v>0</v>
      </c>
      <c r="W575" s="5" t="s">
        <v>1</v>
      </c>
      <c r="X575" s="5" t="s">
        <v>122</v>
      </c>
      <c r="AA575" t="str">
        <f>IF(R576="Yes","LRA-Soil","")</f>
        <v/>
      </c>
      <c r="AB575" t="str">
        <f>IF(R577="Yes","LRA-Paint","")</f>
        <v>LRA-Paint</v>
      </c>
      <c r="AC575" t="str">
        <f>IF(R578="Yes","LRA-Dust","")</f>
        <v/>
      </c>
      <c r="AD575" t="str">
        <f>IF(S576="Yes","LSK-Soil","")</f>
        <v/>
      </c>
      <c r="AE575" t="str">
        <f>IF(S577="Yes","LSK-Paint","")</f>
        <v>LSK-Paint</v>
      </c>
      <c r="AF575" t="str">
        <f>IF(S578="Yes","LSK-Dust","")</f>
        <v>LSK-Dust</v>
      </c>
    </row>
    <row r="576" spans="1:32" x14ac:dyDescent="0.2">
      <c r="A576" t="s">
        <v>235</v>
      </c>
      <c r="B576" t="s">
        <v>221</v>
      </c>
      <c r="C576">
        <v>9.6</v>
      </c>
      <c r="D576" t="s">
        <v>4</v>
      </c>
      <c r="E576" t="s">
        <v>5</v>
      </c>
      <c r="F576" s="2" t="str">
        <f t="shared" ref="F576:F578" si="262">IF(C576&gt;=$W$2,"Yes","No")</f>
        <v>Yes</v>
      </c>
      <c r="G576" t="s">
        <v>5</v>
      </c>
      <c r="H576" t="s">
        <v>46</v>
      </c>
      <c r="J576" s="2" t="s">
        <v>6</v>
      </c>
      <c r="K576">
        <v>28.4</v>
      </c>
      <c r="L576" t="s">
        <v>12</v>
      </c>
      <c r="M576" t="s">
        <v>114</v>
      </c>
      <c r="N576" t="str">
        <f>IF(K576="N/A","No", IF(K576&gt;1200,"Yes","No"))</f>
        <v>No</v>
      </c>
      <c r="O576" t="str">
        <f>IF(K576="Not","No",IF(K576="n/a","N/A",IF(K576&gt;=$Y$3,"Yes","No")))</f>
        <v>No</v>
      </c>
      <c r="Q576" s="2" t="s">
        <v>116</v>
      </c>
      <c r="R576" t="str">
        <f>_xlfn.XLOOKUP("ppm",D576:D590,F576:F590,"N/A")</f>
        <v>No</v>
      </c>
      <c r="S576" t="str">
        <f>IF(COUNTIF(O576:O578,"Yes"),"Yes","No")</f>
        <v>No</v>
      </c>
      <c r="U576" t="s">
        <v>92</v>
      </c>
      <c r="V576" t="s">
        <v>120</v>
      </c>
      <c r="W576" t="s">
        <v>120</v>
      </c>
      <c r="X576" t="str">
        <f>IF(V576="N/A","N/A",IF(W576="N/A", "N/A", IF(V576=W576, "Yes","No")))</f>
        <v>N/A</v>
      </c>
    </row>
    <row r="577" spans="1:24" x14ac:dyDescent="0.2">
      <c r="A577" t="s">
        <v>235</v>
      </c>
      <c r="B577" t="s">
        <v>318</v>
      </c>
      <c r="C577">
        <v>9.6</v>
      </c>
      <c r="D577" t="s">
        <v>4</v>
      </c>
      <c r="E577" t="s">
        <v>5</v>
      </c>
      <c r="F577" s="2" t="str">
        <f t="shared" si="262"/>
        <v>Yes</v>
      </c>
      <c r="G577" t="s">
        <v>5</v>
      </c>
      <c r="H577" t="s">
        <v>46</v>
      </c>
      <c r="J577" s="2" t="s">
        <v>11</v>
      </c>
      <c r="K577">
        <v>67.900000000000006</v>
      </c>
      <c r="L577" t="s">
        <v>12</v>
      </c>
      <c r="M577" t="s">
        <v>67</v>
      </c>
      <c r="N577" t="str">
        <f t="shared" ref="N577:N578" si="263">IF(K577="N/A","No", IF(K577&gt;1200,"Yes","No"))</f>
        <v>No</v>
      </c>
      <c r="O577" t="str">
        <f t="shared" ref="O577:O578" si="264">IF(K577="Not","No",IF(K577="n/a","N/A",IF(K577&gt;$Y$3,"Yes","No")))</f>
        <v>No</v>
      </c>
      <c r="Q577" s="2" t="s">
        <v>98</v>
      </c>
      <c r="R577" t="str">
        <f>_xlfn.XLOOKUP("mg/cm2",D576:D590,G576:G590,"N/A",1,-1)</f>
        <v>Yes</v>
      </c>
      <c r="S577" t="str">
        <f>IF(COUNTIF(O579:O580,"Yes"),"Yes","No")</f>
        <v>Yes</v>
      </c>
      <c r="U577" t="s">
        <v>95</v>
      </c>
      <c r="V577" t="str">
        <f>R576</f>
        <v>No</v>
      </c>
      <c r="W577" t="str">
        <f>S576</f>
        <v>No</v>
      </c>
      <c r="X577" t="str">
        <f t="shared" ref="X577:X580" si="265">IF(V577="N/A","N/A",IF(W577="N/A", "N/A", IF(V577=W577, "Yes","No")))</f>
        <v>Yes</v>
      </c>
    </row>
    <row r="578" spans="1:24" x14ac:dyDescent="0.2">
      <c r="A578" t="s">
        <v>235</v>
      </c>
      <c r="B578" t="s">
        <v>318</v>
      </c>
      <c r="C578">
        <v>1.6</v>
      </c>
      <c r="D578" t="s">
        <v>4</v>
      </c>
      <c r="E578" t="s">
        <v>5</v>
      </c>
      <c r="F578" s="2" t="str">
        <f t="shared" si="262"/>
        <v>Yes</v>
      </c>
      <c r="G578" t="s">
        <v>5</v>
      </c>
      <c r="H578" t="s">
        <v>46</v>
      </c>
      <c r="J578" s="2" t="s">
        <v>15</v>
      </c>
      <c r="K578">
        <v>71.5</v>
      </c>
      <c r="L578" t="s">
        <v>12</v>
      </c>
      <c r="M578" t="s">
        <v>112</v>
      </c>
      <c r="N578" t="str">
        <f t="shared" si="263"/>
        <v>No</v>
      </c>
      <c r="O578" t="str">
        <f t="shared" si="264"/>
        <v>No</v>
      </c>
      <c r="Q578" s="2" t="s">
        <v>117</v>
      </c>
      <c r="R578" t="str">
        <f>_xlfn.XLOOKUP("ug/ft2",D576:D590,F576:F590,"N/A")</f>
        <v>No</v>
      </c>
      <c r="S578" t="str">
        <f>IF(COUNTIF(O581:O584,"Yes"),"Yes","No")</f>
        <v>Yes</v>
      </c>
      <c r="U578" t="s">
        <v>163</v>
      </c>
      <c r="V578" t="s">
        <v>5</v>
      </c>
      <c r="W578" t="str">
        <f>O580</f>
        <v>No</v>
      </c>
      <c r="X578" t="str">
        <f t="shared" si="265"/>
        <v>No</v>
      </c>
    </row>
    <row r="579" spans="1:24" x14ac:dyDescent="0.2">
      <c r="A579" t="s">
        <v>200</v>
      </c>
      <c r="B579" t="s">
        <v>286</v>
      </c>
      <c r="C579">
        <v>112</v>
      </c>
      <c r="D579" t="s">
        <v>12</v>
      </c>
      <c r="E579" t="s">
        <v>9</v>
      </c>
      <c r="F579" s="2" t="str">
        <f>IF(C579&gt;$W$3,"Yes","No")</f>
        <v>No</v>
      </c>
      <c r="G579" t="s">
        <v>9</v>
      </c>
      <c r="J579" s="2" t="s">
        <v>19</v>
      </c>
      <c r="K579">
        <v>17489</v>
      </c>
      <c r="L579" t="s">
        <v>12</v>
      </c>
      <c r="M579" t="s">
        <v>46</v>
      </c>
      <c r="N579" t="str">
        <f>IF(K579="N/A","No", IF(K579&gt;5000,"Yes","No"))</f>
        <v>Yes</v>
      </c>
      <c r="O579" t="str">
        <f>IF(K579="Not","No",IF(K579="n/a","N/A",IF(K579&gt;$Y$2,"Yes","No")))</f>
        <v>Yes</v>
      </c>
      <c r="Q579" s="2" t="s">
        <v>118</v>
      </c>
      <c r="R579" t="str">
        <f>IF(COUNTIF(R576:R578,"Yes"),"Yes","No")</f>
        <v>Yes</v>
      </c>
      <c r="S579" t="str">
        <f>IF(COUNTIF(S576:S578,"Yes"),"Yes","No")</f>
        <v>Yes</v>
      </c>
      <c r="U579" t="s">
        <v>164</v>
      </c>
      <c r="V579" t="s">
        <v>5</v>
      </c>
      <c r="W579" t="str">
        <f>O579</f>
        <v>Yes</v>
      </c>
      <c r="X579" t="str">
        <f t="shared" si="265"/>
        <v>Yes</v>
      </c>
    </row>
    <row r="580" spans="1:24" x14ac:dyDescent="0.2">
      <c r="A580" t="s">
        <v>287</v>
      </c>
      <c r="B580" t="s">
        <v>221</v>
      </c>
      <c r="C580">
        <v>2</v>
      </c>
      <c r="D580" t="s">
        <v>4</v>
      </c>
      <c r="E580" t="s">
        <v>5</v>
      </c>
      <c r="F580" s="2" t="str">
        <f t="shared" ref="F580:F589" si="266">IF(C580&gt;=$W$2,"Yes","No")</f>
        <v>Yes</v>
      </c>
      <c r="G580" t="s">
        <v>5</v>
      </c>
      <c r="H580" t="s">
        <v>43</v>
      </c>
      <c r="J580" s="2" t="s">
        <v>22</v>
      </c>
      <c r="K580">
        <v>2.5</v>
      </c>
      <c r="L580" t="s">
        <v>12</v>
      </c>
      <c r="M580" t="s">
        <v>43</v>
      </c>
      <c r="N580" t="str">
        <f>IF(K580="N/A","No", IF(K580&gt;5000,"Yes","No"))</f>
        <v>No</v>
      </c>
      <c r="O580" t="str">
        <f>IF(K580="Not","No",IF(K580="n/a","N/A",IF(K580&gt;$Y$2,"Yes","No")))</f>
        <v>No</v>
      </c>
      <c r="U580" t="s">
        <v>162</v>
      </c>
      <c r="V580" t="str">
        <f>R577</f>
        <v>Yes</v>
      </c>
      <c r="W580" t="str">
        <f>S577</f>
        <v>Yes</v>
      </c>
      <c r="X580" t="str">
        <f t="shared" si="265"/>
        <v>Yes</v>
      </c>
    </row>
    <row r="581" spans="1:24" x14ac:dyDescent="0.2">
      <c r="A581" t="s">
        <v>287</v>
      </c>
      <c r="B581" t="s">
        <v>236</v>
      </c>
      <c r="C581">
        <v>1.9</v>
      </c>
      <c r="D581" t="s">
        <v>4</v>
      </c>
      <c r="E581" t="s">
        <v>5</v>
      </c>
      <c r="F581" s="2" t="str">
        <f t="shared" si="266"/>
        <v>Yes</v>
      </c>
      <c r="G581" t="s">
        <v>5</v>
      </c>
      <c r="H581" t="s">
        <v>43</v>
      </c>
      <c r="J581" s="2" t="s">
        <v>25</v>
      </c>
      <c r="K581">
        <v>14</v>
      </c>
      <c r="L581" t="s">
        <v>12</v>
      </c>
      <c r="M581" t="s">
        <v>126</v>
      </c>
      <c r="N581" t="str">
        <f>IF(K581="N/A","No", IF(K581&gt;20,"Yes","No"))</f>
        <v>No</v>
      </c>
      <c r="O581" t="str">
        <f t="shared" ref="O581:O582" si="267">IF(K581="Not","No",IF(K581="n/a","N/A",IF(K581&gt;$Y$6,"Yes","No")))</f>
        <v>No</v>
      </c>
      <c r="U581" t="s">
        <v>101</v>
      </c>
      <c r="V581" t="s">
        <v>9</v>
      </c>
      <c r="W581" t="s">
        <v>9</v>
      </c>
      <c r="X581" t="str">
        <f>IF(V581="N/A","N/A",IF(W581="N/A", "N/A", IF(V581=W581, "Yes","No")))</f>
        <v>Yes</v>
      </c>
    </row>
    <row r="582" spans="1:24" x14ac:dyDescent="0.2">
      <c r="A582" t="s">
        <v>289</v>
      </c>
      <c r="B582" t="s">
        <v>221</v>
      </c>
      <c r="C582">
        <v>2.6</v>
      </c>
      <c r="D582" t="s">
        <v>4</v>
      </c>
      <c r="E582" t="s">
        <v>5</v>
      </c>
      <c r="F582" s="2" t="str">
        <f t="shared" si="266"/>
        <v>Yes</v>
      </c>
      <c r="G582" t="s">
        <v>5</v>
      </c>
      <c r="H582" t="s">
        <v>43</v>
      </c>
      <c r="J582" s="2" t="s">
        <v>29</v>
      </c>
      <c r="K582">
        <v>281</v>
      </c>
      <c r="L582" t="s">
        <v>12</v>
      </c>
      <c r="M582" t="s">
        <v>222</v>
      </c>
      <c r="N582" t="str">
        <f>IF(K582="N/A","No", IF(K582&gt;20,"Yes","No"))</f>
        <v>Yes</v>
      </c>
      <c r="O582" t="str">
        <f t="shared" si="267"/>
        <v>Yes</v>
      </c>
      <c r="U582" t="s">
        <v>104</v>
      </c>
      <c r="V582" t="s">
        <v>120</v>
      </c>
      <c r="W582" t="str">
        <f>O583</f>
        <v>No</v>
      </c>
      <c r="X582" t="str">
        <f>IF(V582="N/A","N/A",IF(W582="N/A", "N/A", IF(V582=W582, "Yes","No")))</f>
        <v>N/A</v>
      </c>
    </row>
    <row r="583" spans="1:24" x14ac:dyDescent="0.2">
      <c r="A583" t="s">
        <v>289</v>
      </c>
      <c r="B583" t="s">
        <v>236</v>
      </c>
      <c r="C583">
        <v>2.2000000000000002</v>
      </c>
      <c r="D583" t="s">
        <v>4</v>
      </c>
      <c r="E583" t="s">
        <v>5</v>
      </c>
      <c r="F583" s="2" t="str">
        <f t="shared" si="266"/>
        <v>Yes</v>
      </c>
      <c r="G583" t="s">
        <v>5</v>
      </c>
      <c r="H583" t="s">
        <v>43</v>
      </c>
      <c r="J583" s="2" t="s">
        <v>34</v>
      </c>
      <c r="K583">
        <v>2.5</v>
      </c>
      <c r="L583" t="s">
        <v>12</v>
      </c>
      <c r="M583" t="s">
        <v>210</v>
      </c>
      <c r="N583" t="str">
        <f>IF(K583="N/A","No", IF(K583&gt;230,"Yes","No"))</f>
        <v>No</v>
      </c>
      <c r="O583" t="str">
        <f>IF(K583="Not","No",IF(K583="n/a","N/A",IF(K583&gt;$Y$5,"Yes","No")))</f>
        <v>No</v>
      </c>
      <c r="U583" t="s">
        <v>106</v>
      </c>
      <c r="V583" t="str">
        <f>R578</f>
        <v>No</v>
      </c>
      <c r="W583" t="str">
        <f>S578</f>
        <v>Yes</v>
      </c>
      <c r="X583" t="str">
        <f>IF(V583="N/A","N/A",IF(W583="N/A", "N/A", IF(V583=W583, "Yes","No")))</f>
        <v>No</v>
      </c>
    </row>
    <row r="584" spans="1:24" x14ac:dyDescent="0.2">
      <c r="A584" t="s">
        <v>241</v>
      </c>
      <c r="B584" t="s">
        <v>211</v>
      </c>
      <c r="C584">
        <v>1.9</v>
      </c>
      <c r="D584" t="s">
        <v>4</v>
      </c>
      <c r="E584" t="s">
        <v>5</v>
      </c>
      <c r="F584" s="2" t="str">
        <f t="shared" si="266"/>
        <v>Yes</v>
      </c>
      <c r="G584" t="s">
        <v>5</v>
      </c>
      <c r="H584" t="s">
        <v>43</v>
      </c>
      <c r="J584" s="2" t="s">
        <v>208</v>
      </c>
      <c r="K584">
        <v>84.2</v>
      </c>
      <c r="L584" t="s">
        <v>12</v>
      </c>
      <c r="M584" t="s">
        <v>223</v>
      </c>
      <c r="N584" t="str">
        <f>IF(K584="N/A","No", IF(K584&gt;20,"Yes","No"))</f>
        <v>Yes</v>
      </c>
      <c r="O584" t="str">
        <f>IF(K584="Not","No",IF(K584="n/a","N/A",IF(K584&gt;$Y$7,"Yes","No")))</f>
        <v>No</v>
      </c>
      <c r="U584" t="s">
        <v>121</v>
      </c>
      <c r="V584" t="str">
        <f>R579</f>
        <v>Yes</v>
      </c>
      <c r="W584" t="str">
        <f>S579</f>
        <v>Yes</v>
      </c>
      <c r="X584" t="str">
        <f>IF(V584="N/A","N/A",IF(W584="N/A", "N/A", IF(V584=W584, "Yes","No")))</f>
        <v>Yes</v>
      </c>
    </row>
    <row r="585" spans="1:24" x14ac:dyDescent="0.2">
      <c r="A585" t="s">
        <v>201</v>
      </c>
      <c r="B585" t="s">
        <v>221</v>
      </c>
      <c r="C585">
        <v>4.3</v>
      </c>
      <c r="D585" t="s">
        <v>4</v>
      </c>
      <c r="E585" t="s">
        <v>5</v>
      </c>
      <c r="F585" s="2" t="str">
        <f t="shared" si="266"/>
        <v>Yes</v>
      </c>
      <c r="G585" t="s">
        <v>5</v>
      </c>
      <c r="H585" t="s">
        <v>43</v>
      </c>
    </row>
    <row r="586" spans="1:24" x14ac:dyDescent="0.2">
      <c r="A586" t="s">
        <v>201</v>
      </c>
      <c r="B586" t="s">
        <v>221</v>
      </c>
      <c r="C586">
        <v>2.6</v>
      </c>
      <c r="D586" t="s">
        <v>4</v>
      </c>
      <c r="E586" t="s">
        <v>5</v>
      </c>
      <c r="F586" s="2" t="str">
        <f t="shared" si="266"/>
        <v>Yes</v>
      </c>
      <c r="G586" t="s">
        <v>5</v>
      </c>
      <c r="H586" t="s">
        <v>43</v>
      </c>
    </row>
    <row r="587" spans="1:24" x14ac:dyDescent="0.2">
      <c r="A587" t="s">
        <v>201</v>
      </c>
      <c r="B587" t="s">
        <v>236</v>
      </c>
      <c r="C587">
        <v>2</v>
      </c>
      <c r="D587" t="s">
        <v>4</v>
      </c>
      <c r="E587" t="s">
        <v>5</v>
      </c>
      <c r="F587" s="2" t="str">
        <f t="shared" si="266"/>
        <v>Yes</v>
      </c>
      <c r="G587" t="s">
        <v>5</v>
      </c>
      <c r="H587" t="s">
        <v>43</v>
      </c>
    </row>
    <row r="588" spans="1:24" x14ac:dyDescent="0.2">
      <c r="A588" t="s">
        <v>237</v>
      </c>
      <c r="B588" t="s">
        <v>221</v>
      </c>
      <c r="C588">
        <v>11.1</v>
      </c>
      <c r="D588" t="s">
        <v>4</v>
      </c>
      <c r="E588" t="s">
        <v>5</v>
      </c>
      <c r="F588" s="2" t="str">
        <f t="shared" si="266"/>
        <v>Yes</v>
      </c>
      <c r="G588" t="s">
        <v>5</v>
      </c>
      <c r="H588" t="s">
        <v>43</v>
      </c>
    </row>
    <row r="589" spans="1:24" x14ac:dyDescent="0.2">
      <c r="A589" t="s">
        <v>237</v>
      </c>
      <c r="B589" t="s">
        <v>236</v>
      </c>
      <c r="C589">
        <v>4.9000000000000004</v>
      </c>
      <c r="D589" t="s">
        <v>4</v>
      </c>
      <c r="E589" t="s">
        <v>5</v>
      </c>
      <c r="F589" s="2" t="str">
        <f t="shared" si="266"/>
        <v>Yes</v>
      </c>
      <c r="G589" t="s">
        <v>5</v>
      </c>
      <c r="H589" t="s">
        <v>43</v>
      </c>
    </row>
    <row r="590" spans="1:24" x14ac:dyDescent="0.2">
      <c r="A590" t="s">
        <v>201</v>
      </c>
      <c r="B590" t="s">
        <v>214</v>
      </c>
      <c r="C590">
        <v>3</v>
      </c>
      <c r="D590" t="s">
        <v>33</v>
      </c>
      <c r="E590" t="s">
        <v>9</v>
      </c>
      <c r="F590" s="2" t="str">
        <f t="shared" ref="F590" si="268">IF(C590&gt;$W$6,"Yes","No")</f>
        <v>No</v>
      </c>
      <c r="G590" t="s">
        <v>9</v>
      </c>
    </row>
    <row r="592" spans="1:24" x14ac:dyDescent="0.2">
      <c r="F592" s="2"/>
    </row>
    <row r="593" spans="1:32" x14ac:dyDescent="0.2">
      <c r="A593" s="1">
        <f>VLOOKUP(C593,'Grid - LRA Samples'!$A$2:$B$108, 2,FALSE)</f>
        <v>1265</v>
      </c>
      <c r="B593" t="s">
        <v>111</v>
      </c>
      <c r="C593">
        <v>56</v>
      </c>
    </row>
    <row r="594" spans="1:32" x14ac:dyDescent="0.2">
      <c r="A594" s="5" t="s">
        <v>0</v>
      </c>
      <c r="E594" s="2" t="s">
        <v>274</v>
      </c>
      <c r="F594" s="2" t="s">
        <v>275</v>
      </c>
      <c r="G594" t="s">
        <v>119</v>
      </c>
      <c r="J594" s="5" t="s">
        <v>1</v>
      </c>
      <c r="N594" s="2" t="s">
        <v>277</v>
      </c>
      <c r="O594" t="s">
        <v>278</v>
      </c>
      <c r="Q594" s="5" t="s">
        <v>115</v>
      </c>
      <c r="R594" s="5" t="s">
        <v>0</v>
      </c>
      <c r="S594" s="5" t="s">
        <v>1</v>
      </c>
      <c r="U594" s="5" t="s">
        <v>115</v>
      </c>
      <c r="V594" s="5" t="s">
        <v>0</v>
      </c>
      <c r="W594" s="5" t="s">
        <v>1</v>
      </c>
      <c r="X594" s="5" t="s">
        <v>122</v>
      </c>
      <c r="AA594" t="str">
        <f>IF(R595="Yes","LRA-Soil","")</f>
        <v/>
      </c>
      <c r="AB594" t="str">
        <f>IF(R596="Yes","LRA-Paint","")</f>
        <v>LRA-Paint</v>
      </c>
      <c r="AC594" t="str">
        <f>IF(R597="Yes","LRA-Dust","")</f>
        <v/>
      </c>
      <c r="AD594" t="str">
        <f>IF(S595="Yes","LSK-Soil","")</f>
        <v/>
      </c>
      <c r="AE594" t="str">
        <f>IF(S596="Yes","LSK-Paint","")</f>
        <v>LSK-Paint</v>
      </c>
      <c r="AF594" t="str">
        <f>IF(S597="Yes","LSK-Dust","")</f>
        <v>LSK-Dust</v>
      </c>
    </row>
    <row r="595" spans="1:32" x14ac:dyDescent="0.2">
      <c r="A595" t="s">
        <v>63</v>
      </c>
      <c r="B595" t="s">
        <v>10</v>
      </c>
      <c r="C595">
        <v>0.4</v>
      </c>
      <c r="D595" t="s">
        <v>4</v>
      </c>
      <c r="F595" s="2" t="str">
        <f t="shared" ref="F595:F596" si="269">IF(C595&gt;=$W$2,"Yes","No")</f>
        <v>No</v>
      </c>
      <c r="G595" t="s">
        <v>9</v>
      </c>
      <c r="H595" t="s">
        <v>46</v>
      </c>
      <c r="J595" s="2" t="s">
        <v>6</v>
      </c>
      <c r="K595">
        <v>15</v>
      </c>
      <c r="L595" t="s">
        <v>12</v>
      </c>
      <c r="M595" t="s">
        <v>114</v>
      </c>
      <c r="N595" t="str">
        <f>IF(K595="N/A","No", IF(K595&gt;1200,"Yes","No"))</f>
        <v>No</v>
      </c>
      <c r="O595" t="str">
        <f>IF(K595="Not","No",IF(K595="n/a","N/A",IF(K595&gt;=$Y$3,"Yes","No")))</f>
        <v>No</v>
      </c>
      <c r="Q595" s="2" t="s">
        <v>116</v>
      </c>
      <c r="R595" t="str">
        <f>_xlfn.XLOOKUP("ppm",D595:D599,F595:F599,"N/A")</f>
        <v>No</v>
      </c>
      <c r="S595" t="str">
        <f>IF(COUNTIF(O595:O597,"Yes"),"Yes","No")</f>
        <v>No</v>
      </c>
      <c r="U595" t="s">
        <v>92</v>
      </c>
      <c r="V595" t="s">
        <v>9</v>
      </c>
      <c r="W595" t="s">
        <v>120</v>
      </c>
      <c r="X595" t="str">
        <f>IF(V595="N/A","N/A",IF(W595="N/A", "N/A", IF(V595=W595, "Yes","No")))</f>
        <v>N/A</v>
      </c>
    </row>
    <row r="596" spans="1:32" x14ac:dyDescent="0.2">
      <c r="A596" t="s">
        <v>63</v>
      </c>
      <c r="B596" t="s">
        <v>24</v>
      </c>
      <c r="C596">
        <v>0.9</v>
      </c>
      <c r="D596" t="s">
        <v>4</v>
      </c>
      <c r="F596" s="2" t="str">
        <f t="shared" si="269"/>
        <v>No</v>
      </c>
      <c r="G596" t="s">
        <v>9</v>
      </c>
      <c r="H596" t="s">
        <v>46</v>
      </c>
      <c r="J596" s="2" t="s">
        <v>11</v>
      </c>
      <c r="K596">
        <v>39.6</v>
      </c>
      <c r="L596" t="s">
        <v>12</v>
      </c>
      <c r="M596" t="s">
        <v>67</v>
      </c>
      <c r="N596" t="str">
        <f t="shared" ref="N596:N597" si="270">IF(K596="N/A","No", IF(K596&gt;1200,"Yes","No"))</f>
        <v>No</v>
      </c>
      <c r="O596" t="str">
        <f t="shared" ref="O596:O597" si="271">IF(K596="Not","No",IF(K596="n/a","N/A",IF(K596&gt;$Y$3,"Yes","No")))</f>
        <v>No</v>
      </c>
      <c r="Q596" s="2" t="s">
        <v>98</v>
      </c>
      <c r="R596" t="str">
        <f>_xlfn.XLOOKUP("mg/cm2",D595:D599,G595:G599,"N/A",1,-1)</f>
        <v>Yes</v>
      </c>
      <c r="S596" t="str">
        <f>IF(COUNTIF(O598:O599,"Yes"),"Yes","No")</f>
        <v>Yes</v>
      </c>
      <c r="U596" t="s">
        <v>95</v>
      </c>
      <c r="V596" t="str">
        <f>R595</f>
        <v>No</v>
      </c>
      <c r="W596" t="str">
        <f>S595</f>
        <v>No</v>
      </c>
      <c r="X596" t="str">
        <f t="shared" ref="X596:X599" si="272">IF(V596="N/A","N/A",IF(W596="N/A", "N/A", IF(V596=W596, "Yes","No")))</f>
        <v>Yes</v>
      </c>
    </row>
    <row r="597" spans="1:32" x14ac:dyDescent="0.2">
      <c r="A597" t="s">
        <v>161</v>
      </c>
      <c r="B597" t="s">
        <v>28</v>
      </c>
      <c r="C597">
        <v>27.6</v>
      </c>
      <c r="D597" t="s">
        <v>12</v>
      </c>
      <c r="F597" s="2" t="str">
        <f>IF(C597&gt;$W$3,"Yes","No")</f>
        <v>No</v>
      </c>
      <c r="G597" t="s">
        <v>9</v>
      </c>
      <c r="J597" s="2" t="s">
        <v>15</v>
      </c>
      <c r="K597">
        <v>216</v>
      </c>
      <c r="L597" t="s">
        <v>12</v>
      </c>
      <c r="M597" t="s">
        <v>112</v>
      </c>
      <c r="N597" t="str">
        <f t="shared" si="270"/>
        <v>No</v>
      </c>
      <c r="O597" t="str">
        <f t="shared" si="271"/>
        <v>No</v>
      </c>
      <c r="Q597" s="2" t="s">
        <v>117</v>
      </c>
      <c r="R597" t="str">
        <f>_xlfn.XLOOKUP("ug/ft2",D595:D599,F595:F599,"N/A")</f>
        <v>N/A</v>
      </c>
      <c r="S597" t="str">
        <f>IF(COUNTIF(O600:O603,"Yes"),"Yes","No")</f>
        <v>Yes</v>
      </c>
      <c r="U597" t="s">
        <v>163</v>
      </c>
      <c r="V597" t="s">
        <v>5</v>
      </c>
      <c r="W597" t="str">
        <f>O599</f>
        <v>No</v>
      </c>
      <c r="X597" t="str">
        <f t="shared" si="272"/>
        <v>No</v>
      </c>
    </row>
    <row r="598" spans="1:32" x14ac:dyDescent="0.2">
      <c r="A598" t="s">
        <v>64</v>
      </c>
      <c r="B598" t="s">
        <v>40</v>
      </c>
      <c r="C598">
        <v>6.5</v>
      </c>
      <c r="D598" t="s">
        <v>4</v>
      </c>
      <c r="F598" s="2" t="str">
        <f t="shared" ref="F598:F599" si="273">IF(C598&gt;=$W$2,"Yes","No")</f>
        <v>Yes</v>
      </c>
      <c r="G598" t="s">
        <v>5</v>
      </c>
      <c r="H598" t="s">
        <v>43</v>
      </c>
      <c r="J598" s="2" t="s">
        <v>19</v>
      </c>
      <c r="K598">
        <v>13467</v>
      </c>
      <c r="L598" t="s">
        <v>12</v>
      </c>
      <c r="M598" t="s">
        <v>46</v>
      </c>
      <c r="N598" t="str">
        <f>IF(K598="N/A","No", IF(K598&gt;5000,"Yes","No"))</f>
        <v>Yes</v>
      </c>
      <c r="O598" t="str">
        <f>IF(K598="Not","No",IF(K598="n/a","N/A",IF(K598&gt;$Y$2,"Yes","No")))</f>
        <v>Yes</v>
      </c>
      <c r="Q598" s="2" t="s">
        <v>118</v>
      </c>
      <c r="R598" t="str">
        <f>IF(COUNTIF(R595:R597,"Yes"),"Yes","No")</f>
        <v>Yes</v>
      </c>
      <c r="S598" t="str">
        <f>IF(COUNTIF(S595:S597,"Yes"),"Yes","No")</f>
        <v>Yes</v>
      </c>
      <c r="U598" t="s">
        <v>164</v>
      </c>
      <c r="V598" t="s">
        <v>9</v>
      </c>
      <c r="W598" t="str">
        <f>O598</f>
        <v>Yes</v>
      </c>
      <c r="X598" t="str">
        <f t="shared" si="272"/>
        <v>No</v>
      </c>
    </row>
    <row r="599" spans="1:32" x14ac:dyDescent="0.2">
      <c r="A599" t="s">
        <v>64</v>
      </c>
      <c r="B599" t="s">
        <v>40</v>
      </c>
      <c r="C599">
        <v>7.1</v>
      </c>
      <c r="D599" t="s">
        <v>4</v>
      </c>
      <c r="F599" s="2" t="str">
        <f t="shared" si="273"/>
        <v>Yes</v>
      </c>
      <c r="G599" t="s">
        <v>5</v>
      </c>
      <c r="H599" t="s">
        <v>43</v>
      </c>
      <c r="J599" s="2" t="s">
        <v>22</v>
      </c>
      <c r="K599">
        <v>40</v>
      </c>
      <c r="L599" t="s">
        <v>12</v>
      </c>
      <c r="M599" t="s">
        <v>43</v>
      </c>
      <c r="N599" t="str">
        <f>IF(K599="N/A","No", IF(K599&gt;5000,"Yes","No"))</f>
        <v>No</v>
      </c>
      <c r="O599" t="str">
        <f>IF(K599="Not","No",IF(K599="n/a","N/A",IF(K599&gt;$Y$2,"Yes","No")))</f>
        <v>No</v>
      </c>
      <c r="U599" t="s">
        <v>162</v>
      </c>
      <c r="V599" t="str">
        <f>R596</f>
        <v>Yes</v>
      </c>
      <c r="W599" t="str">
        <f>S596</f>
        <v>Yes</v>
      </c>
      <c r="X599" t="str">
        <f t="shared" si="272"/>
        <v>Yes</v>
      </c>
    </row>
    <row r="600" spans="1:32" x14ac:dyDescent="0.2">
      <c r="A600" t="s">
        <v>113</v>
      </c>
      <c r="B600" t="s">
        <v>32</v>
      </c>
      <c r="C600">
        <v>19.7</v>
      </c>
      <c r="D600" t="s">
        <v>33</v>
      </c>
      <c r="F600" s="2" t="str">
        <f t="shared" ref="F600:F601" si="274">IF(C600&gt;$W$6,"Yes","No")</f>
        <v>Yes</v>
      </c>
      <c r="G600" t="s">
        <v>5</v>
      </c>
      <c r="J600" s="2" t="s">
        <v>25</v>
      </c>
      <c r="K600">
        <v>11</v>
      </c>
      <c r="L600" t="s">
        <v>12</v>
      </c>
      <c r="M600" t="s">
        <v>126</v>
      </c>
      <c r="N600" t="str">
        <f>IF(K600="N/A","No", IF(K600&gt;20,"Yes","No"))</f>
        <v>No</v>
      </c>
      <c r="O600" t="str">
        <f t="shared" ref="O600:O601" si="275">IF(K600="Not","No",IF(K600="n/a","N/A",IF(K600&gt;$Y$6,"Yes","No")))</f>
        <v>No</v>
      </c>
      <c r="U600" t="s">
        <v>101</v>
      </c>
      <c r="V600" t="s">
        <v>5</v>
      </c>
      <c r="W600" t="s">
        <v>9</v>
      </c>
      <c r="X600" t="str">
        <f>IF(V600="N/A","N/A",IF(W600="N/A", "N/A", IF(V600=W600, "Yes","No")))</f>
        <v>No</v>
      </c>
    </row>
    <row r="601" spans="1:32" x14ac:dyDescent="0.2">
      <c r="A601" t="s">
        <v>109</v>
      </c>
      <c r="B601" t="s">
        <v>32</v>
      </c>
      <c r="C601">
        <v>51.3</v>
      </c>
      <c r="D601" t="s">
        <v>33</v>
      </c>
      <c r="F601" s="2" t="str">
        <f t="shared" si="274"/>
        <v>Yes</v>
      </c>
      <c r="G601" t="s">
        <v>5</v>
      </c>
      <c r="J601" s="2" t="s">
        <v>29</v>
      </c>
      <c r="K601">
        <v>28</v>
      </c>
      <c r="L601" t="s">
        <v>12</v>
      </c>
      <c r="M601" t="s">
        <v>222</v>
      </c>
      <c r="N601" t="str">
        <f>IF(K601="N/A","No", IF(K601&gt;20,"Yes","No"))</f>
        <v>Yes</v>
      </c>
      <c r="O601" t="str">
        <f t="shared" si="275"/>
        <v>Yes</v>
      </c>
      <c r="U601" t="s">
        <v>104</v>
      </c>
      <c r="V601" t="s">
        <v>5</v>
      </c>
      <c r="W601" t="str">
        <f>O602</f>
        <v>No</v>
      </c>
      <c r="X601" t="str">
        <f>IF(V601="N/A","N/A",IF(W601="N/A", "N/A", IF(V601=W601, "Yes","No")))</f>
        <v>No</v>
      </c>
    </row>
    <row r="602" spans="1:32" x14ac:dyDescent="0.2">
      <c r="A602" t="s">
        <v>109</v>
      </c>
      <c r="B602" t="s">
        <v>54</v>
      </c>
      <c r="C602">
        <v>101.4</v>
      </c>
      <c r="D602" t="s">
        <v>33</v>
      </c>
      <c r="F602" s="2" t="str">
        <f>IF(C602&gt;$W$5,"Yes","No")</f>
        <v>Yes</v>
      </c>
      <c r="G602" t="s">
        <v>5</v>
      </c>
      <c r="J602" s="2" t="s">
        <v>34</v>
      </c>
      <c r="K602">
        <v>44</v>
      </c>
      <c r="L602" t="s">
        <v>12</v>
      </c>
      <c r="M602" t="s">
        <v>210</v>
      </c>
      <c r="N602" t="str">
        <f>IF(K602="N/A","No", IF(K602&gt;230,"Yes","No"))</f>
        <v>No</v>
      </c>
      <c r="O602" t="str">
        <f>IF(K602="Not","No",IF(K602="n/a","N/A",IF(K602&gt;$Y$5,"Yes","No")))</f>
        <v>No</v>
      </c>
      <c r="U602" t="s">
        <v>106</v>
      </c>
      <c r="V602" t="s">
        <v>5</v>
      </c>
      <c r="W602" t="str">
        <f>S597</f>
        <v>Yes</v>
      </c>
      <c r="X602" t="str">
        <f>IF(V602="N/A","N/A",IF(W602="N/A", "N/A", IF(V602=W602, "Yes","No")))</f>
        <v>Yes</v>
      </c>
    </row>
    <row r="603" spans="1:32" x14ac:dyDescent="0.2">
      <c r="A603" t="s">
        <v>71</v>
      </c>
      <c r="B603" t="s">
        <v>32</v>
      </c>
      <c r="C603">
        <v>12.8</v>
      </c>
      <c r="D603" t="s">
        <v>33</v>
      </c>
      <c r="F603" s="2" t="str">
        <f t="shared" ref="F603:F604" si="276">IF(C603&gt;$W$6,"Yes","No")</f>
        <v>Yes</v>
      </c>
      <c r="G603" t="s">
        <v>5</v>
      </c>
      <c r="J603" s="2" t="s">
        <v>208</v>
      </c>
      <c r="K603">
        <v>1110</v>
      </c>
      <c r="L603" t="s">
        <v>12</v>
      </c>
      <c r="M603" t="s">
        <v>223</v>
      </c>
      <c r="N603" t="str">
        <f>IF(K603="N/A","No", IF(K603&gt;20,"Yes","No"))</f>
        <v>Yes</v>
      </c>
      <c r="O603" t="str">
        <f>IF(K603="Not","No",IF(K603="n/a","N/A",IF(K603&gt;$Y$7,"Yes","No")))</f>
        <v>Yes</v>
      </c>
      <c r="U603" t="s">
        <v>121</v>
      </c>
      <c r="V603" t="str">
        <f>R598</f>
        <v>Yes</v>
      </c>
      <c r="W603" t="str">
        <f>S598</f>
        <v>Yes</v>
      </c>
      <c r="X603" t="str">
        <f>IF(V603="N/A","N/A",IF(W603="N/A", "N/A", IF(V603=W603, "Yes","No")))</f>
        <v>Yes</v>
      </c>
    </row>
    <row r="604" spans="1:32" x14ac:dyDescent="0.2">
      <c r="A604" t="s">
        <v>71</v>
      </c>
      <c r="B604" t="s">
        <v>32</v>
      </c>
      <c r="C604">
        <v>28.3</v>
      </c>
      <c r="D604" t="s">
        <v>33</v>
      </c>
      <c r="F604" s="2" t="str">
        <f t="shared" si="276"/>
        <v>Yes</v>
      </c>
      <c r="G604" t="s">
        <v>5</v>
      </c>
    </row>
    <row r="605" spans="1:32" x14ac:dyDescent="0.2">
      <c r="A605" t="s">
        <v>158</v>
      </c>
      <c r="B605" t="s">
        <v>54</v>
      </c>
      <c r="C605">
        <v>429</v>
      </c>
      <c r="D605" t="s">
        <v>33</v>
      </c>
      <c r="F605" s="2" t="str">
        <f>IF(C605&gt;$W$5,"Yes","No")</f>
        <v>Yes</v>
      </c>
      <c r="G605" t="s">
        <v>5</v>
      </c>
    </row>
    <row r="609" spans="1:32" x14ac:dyDescent="0.2">
      <c r="A609" s="1">
        <f>VLOOKUP(C609,'Grid - LRA Samples'!$A$2:$B$108, 2,FALSE)</f>
        <v>1279</v>
      </c>
      <c r="B609" t="s">
        <v>111</v>
      </c>
      <c r="C609">
        <v>58</v>
      </c>
    </row>
    <row r="610" spans="1:32" x14ac:dyDescent="0.2">
      <c r="A610" s="5" t="s">
        <v>0</v>
      </c>
      <c r="E610" s="2" t="s">
        <v>274</v>
      </c>
      <c r="F610" s="2" t="s">
        <v>275</v>
      </c>
      <c r="G610" t="s">
        <v>119</v>
      </c>
      <c r="J610" s="5" t="s">
        <v>1</v>
      </c>
      <c r="N610" s="2" t="s">
        <v>277</v>
      </c>
      <c r="O610" t="s">
        <v>278</v>
      </c>
      <c r="Q610" s="5" t="s">
        <v>115</v>
      </c>
      <c r="R610" s="5" t="s">
        <v>0</v>
      </c>
      <c r="S610" s="5" t="s">
        <v>1</v>
      </c>
      <c r="U610" s="5" t="s">
        <v>115</v>
      </c>
      <c r="V610" s="5" t="s">
        <v>0</v>
      </c>
      <c r="W610" s="5" t="s">
        <v>1</v>
      </c>
      <c r="X610" s="5" t="s">
        <v>122</v>
      </c>
      <c r="AA610" t="str">
        <f>IF(R611="Yes","LRA-Soil","")</f>
        <v/>
      </c>
      <c r="AB610" t="str">
        <f>IF(R612="Yes","LRA-Paint","")</f>
        <v/>
      </c>
      <c r="AC610" t="str">
        <f>IF(R613="Yes","LRA-Dust","")</f>
        <v>LRA-Dust</v>
      </c>
      <c r="AD610" t="str">
        <f>IF(S611="Yes","LSK-Soil","")</f>
        <v>LSK-Soil</v>
      </c>
      <c r="AE610" t="str">
        <f>IF(S612="Yes","LSK-Paint","")</f>
        <v/>
      </c>
      <c r="AF610" t="str">
        <f>IF(S613="Yes","LSK-Dust","")</f>
        <v>LSK-Dust</v>
      </c>
    </row>
    <row r="611" spans="1:32" x14ac:dyDescent="0.2">
      <c r="A611" t="s">
        <v>63</v>
      </c>
      <c r="B611" t="s">
        <v>18</v>
      </c>
      <c r="C611">
        <v>0</v>
      </c>
      <c r="D611" t="s">
        <v>4</v>
      </c>
      <c r="F611" s="2" t="str">
        <f t="shared" ref="F611" si="277">IF(C611&gt;=$W$2,"Yes","No")</f>
        <v>No</v>
      </c>
      <c r="G611" t="s">
        <v>9</v>
      </c>
      <c r="H611" t="s">
        <v>46</v>
      </c>
      <c r="J611" s="2" t="s">
        <v>6</v>
      </c>
      <c r="K611">
        <v>24.2</v>
      </c>
      <c r="L611" t="s">
        <v>12</v>
      </c>
      <c r="M611" t="s">
        <v>114</v>
      </c>
      <c r="N611" t="str">
        <f>IF(K611="N/A","No", IF(K611&gt;1200,"Yes","No"))</f>
        <v>No</v>
      </c>
      <c r="O611" t="str">
        <f>IF(K611="Not","No",IF(K611="n/a","N/A",IF(K611&gt;=$Y$3,"Yes","No")))</f>
        <v>No</v>
      </c>
      <c r="Q611" s="2" t="s">
        <v>116</v>
      </c>
      <c r="R611" t="str">
        <f>_xlfn.XLOOKUP("ppm",D611:D620,F611:F620,"N/A")</f>
        <v>No</v>
      </c>
      <c r="S611" t="str">
        <f>IF(COUNTIF(O611:O613,"Yes"),"Yes","No")</f>
        <v>Yes</v>
      </c>
      <c r="U611" t="s">
        <v>92</v>
      </c>
      <c r="V611" t="s">
        <v>9</v>
      </c>
      <c r="W611" t="s">
        <v>120</v>
      </c>
      <c r="X611" t="str">
        <f>IF(V611="N/A","N/A",IF(W611="N/A", "N/A", IF(V611=W611, "Yes","No")))</f>
        <v>N/A</v>
      </c>
    </row>
    <row r="612" spans="1:32" x14ac:dyDescent="0.2">
      <c r="A612" t="s">
        <v>161</v>
      </c>
      <c r="B612" t="s">
        <v>28</v>
      </c>
      <c r="C612">
        <v>58.1</v>
      </c>
      <c r="D612" t="s">
        <v>12</v>
      </c>
      <c r="F612" s="2" t="str">
        <f>IF(C612&gt;$W$3,"Yes","No")</f>
        <v>No</v>
      </c>
      <c r="G612" t="s">
        <v>9</v>
      </c>
      <c r="J612" s="2" t="s">
        <v>11</v>
      </c>
      <c r="K612">
        <v>130</v>
      </c>
      <c r="L612" t="s">
        <v>12</v>
      </c>
      <c r="M612" t="s">
        <v>67</v>
      </c>
      <c r="N612" t="str">
        <f t="shared" ref="N612:N613" si="278">IF(K612="N/A","No", IF(K612&gt;1200,"Yes","No"))</f>
        <v>No</v>
      </c>
      <c r="O612" t="str">
        <f t="shared" ref="O612:O613" si="279">IF(K612="Not","No",IF(K612="n/a","N/A",IF(K612&gt;$Y$3,"Yes","No")))</f>
        <v>No</v>
      </c>
      <c r="Q612" s="2" t="s">
        <v>98</v>
      </c>
      <c r="R612" t="str">
        <f>_xlfn.XLOOKUP("mg/cm2",D611:D620,G611:G620,"N/A",1,-1)</f>
        <v>No</v>
      </c>
      <c r="S612" t="str">
        <f>IF(COUNTIF(O614:O615,"Yes"),"Yes","No")</f>
        <v>No</v>
      </c>
      <c r="U612" t="s">
        <v>95</v>
      </c>
      <c r="V612" t="str">
        <f>R611</f>
        <v>No</v>
      </c>
      <c r="W612" t="str">
        <f>S611</f>
        <v>Yes</v>
      </c>
      <c r="X612" t="str">
        <f t="shared" ref="X612:X615" si="280">IF(V612="N/A","N/A",IF(W612="N/A", "N/A", IF(V612=W612, "Yes","No")))</f>
        <v>No</v>
      </c>
    </row>
    <row r="613" spans="1:32" x14ac:dyDescent="0.2">
      <c r="A613" t="s">
        <v>158</v>
      </c>
      <c r="B613" t="s">
        <v>40</v>
      </c>
      <c r="C613">
        <v>0</v>
      </c>
      <c r="D613" t="s">
        <v>4</v>
      </c>
      <c r="F613" s="2" t="str">
        <f t="shared" ref="F613" si="281">IF(C613&gt;=$W$2,"Yes","No")</f>
        <v>No</v>
      </c>
      <c r="G613" t="s">
        <v>9</v>
      </c>
      <c r="H613" t="s">
        <v>43</v>
      </c>
      <c r="J613" s="2" t="s">
        <v>15</v>
      </c>
      <c r="K613">
        <v>480</v>
      </c>
      <c r="L613" t="s">
        <v>12</v>
      </c>
      <c r="M613" t="s">
        <v>112</v>
      </c>
      <c r="N613" t="str">
        <f t="shared" si="278"/>
        <v>No</v>
      </c>
      <c r="O613" t="str">
        <f t="shared" si="279"/>
        <v>Yes</v>
      </c>
      <c r="Q613" s="2" t="s">
        <v>117</v>
      </c>
      <c r="R613" s="30" t="s">
        <v>5</v>
      </c>
      <c r="S613" t="str">
        <f>IF(COUNTIF(O616:O619,"Yes"),"Yes","No")</f>
        <v>Yes</v>
      </c>
      <c r="U613" t="s">
        <v>163</v>
      </c>
      <c r="V613" t="s">
        <v>9</v>
      </c>
      <c r="W613" t="str">
        <f>O615</f>
        <v>N/A</v>
      </c>
      <c r="X613" t="str">
        <f t="shared" si="280"/>
        <v>N/A</v>
      </c>
    </row>
    <row r="614" spans="1:32" x14ac:dyDescent="0.2">
      <c r="A614" t="s">
        <v>109</v>
      </c>
      <c r="B614" t="s">
        <v>32</v>
      </c>
      <c r="C614">
        <v>2.2000000000000002</v>
      </c>
      <c r="D614" t="s">
        <v>33</v>
      </c>
      <c r="F614" s="2" t="str">
        <f t="shared" ref="F614:F619" si="282">IF(C614&gt;$W$6,"Yes","No")</f>
        <v>No</v>
      </c>
      <c r="G614" t="s">
        <v>9</v>
      </c>
      <c r="J614" s="2" t="s">
        <v>19</v>
      </c>
      <c r="K614">
        <v>32</v>
      </c>
      <c r="L614" t="s">
        <v>12</v>
      </c>
      <c r="M614" t="s">
        <v>46</v>
      </c>
      <c r="N614" t="str">
        <f>IF(K614="N/A","No", IF(K614&gt;5000,"Yes","No"))</f>
        <v>No</v>
      </c>
      <c r="O614" t="str">
        <f>IF(K614="Not","No",IF(K614="n/a","N/A",IF(K614&gt;$Y$2,"Yes","No")))</f>
        <v>No</v>
      </c>
      <c r="Q614" s="2" t="s">
        <v>118</v>
      </c>
      <c r="R614" t="str">
        <f>IF(COUNTIF(R611:R613,"Yes"),"Yes","No")</f>
        <v>Yes</v>
      </c>
      <c r="S614" t="str">
        <f>IF(COUNTIF(S611:S613,"Yes"),"Yes","No")</f>
        <v>Yes</v>
      </c>
      <c r="U614" t="s">
        <v>164</v>
      </c>
      <c r="V614" t="s">
        <v>9</v>
      </c>
      <c r="W614" t="str">
        <f>O614</f>
        <v>No</v>
      </c>
      <c r="X614" t="str">
        <f t="shared" si="280"/>
        <v>Yes</v>
      </c>
    </row>
    <row r="615" spans="1:32" x14ac:dyDescent="0.2">
      <c r="A615" t="s">
        <v>109</v>
      </c>
      <c r="B615" t="s">
        <v>32</v>
      </c>
      <c r="C615">
        <v>5.9</v>
      </c>
      <c r="D615" t="s">
        <v>33</v>
      </c>
      <c r="F615" s="2" t="str">
        <f t="shared" si="282"/>
        <v>No</v>
      </c>
      <c r="G615" t="s">
        <v>9</v>
      </c>
      <c r="J615" s="2" t="s">
        <v>22</v>
      </c>
      <c r="K615" t="s">
        <v>120</v>
      </c>
      <c r="L615" t="s">
        <v>12</v>
      </c>
      <c r="M615" t="s">
        <v>43</v>
      </c>
      <c r="N615" t="str">
        <f>IF(K615="N/A","No", IF(K615&gt;5000,"Yes","No"))</f>
        <v>No</v>
      </c>
      <c r="O615" t="str">
        <f>IF(K615="Not","No",IF(K615="n/a","N/A",IF(K615&gt;$Y$2,"Yes","No")))</f>
        <v>N/A</v>
      </c>
      <c r="U615" t="s">
        <v>162</v>
      </c>
      <c r="V615" t="str">
        <f>R612</f>
        <v>No</v>
      </c>
      <c r="W615" t="str">
        <f>S612</f>
        <v>No</v>
      </c>
      <c r="X615" t="str">
        <f t="shared" si="280"/>
        <v>Yes</v>
      </c>
    </row>
    <row r="616" spans="1:32" x14ac:dyDescent="0.2">
      <c r="A616" t="s">
        <v>109</v>
      </c>
      <c r="B616" t="s">
        <v>54</v>
      </c>
      <c r="C616">
        <v>154.19999999999999</v>
      </c>
      <c r="D616" t="s">
        <v>33</v>
      </c>
      <c r="F616" s="2" t="str">
        <f t="shared" si="282"/>
        <v>Yes</v>
      </c>
      <c r="G616" t="s">
        <v>5</v>
      </c>
      <c r="J616" s="2" t="s">
        <v>25</v>
      </c>
      <c r="K616">
        <v>5</v>
      </c>
      <c r="L616" t="s">
        <v>12</v>
      </c>
      <c r="M616" t="s">
        <v>126</v>
      </c>
      <c r="N616" t="str">
        <f>IF(K616="N/A","No", IF(K616&gt;20,"Yes","No"))</f>
        <v>No</v>
      </c>
      <c r="O616" t="str">
        <f t="shared" ref="O616:O617" si="283">IF(K616="Not","No",IF(K616="n/a","N/A",IF(K616&gt;$Y$6,"Yes","No")))</f>
        <v>No</v>
      </c>
      <c r="U616" t="s">
        <v>101</v>
      </c>
      <c r="V616" t="s">
        <v>5</v>
      </c>
      <c r="W616" t="s">
        <v>9</v>
      </c>
      <c r="X616" t="str">
        <f>IF(V616="N/A","N/A",IF(W616="N/A", "N/A", IF(V616=W616, "Yes","No")))</f>
        <v>No</v>
      </c>
    </row>
    <row r="617" spans="1:32" x14ac:dyDescent="0.2">
      <c r="A617" t="s">
        <v>307</v>
      </c>
      <c r="B617" t="s">
        <v>32</v>
      </c>
      <c r="C617">
        <v>5.4</v>
      </c>
      <c r="D617" t="s">
        <v>33</v>
      </c>
      <c r="F617" s="2" t="str">
        <f t="shared" si="282"/>
        <v>No</v>
      </c>
      <c r="G617" t="s">
        <v>9</v>
      </c>
      <c r="J617" s="2" t="s">
        <v>29</v>
      </c>
      <c r="K617">
        <v>2.5</v>
      </c>
      <c r="L617" t="s">
        <v>12</v>
      </c>
      <c r="M617" t="s">
        <v>222</v>
      </c>
      <c r="N617" t="str">
        <f>IF(K617="N/A","No", IF(K617&gt;20,"Yes","No"))</f>
        <v>No</v>
      </c>
      <c r="O617" t="str">
        <f t="shared" si="283"/>
        <v>No</v>
      </c>
      <c r="U617" t="s">
        <v>104</v>
      </c>
      <c r="V617" t="s">
        <v>5</v>
      </c>
      <c r="W617" t="str">
        <f>O618</f>
        <v>Yes</v>
      </c>
      <c r="X617" t="str">
        <f>IF(V617="N/A","N/A",IF(W617="N/A", "N/A", IF(V617=W617, "Yes","No")))</f>
        <v>Yes</v>
      </c>
    </row>
    <row r="618" spans="1:32" x14ac:dyDescent="0.2">
      <c r="A618" t="s">
        <v>71</v>
      </c>
      <c r="B618" t="s">
        <v>32</v>
      </c>
      <c r="C618">
        <v>10.4</v>
      </c>
      <c r="D618" t="s">
        <v>33</v>
      </c>
      <c r="F618" s="2" t="str">
        <f t="shared" si="282"/>
        <v>Yes</v>
      </c>
      <c r="G618" t="s">
        <v>5</v>
      </c>
      <c r="J618" s="2" t="s">
        <v>34</v>
      </c>
      <c r="K618">
        <v>290</v>
      </c>
      <c r="L618" t="s">
        <v>12</v>
      </c>
      <c r="M618" t="s">
        <v>210</v>
      </c>
      <c r="N618" t="str">
        <f>IF(K618="N/A","No", IF(K618&gt;230,"Yes","No"))</f>
        <v>Yes</v>
      </c>
      <c r="O618" t="str">
        <f>IF(K618="Not","No",IF(K618="n/a","N/A",IF(K618&gt;$Y$5,"Yes","No")))</f>
        <v>Yes</v>
      </c>
      <c r="U618" t="s">
        <v>106</v>
      </c>
      <c r="V618" t="s">
        <v>5</v>
      </c>
      <c r="W618" t="str">
        <f>S613</f>
        <v>Yes</v>
      </c>
      <c r="X618" t="str">
        <f>IF(V618="N/A","N/A",IF(W618="N/A", "N/A", IF(V618=W618, "Yes","No")))</f>
        <v>Yes</v>
      </c>
    </row>
    <row r="619" spans="1:32" x14ac:dyDescent="0.2">
      <c r="A619" t="s">
        <v>70</v>
      </c>
      <c r="B619" t="s">
        <v>32</v>
      </c>
      <c r="C619">
        <v>9.5</v>
      </c>
      <c r="D619" t="s">
        <v>33</v>
      </c>
      <c r="F619" s="2" t="str">
        <f t="shared" si="282"/>
        <v>No</v>
      </c>
      <c r="G619" t="s">
        <v>5</v>
      </c>
      <c r="J619" s="2" t="s">
        <v>208</v>
      </c>
      <c r="K619">
        <v>20</v>
      </c>
      <c r="L619" t="s">
        <v>12</v>
      </c>
      <c r="M619" t="s">
        <v>223</v>
      </c>
      <c r="N619" t="str">
        <f>IF(K619="N/A","No", IF(K619&gt;20,"Yes","No"))</f>
        <v>No</v>
      </c>
      <c r="O619" t="str">
        <f>IF(K619="Not","No",IF(K619="n/a","N/A",IF(K619&gt;$Y$7,"Yes","No")))</f>
        <v>No</v>
      </c>
      <c r="U619" t="s">
        <v>121</v>
      </c>
      <c r="V619" t="str">
        <f>R614</f>
        <v>Yes</v>
      </c>
      <c r="W619" t="str">
        <f>S614</f>
        <v>Yes</v>
      </c>
      <c r="X619" t="str">
        <f>IF(V619="N/A","N/A",IF(W619="N/A", "N/A", IF(V619=W619, "Yes","No")))</f>
        <v>Yes</v>
      </c>
    </row>
    <row r="620" spans="1:32" x14ac:dyDescent="0.2">
      <c r="A620" t="s">
        <v>158</v>
      </c>
      <c r="B620" t="s">
        <v>54</v>
      </c>
      <c r="C620">
        <v>39</v>
      </c>
      <c r="D620" t="s">
        <v>33</v>
      </c>
      <c r="F620" s="2" t="str">
        <f>IF(C620&gt;$W$5,"Yes","No")</f>
        <v>No</v>
      </c>
      <c r="G620" t="s">
        <v>9</v>
      </c>
    </row>
    <row r="621" spans="1:32" x14ac:dyDescent="0.2">
      <c r="F621" s="2"/>
    </row>
    <row r="622" spans="1:32" x14ac:dyDescent="0.2">
      <c r="A622" s="1">
        <f>VLOOKUP(C622,'Grid - LRA Samples'!$A$2:$B$108, 2,FALSE)</f>
        <v>1282</v>
      </c>
      <c r="B622" t="s">
        <v>111</v>
      </c>
      <c r="C622">
        <v>59</v>
      </c>
    </row>
    <row r="623" spans="1:32" x14ac:dyDescent="0.2">
      <c r="A623" s="5" t="s">
        <v>0</v>
      </c>
      <c r="E623" s="2" t="s">
        <v>274</v>
      </c>
      <c r="F623" s="2" t="s">
        <v>275</v>
      </c>
      <c r="G623" t="s">
        <v>119</v>
      </c>
      <c r="J623" s="5" t="s">
        <v>1</v>
      </c>
      <c r="N623" s="2" t="s">
        <v>277</v>
      </c>
      <c r="O623" t="s">
        <v>278</v>
      </c>
      <c r="Q623" s="5" t="s">
        <v>115</v>
      </c>
      <c r="R623" s="5" t="s">
        <v>0</v>
      </c>
      <c r="S623" s="5" t="s">
        <v>1</v>
      </c>
      <c r="U623" s="5" t="s">
        <v>115</v>
      </c>
      <c r="V623" s="5" t="s">
        <v>0</v>
      </c>
      <c r="W623" s="5" t="s">
        <v>1</v>
      </c>
      <c r="X623" s="5" t="s">
        <v>122</v>
      </c>
      <c r="AA623" t="str">
        <f>IF(R624="Yes","LRA-Soil","")</f>
        <v/>
      </c>
      <c r="AB623" t="str">
        <f>IF(R625="Yes","LRA-Paint","")</f>
        <v>LRA-Paint</v>
      </c>
      <c r="AC623" t="str">
        <f>IF(R626="Yes","LRA-Dust","")</f>
        <v>LRA-Dust</v>
      </c>
      <c r="AD623" t="str">
        <f>IF(S624="Yes","LSK-Soil","")</f>
        <v>LSK-Soil</v>
      </c>
      <c r="AE623" t="str">
        <f>IF(S625="Yes","LSK-Paint","")</f>
        <v/>
      </c>
      <c r="AF623" t="str">
        <f>IF(S626="Yes","LSK-Dust","")</f>
        <v/>
      </c>
    </row>
    <row r="624" spans="1:32" x14ac:dyDescent="0.2">
      <c r="A624" t="s">
        <v>63</v>
      </c>
      <c r="B624" t="s">
        <v>3</v>
      </c>
      <c r="C624">
        <v>0.02</v>
      </c>
      <c r="D624" t="s">
        <v>4</v>
      </c>
      <c r="F624" s="2" t="str">
        <f t="shared" ref="F624:F625" si="284">IF(C624&gt;=$W$2,"Yes","No")</f>
        <v>No</v>
      </c>
      <c r="G624" t="s">
        <v>9</v>
      </c>
      <c r="H624" t="s">
        <v>46</v>
      </c>
      <c r="J624" s="2" t="s">
        <v>6</v>
      </c>
      <c r="K624">
        <v>95</v>
      </c>
      <c r="L624" t="s">
        <v>12</v>
      </c>
      <c r="M624" t="s">
        <v>114</v>
      </c>
      <c r="N624" t="str">
        <f>IF(K624="N/A","No", IF(K624&gt;1200,"Yes","No"))</f>
        <v>No</v>
      </c>
      <c r="O624" t="str">
        <f>IF(K624="Not","No",IF(K624="n/a","N/A",IF(K624&gt;=$Y$3,"Yes","No")))</f>
        <v>No</v>
      </c>
      <c r="Q624" s="2" t="s">
        <v>116</v>
      </c>
      <c r="R624" t="str">
        <f>_xlfn.XLOOKUP("ppm",D624:D633,F624:F633,"N/A")</f>
        <v>No</v>
      </c>
      <c r="S624" t="str">
        <f>IF(COUNTIF(O624:O626,"Yes"),"Yes","No")</f>
        <v>Yes</v>
      </c>
      <c r="U624" t="s">
        <v>92</v>
      </c>
      <c r="V624" t="s">
        <v>5</v>
      </c>
      <c r="W624" t="s">
        <v>120</v>
      </c>
      <c r="X624" t="str">
        <f>IF(V624="N/A","N/A",IF(W624="N/A", "N/A", IF(V624=W624, "Yes","No")))</f>
        <v>N/A</v>
      </c>
    </row>
    <row r="625" spans="1:32" x14ac:dyDescent="0.2">
      <c r="A625" t="s">
        <v>63</v>
      </c>
      <c r="B625" t="s">
        <v>18</v>
      </c>
      <c r="C625">
        <v>0.2</v>
      </c>
      <c r="D625" t="s">
        <v>4</v>
      </c>
      <c r="F625" s="2" t="str">
        <f t="shared" si="284"/>
        <v>No</v>
      </c>
      <c r="G625" t="s">
        <v>9</v>
      </c>
      <c r="H625" t="s">
        <v>46</v>
      </c>
      <c r="J625" s="2" t="s">
        <v>11</v>
      </c>
      <c r="K625">
        <v>1279</v>
      </c>
      <c r="L625" t="s">
        <v>12</v>
      </c>
      <c r="M625" t="s">
        <v>67</v>
      </c>
      <c r="N625" t="str">
        <f t="shared" ref="N625:N626" si="285">IF(K625="N/A","No", IF(K625&gt;1200,"Yes","No"))</f>
        <v>Yes</v>
      </c>
      <c r="O625" t="str">
        <f t="shared" ref="O625:O626" si="286">IF(K625="Not","No",IF(K625="n/a","N/A",IF(K625&gt;$Y$3,"Yes","No")))</f>
        <v>Yes</v>
      </c>
      <c r="Q625" s="2" t="s">
        <v>98</v>
      </c>
      <c r="R625" t="str">
        <f>_xlfn.XLOOKUP("mg/cm2",D624:D633,G624:G633,"N/A",1,-1)</f>
        <v>Yes</v>
      </c>
      <c r="S625" t="str">
        <f>IF(COUNTIF(O627:O628,"Yes"),"Yes","No")</f>
        <v>No</v>
      </c>
      <c r="U625" t="s">
        <v>95</v>
      </c>
      <c r="V625" t="str">
        <f>R624</f>
        <v>No</v>
      </c>
      <c r="W625" t="str">
        <f>S624</f>
        <v>Yes</v>
      </c>
      <c r="X625" t="str">
        <f t="shared" ref="X625:X628" si="287">IF(V625="N/A","N/A",IF(W625="N/A", "N/A", IF(V625=W625, "Yes","No")))</f>
        <v>No</v>
      </c>
    </row>
    <row r="626" spans="1:32" x14ac:dyDescent="0.2">
      <c r="A626" t="s">
        <v>161</v>
      </c>
      <c r="B626" t="s">
        <v>28</v>
      </c>
      <c r="C626">
        <v>270</v>
      </c>
      <c r="D626" t="s">
        <v>12</v>
      </c>
      <c r="F626" s="2" t="str">
        <f>IF(C626&gt;$W$3,"Yes","No")</f>
        <v>No</v>
      </c>
      <c r="G626" t="s">
        <v>9</v>
      </c>
      <c r="J626" s="2" t="s">
        <v>15</v>
      </c>
      <c r="K626">
        <v>1159</v>
      </c>
      <c r="L626" t="s">
        <v>12</v>
      </c>
      <c r="M626" t="s">
        <v>112</v>
      </c>
      <c r="N626" t="str">
        <f t="shared" si="285"/>
        <v>No</v>
      </c>
      <c r="O626" t="str">
        <f t="shared" si="286"/>
        <v>Yes</v>
      </c>
      <c r="Q626" s="2" t="s">
        <v>117</v>
      </c>
      <c r="R626" s="30" t="s">
        <v>5</v>
      </c>
      <c r="S626" t="str">
        <f>IF(COUNTIF(O629:O632,"Yes"),"Yes","No")</f>
        <v>No</v>
      </c>
      <c r="U626" t="s">
        <v>163</v>
      </c>
      <c r="V626" t="s">
        <v>5</v>
      </c>
      <c r="W626" t="str">
        <f>O628</f>
        <v>No</v>
      </c>
      <c r="X626" t="str">
        <f t="shared" si="287"/>
        <v>No</v>
      </c>
    </row>
    <row r="627" spans="1:32" x14ac:dyDescent="0.2">
      <c r="A627" t="s">
        <v>64</v>
      </c>
      <c r="B627" t="s">
        <v>10</v>
      </c>
      <c r="C627">
        <v>1.3</v>
      </c>
      <c r="D627" t="s">
        <v>4</v>
      </c>
      <c r="F627" s="2" t="str">
        <f t="shared" ref="F627:F629" si="288">IF(C627&gt;=$W$2,"Yes","No")</f>
        <v>Yes</v>
      </c>
      <c r="G627" t="s">
        <v>5</v>
      </c>
      <c r="H627" t="s">
        <v>43</v>
      </c>
      <c r="J627" s="2" t="s">
        <v>19</v>
      </c>
      <c r="K627">
        <v>245</v>
      </c>
      <c r="L627" t="s">
        <v>12</v>
      </c>
      <c r="M627" t="s">
        <v>46</v>
      </c>
      <c r="N627" t="str">
        <f>IF(K627="N/A","No", IF(K627&gt;5000,"Yes","No"))</f>
        <v>No</v>
      </c>
      <c r="O627" t="str">
        <f>IF(K627="Not","No",IF(K627="n/a","N/A",IF(K627&gt;$Y$2,"Yes","No")))</f>
        <v>No</v>
      </c>
      <c r="Q627" s="2" t="s">
        <v>118</v>
      </c>
      <c r="R627" t="str">
        <f>IF(COUNTIF(R624:R626,"Yes"),"Yes","No")</f>
        <v>Yes</v>
      </c>
      <c r="S627" t="str">
        <f>IF(COUNTIF(S624:S626,"Yes"),"Yes","No")</f>
        <v>Yes</v>
      </c>
      <c r="U627" t="s">
        <v>164</v>
      </c>
      <c r="V627" t="s">
        <v>9</v>
      </c>
      <c r="W627" t="str">
        <f>O627</f>
        <v>No</v>
      </c>
      <c r="X627" t="str">
        <f t="shared" si="287"/>
        <v>Yes</v>
      </c>
    </row>
    <row r="628" spans="1:32" x14ac:dyDescent="0.2">
      <c r="A628" t="s">
        <v>64</v>
      </c>
      <c r="B628" t="s">
        <v>77</v>
      </c>
      <c r="C628">
        <v>4.0999999999999996</v>
      </c>
      <c r="D628" t="s">
        <v>4</v>
      </c>
      <c r="F628" s="2" t="str">
        <f t="shared" si="288"/>
        <v>Yes</v>
      </c>
      <c r="G628" t="s">
        <v>5</v>
      </c>
      <c r="H628" t="s">
        <v>43</v>
      </c>
      <c r="J628" s="2" t="s">
        <v>22</v>
      </c>
      <c r="K628">
        <v>74</v>
      </c>
      <c r="L628" t="s">
        <v>12</v>
      </c>
      <c r="M628" t="s">
        <v>43</v>
      </c>
      <c r="N628" t="str">
        <f>IF(K628="N/A","No", IF(K628&gt;5000,"Yes","No"))</f>
        <v>No</v>
      </c>
      <c r="O628" t="str">
        <f>IF(K628="Not","No",IF(K628="n/a","N/A",IF(K628&gt;$Y$2,"Yes","No")))</f>
        <v>No</v>
      </c>
      <c r="U628" t="s">
        <v>162</v>
      </c>
      <c r="V628" t="str">
        <f>R625</f>
        <v>Yes</v>
      </c>
      <c r="W628" t="str">
        <f>S625</f>
        <v>No</v>
      </c>
      <c r="X628" t="str">
        <f t="shared" si="287"/>
        <v>No</v>
      </c>
    </row>
    <row r="629" spans="1:32" x14ac:dyDescent="0.2">
      <c r="A629" t="s">
        <v>64</v>
      </c>
      <c r="B629" t="s">
        <v>40</v>
      </c>
      <c r="C629">
        <v>4.8</v>
      </c>
      <c r="D629" t="s">
        <v>4</v>
      </c>
      <c r="F629" s="2" t="str">
        <f t="shared" si="288"/>
        <v>Yes</v>
      </c>
      <c r="G629" t="s">
        <v>5</v>
      </c>
      <c r="H629" t="s">
        <v>43</v>
      </c>
      <c r="J629" s="2" t="s">
        <v>25</v>
      </c>
      <c r="K629">
        <v>7</v>
      </c>
      <c r="L629" t="s">
        <v>12</v>
      </c>
      <c r="M629" t="s">
        <v>126</v>
      </c>
      <c r="N629" t="str">
        <f>IF(K629="N/A","No", IF(K629&gt;20,"Yes","No"))</f>
        <v>No</v>
      </c>
      <c r="O629" t="str">
        <f t="shared" ref="O629:O630" si="289">IF(K629="Not","No",IF(K629="n/a","N/A",IF(K629&gt;$Y$6,"Yes","No")))</f>
        <v>No</v>
      </c>
      <c r="U629" t="s">
        <v>101</v>
      </c>
      <c r="V629" t="s">
        <v>5</v>
      </c>
      <c r="W629" t="s">
        <v>9</v>
      </c>
      <c r="X629" t="str">
        <f>IF(V629="N/A","N/A",IF(W629="N/A", "N/A", IF(V629=W629, "Yes","No")))</f>
        <v>No</v>
      </c>
    </row>
    <row r="630" spans="1:32" x14ac:dyDescent="0.2">
      <c r="A630" t="s">
        <v>113</v>
      </c>
      <c r="B630" t="s">
        <v>32</v>
      </c>
      <c r="C630">
        <v>3.4</v>
      </c>
      <c r="D630" t="s">
        <v>33</v>
      </c>
      <c r="F630" s="2" t="str">
        <f t="shared" ref="F630:F636" si="290">IF(C630&gt;$W$6,"Yes","No")</f>
        <v>No</v>
      </c>
      <c r="G630" t="s">
        <v>9</v>
      </c>
      <c r="J630" s="2" t="s">
        <v>29</v>
      </c>
      <c r="K630">
        <v>10</v>
      </c>
      <c r="L630" t="s">
        <v>12</v>
      </c>
      <c r="M630" t="s">
        <v>222</v>
      </c>
      <c r="N630" t="str">
        <f>IF(K630="N/A","No", IF(K630&gt;20,"Yes","No"))</f>
        <v>No</v>
      </c>
      <c r="O630" t="str">
        <f t="shared" si="289"/>
        <v>No</v>
      </c>
      <c r="U630" t="s">
        <v>104</v>
      </c>
      <c r="V630" t="s">
        <v>5</v>
      </c>
      <c r="W630" t="str">
        <f>O631</f>
        <v>No</v>
      </c>
      <c r="X630" t="str">
        <f>IF(V630="N/A","N/A",IF(W630="N/A", "N/A", IF(V630=W630, "Yes","No")))</f>
        <v>No</v>
      </c>
    </row>
    <row r="631" spans="1:32" x14ac:dyDescent="0.2">
      <c r="A631" t="s">
        <v>109</v>
      </c>
      <c r="B631" t="s">
        <v>32</v>
      </c>
      <c r="C631">
        <v>3.6</v>
      </c>
      <c r="D631" t="s">
        <v>33</v>
      </c>
      <c r="F631" s="2" t="str">
        <f t="shared" si="290"/>
        <v>No</v>
      </c>
      <c r="G631" t="s">
        <v>9</v>
      </c>
      <c r="J631" s="2" t="s">
        <v>34</v>
      </c>
      <c r="K631">
        <v>19</v>
      </c>
      <c r="L631" t="s">
        <v>12</v>
      </c>
      <c r="M631" t="s">
        <v>210</v>
      </c>
      <c r="N631" t="str">
        <f>IF(K631="N/A","No", IF(K631&gt;230,"Yes","No"))</f>
        <v>No</v>
      </c>
      <c r="O631" t="str">
        <f>IF(K631="Not","No",IF(K631="n/a","N/A",IF(K631&gt;$Y$5,"Yes","No")))</f>
        <v>No</v>
      </c>
      <c r="U631" t="s">
        <v>106</v>
      </c>
      <c r="V631" t="s">
        <v>5</v>
      </c>
      <c r="W631" t="str">
        <f>S626</f>
        <v>No</v>
      </c>
      <c r="X631" t="str">
        <f>IF(V631="N/A","N/A",IF(W631="N/A", "N/A", IF(V631=W631, "Yes","No")))</f>
        <v>No</v>
      </c>
    </row>
    <row r="632" spans="1:32" x14ac:dyDescent="0.2">
      <c r="A632" t="s">
        <v>293</v>
      </c>
      <c r="B632" t="s">
        <v>32</v>
      </c>
      <c r="C632">
        <v>5.8</v>
      </c>
      <c r="D632" t="s">
        <v>33</v>
      </c>
      <c r="F632" s="2" t="str">
        <f t="shared" si="290"/>
        <v>No</v>
      </c>
      <c r="G632" t="s">
        <v>9</v>
      </c>
      <c r="J632" s="2" t="s">
        <v>208</v>
      </c>
      <c r="K632">
        <v>295</v>
      </c>
      <c r="L632" t="s">
        <v>12</v>
      </c>
      <c r="M632" t="s">
        <v>223</v>
      </c>
      <c r="N632" t="str">
        <f>IF(K632="N/A","No", IF(K632&gt;20,"Yes","No"))</f>
        <v>Yes</v>
      </c>
      <c r="O632" t="str">
        <f>IF(K632="Not","No",IF(K632="n/a","N/A",IF(K632&gt;$Y$7,"Yes","No")))</f>
        <v>No</v>
      </c>
      <c r="U632" t="s">
        <v>121</v>
      </c>
      <c r="V632" t="str">
        <f>R627</f>
        <v>Yes</v>
      </c>
      <c r="W632" t="str">
        <f>S627</f>
        <v>Yes</v>
      </c>
      <c r="X632" t="str">
        <f>IF(V632="N/A","N/A",IF(W632="N/A", "N/A", IF(V632=W632, "Yes","No")))</f>
        <v>Yes</v>
      </c>
    </row>
    <row r="633" spans="1:32" x14ac:dyDescent="0.2">
      <c r="A633" t="s">
        <v>293</v>
      </c>
      <c r="B633" t="s">
        <v>32</v>
      </c>
      <c r="C633">
        <v>72</v>
      </c>
      <c r="D633" t="s">
        <v>33</v>
      </c>
      <c r="F633" s="2" t="str">
        <f t="shared" si="290"/>
        <v>Yes</v>
      </c>
      <c r="G633" t="s">
        <v>9</v>
      </c>
    </row>
    <row r="634" spans="1:32" x14ac:dyDescent="0.2">
      <c r="A634" t="s">
        <v>71</v>
      </c>
      <c r="B634" t="s">
        <v>32</v>
      </c>
      <c r="C634">
        <v>483</v>
      </c>
      <c r="D634" t="s">
        <v>33</v>
      </c>
      <c r="F634" s="2" t="str">
        <f t="shared" si="290"/>
        <v>Yes</v>
      </c>
      <c r="G634" t="s">
        <v>5</v>
      </c>
    </row>
    <row r="635" spans="1:32" x14ac:dyDescent="0.2">
      <c r="A635" t="s">
        <v>71</v>
      </c>
      <c r="B635" t="s">
        <v>32</v>
      </c>
      <c r="C635">
        <v>24.9</v>
      </c>
      <c r="D635" t="s">
        <v>33</v>
      </c>
      <c r="F635" s="2" t="str">
        <f t="shared" si="290"/>
        <v>Yes</v>
      </c>
      <c r="G635" t="s">
        <v>5</v>
      </c>
    </row>
    <row r="636" spans="1:32" x14ac:dyDescent="0.2">
      <c r="A636" t="s">
        <v>70</v>
      </c>
      <c r="B636" t="s">
        <v>32</v>
      </c>
      <c r="C636">
        <v>20.5</v>
      </c>
      <c r="D636" t="s">
        <v>33</v>
      </c>
      <c r="F636" s="2" t="str">
        <f t="shared" si="290"/>
        <v>Yes</v>
      </c>
      <c r="G636" t="s">
        <v>5</v>
      </c>
    </row>
    <row r="637" spans="1:32" x14ac:dyDescent="0.2">
      <c r="A637" t="s">
        <v>158</v>
      </c>
      <c r="B637" t="s">
        <v>54</v>
      </c>
      <c r="C637">
        <v>153</v>
      </c>
      <c r="D637" t="s">
        <v>33</v>
      </c>
      <c r="F637" s="2" t="str">
        <f>IF(C637&gt;$W$5,"Yes","No")</f>
        <v>Yes</v>
      </c>
      <c r="G637" t="s">
        <v>5</v>
      </c>
    </row>
    <row r="639" spans="1:32" x14ac:dyDescent="0.2">
      <c r="A639" s="1">
        <f>VLOOKUP(C639,'Grid - LRA Samples'!$A$2:$B$108, 2,FALSE)</f>
        <v>1283</v>
      </c>
      <c r="B639" t="s">
        <v>111</v>
      </c>
      <c r="C639">
        <v>60</v>
      </c>
    </row>
    <row r="640" spans="1:32" x14ac:dyDescent="0.2">
      <c r="A640" s="5" t="s">
        <v>0</v>
      </c>
      <c r="E640" s="2" t="s">
        <v>274</v>
      </c>
      <c r="F640" s="2" t="s">
        <v>275</v>
      </c>
      <c r="G640" t="s">
        <v>119</v>
      </c>
      <c r="J640" s="5" t="s">
        <v>1</v>
      </c>
      <c r="N640" s="2" t="s">
        <v>277</v>
      </c>
      <c r="O640" t="s">
        <v>278</v>
      </c>
      <c r="Q640" s="5" t="s">
        <v>115</v>
      </c>
      <c r="R640" s="5" t="s">
        <v>0</v>
      </c>
      <c r="S640" s="5" t="s">
        <v>1</v>
      </c>
      <c r="U640" s="5" t="s">
        <v>115</v>
      </c>
      <c r="V640" s="5" t="s">
        <v>0</v>
      </c>
      <c r="W640" s="5" t="s">
        <v>1</v>
      </c>
      <c r="X640" s="5" t="s">
        <v>122</v>
      </c>
      <c r="AA640" t="str">
        <f>IF(R641="Yes","LRA-Soil","")</f>
        <v/>
      </c>
      <c r="AB640" t="str">
        <f>IF(R642="Yes","LRA-Paint","")</f>
        <v/>
      </c>
      <c r="AC640" t="str">
        <f>IF(R643="Yes","LRA-Dust","")</f>
        <v/>
      </c>
      <c r="AD640" t="str">
        <f>IF(S641="Yes","LSK-Soil","")</f>
        <v/>
      </c>
      <c r="AE640" t="str">
        <f>IF(S642="Yes","LSK-Paint","")</f>
        <v/>
      </c>
      <c r="AF640" t="str">
        <f>IF(S643="Yes","LSK-Dust","")</f>
        <v/>
      </c>
    </row>
    <row r="641" spans="1:32" x14ac:dyDescent="0.2">
      <c r="A641" t="s">
        <v>63</v>
      </c>
      <c r="B641" t="s">
        <v>77</v>
      </c>
      <c r="C641">
        <v>0</v>
      </c>
      <c r="D641" t="s">
        <v>4</v>
      </c>
      <c r="F641" s="2" t="str">
        <f t="shared" ref="F641" si="291">IF(C641&gt;=$W$2,"Yes","No")</f>
        <v>No</v>
      </c>
      <c r="G641" t="s">
        <v>9</v>
      </c>
      <c r="H641" t="s">
        <v>46</v>
      </c>
      <c r="J641" s="2" t="s">
        <v>6</v>
      </c>
      <c r="K641">
        <v>44.5</v>
      </c>
      <c r="L641" t="s">
        <v>12</v>
      </c>
      <c r="M641" t="s">
        <v>114</v>
      </c>
      <c r="N641" t="str">
        <f>IF(K641="N/A","No", IF(K641&gt;1200,"Yes","No"))</f>
        <v>No</v>
      </c>
      <c r="O641" t="str">
        <f>IF(K641="Not","No",IF(K641="n/a","N/A",IF(K641&gt;=$Y$3,"Yes","No")))</f>
        <v>No</v>
      </c>
      <c r="Q641" s="2" t="s">
        <v>116</v>
      </c>
      <c r="R641" t="str">
        <f>_xlfn.XLOOKUP("ppm",D641:D650,F641:F650,"N/A")</f>
        <v>No</v>
      </c>
      <c r="S641" t="str">
        <f>IF(COUNTIF(O641:O643,"Yes"),"Yes","No")</f>
        <v>No</v>
      </c>
      <c r="U641" t="s">
        <v>92</v>
      </c>
      <c r="V641" t="s">
        <v>120</v>
      </c>
      <c r="W641" t="s">
        <v>120</v>
      </c>
      <c r="X641" t="str">
        <f>IF(V641="N/A","N/A",IF(W641="N/A", "N/A", IF(V641=W641, "Yes","No")))</f>
        <v>N/A</v>
      </c>
    </row>
    <row r="642" spans="1:32" x14ac:dyDescent="0.2">
      <c r="A642" t="s">
        <v>75</v>
      </c>
      <c r="B642" t="s">
        <v>301</v>
      </c>
      <c r="C642">
        <v>115</v>
      </c>
      <c r="D642" t="s">
        <v>12</v>
      </c>
      <c r="F642" s="2" t="str">
        <f>IF(C642&gt;$W$3,"Yes","No")</f>
        <v>No</v>
      </c>
      <c r="G642" t="s">
        <v>9</v>
      </c>
      <c r="J642" s="2" t="s">
        <v>11</v>
      </c>
      <c r="K642">
        <v>16.399999999999999</v>
      </c>
      <c r="L642" t="s">
        <v>12</v>
      </c>
      <c r="M642" t="s">
        <v>67</v>
      </c>
      <c r="N642" t="str">
        <f t="shared" ref="N642:N643" si="292">IF(K642="N/A","No", IF(K642&gt;1200,"Yes","No"))</f>
        <v>No</v>
      </c>
      <c r="O642" t="str">
        <f t="shared" ref="O642:O643" si="293">IF(K642="Not","No",IF(K642="n/a","N/A",IF(K642&gt;$Y$3,"Yes","No")))</f>
        <v>No</v>
      </c>
      <c r="Q642" s="2" t="s">
        <v>98</v>
      </c>
      <c r="R642" t="str">
        <f>_xlfn.XLOOKUP("mg/cm2",D641:D650,G641:G650,"N/A",1,-1)</f>
        <v>No</v>
      </c>
      <c r="S642" t="s">
        <v>120</v>
      </c>
      <c r="U642" t="s">
        <v>95</v>
      </c>
      <c r="V642" t="str">
        <f>R641</f>
        <v>No</v>
      </c>
      <c r="W642" t="str">
        <f>S641</f>
        <v>No</v>
      </c>
      <c r="X642" t="str">
        <f t="shared" ref="X642:X645" si="294">IF(V642="N/A","N/A",IF(W642="N/A", "N/A", IF(V642=W642, "Yes","No")))</f>
        <v>Yes</v>
      </c>
    </row>
    <row r="643" spans="1:32" x14ac:dyDescent="0.2">
      <c r="A643" t="s">
        <v>71</v>
      </c>
      <c r="B643" t="s">
        <v>40</v>
      </c>
      <c r="C643">
        <v>0</v>
      </c>
      <c r="D643" t="s">
        <v>4</v>
      </c>
      <c r="F643" s="2" t="str">
        <f t="shared" ref="F643" si="295">IF(C643&gt;=$W$2,"Yes","No")</f>
        <v>No</v>
      </c>
      <c r="G643" t="s">
        <v>9</v>
      </c>
      <c r="H643" t="s">
        <v>43</v>
      </c>
      <c r="J643" s="2" t="s">
        <v>15</v>
      </c>
      <c r="K643">
        <v>97</v>
      </c>
      <c r="L643" t="s">
        <v>12</v>
      </c>
      <c r="M643" t="s">
        <v>112</v>
      </c>
      <c r="N643" t="str">
        <f t="shared" si="292"/>
        <v>No</v>
      </c>
      <c r="O643" t="str">
        <f t="shared" si="293"/>
        <v>No</v>
      </c>
      <c r="Q643" s="2" t="s">
        <v>117</v>
      </c>
      <c r="R643" s="30" t="s">
        <v>9</v>
      </c>
      <c r="S643" t="str">
        <f>IF(COUNTIF(O646:O648,"Yes"),"Yes","No")</f>
        <v>No</v>
      </c>
      <c r="U643" t="s">
        <v>163</v>
      </c>
      <c r="V643" t="s">
        <v>9</v>
      </c>
      <c r="W643" t="str">
        <f>O645</f>
        <v>N/A</v>
      </c>
      <c r="X643" t="str">
        <f t="shared" si="294"/>
        <v>N/A</v>
      </c>
    </row>
    <row r="644" spans="1:32" x14ac:dyDescent="0.2">
      <c r="A644" t="s">
        <v>71</v>
      </c>
      <c r="B644" t="s">
        <v>32</v>
      </c>
      <c r="C644">
        <v>3</v>
      </c>
      <c r="D644" t="s">
        <v>33</v>
      </c>
      <c r="F644" s="2" t="str">
        <f t="shared" ref="F644" si="296">IF(C644&gt;$W$6,"Yes","No")</f>
        <v>No</v>
      </c>
      <c r="G644" t="s">
        <v>9</v>
      </c>
      <c r="J644" s="2" t="s">
        <v>19</v>
      </c>
      <c r="K644" t="s">
        <v>120</v>
      </c>
      <c r="L644" t="s">
        <v>12</v>
      </c>
      <c r="M644" t="s">
        <v>46</v>
      </c>
      <c r="N644" t="str">
        <f>IF(K644="N/A","No", IF(K644&gt;5000,"Yes","No"))</f>
        <v>No</v>
      </c>
      <c r="O644" t="str">
        <f>IF(K644="Not","No",IF(K644="n/a","N/A",IF(K644&gt;$Y$2,"Yes","No")))</f>
        <v>N/A</v>
      </c>
      <c r="Q644" s="2" t="s">
        <v>118</v>
      </c>
      <c r="R644" t="str">
        <f>IF(COUNTIF(R641:R643,"Yes"),"Yes","No")</f>
        <v>No</v>
      </c>
      <c r="S644" t="str">
        <f>IF(COUNTIF(S641:S643,"Yes"),"Yes","No")</f>
        <v>No</v>
      </c>
      <c r="U644" t="s">
        <v>164</v>
      </c>
      <c r="V644" t="s">
        <v>9</v>
      </c>
      <c r="W644" t="str">
        <f>O644</f>
        <v>N/A</v>
      </c>
      <c r="X644" t="str">
        <f t="shared" si="294"/>
        <v>N/A</v>
      </c>
    </row>
    <row r="645" spans="1:32" x14ac:dyDescent="0.2">
      <c r="A645" t="s">
        <v>158</v>
      </c>
      <c r="B645" t="s">
        <v>54</v>
      </c>
      <c r="C645">
        <v>18</v>
      </c>
      <c r="D645" t="s">
        <v>33</v>
      </c>
      <c r="F645" s="2" t="str">
        <f>IF(C645&gt;$W$5,"Yes","No")</f>
        <v>No</v>
      </c>
      <c r="G645" t="s">
        <v>9</v>
      </c>
      <c r="J645" s="2" t="s">
        <v>22</v>
      </c>
      <c r="K645" t="s">
        <v>120</v>
      </c>
      <c r="L645" t="s">
        <v>12</v>
      </c>
      <c r="M645" t="s">
        <v>43</v>
      </c>
      <c r="N645" t="str">
        <f>IF(K645="N/A","No", IF(K645&gt;5000,"Yes","No"))</f>
        <v>No</v>
      </c>
      <c r="O645" t="str">
        <f>IF(K645="Not","No",IF(K645="n/a","N/A",IF(K645&gt;$Y$2,"Yes","No")))</f>
        <v>N/A</v>
      </c>
      <c r="U645" t="s">
        <v>162</v>
      </c>
      <c r="V645" t="str">
        <f>R642</f>
        <v>No</v>
      </c>
      <c r="W645" t="str">
        <f>S642</f>
        <v>N/A</v>
      </c>
      <c r="X645" t="str">
        <f t="shared" si="294"/>
        <v>N/A</v>
      </c>
    </row>
    <row r="646" spans="1:32" x14ac:dyDescent="0.2">
      <c r="F646" s="2"/>
      <c r="J646" s="2" t="s">
        <v>25</v>
      </c>
      <c r="K646">
        <v>2.5</v>
      </c>
      <c r="L646" t="s">
        <v>12</v>
      </c>
      <c r="M646" t="s">
        <v>126</v>
      </c>
      <c r="N646" t="str">
        <f>IF(K646="N/A","No", IF(K646&gt;20,"Yes","No"))</f>
        <v>No</v>
      </c>
      <c r="O646" t="str">
        <f t="shared" ref="O646:O647" si="297">IF(K646="Not","No",IF(K646="n/a","N/A",IF(K646&gt;$Y$6,"Yes","No")))</f>
        <v>No</v>
      </c>
      <c r="U646" t="s">
        <v>101</v>
      </c>
      <c r="V646" t="s">
        <v>9</v>
      </c>
      <c r="W646" t="s">
        <v>9</v>
      </c>
      <c r="X646" t="str">
        <f>IF(V646="N/A","N/A",IF(W646="N/A", "N/A", IF(V646=W646, "Yes","No")))</f>
        <v>Yes</v>
      </c>
    </row>
    <row r="647" spans="1:32" x14ac:dyDescent="0.2">
      <c r="F647" s="2"/>
      <c r="J647" s="2" t="s">
        <v>29</v>
      </c>
      <c r="K647">
        <v>2.5</v>
      </c>
      <c r="L647" t="s">
        <v>12</v>
      </c>
      <c r="M647" t="s">
        <v>222</v>
      </c>
      <c r="N647" t="str">
        <f>IF(K647="N/A","No", IF(K647&gt;20,"Yes","No"))</f>
        <v>No</v>
      </c>
      <c r="O647" t="str">
        <f t="shared" si="297"/>
        <v>No</v>
      </c>
      <c r="U647" t="s">
        <v>104</v>
      </c>
      <c r="V647" t="s">
        <v>9</v>
      </c>
      <c r="W647" t="str">
        <f>O648</f>
        <v>No</v>
      </c>
      <c r="X647" t="str">
        <f>IF(V647="N/A","N/A",IF(W647="N/A", "N/A", IF(V647=W647, "Yes","No")))</f>
        <v>Yes</v>
      </c>
    </row>
    <row r="648" spans="1:32" x14ac:dyDescent="0.2">
      <c r="F648" s="2"/>
      <c r="J648" s="2" t="s">
        <v>34</v>
      </c>
      <c r="K648">
        <v>6</v>
      </c>
      <c r="L648" t="s">
        <v>12</v>
      </c>
      <c r="M648" t="s">
        <v>210</v>
      </c>
      <c r="N648" t="str">
        <f>IF(K648="N/A","No", IF(K648&gt;230,"Yes","No"))</f>
        <v>No</v>
      </c>
      <c r="O648" t="str">
        <f>IF(K648="Not","No",IF(K648="n/a","N/A",IF(K648&gt;$Y$5,"Yes","No")))</f>
        <v>No</v>
      </c>
      <c r="U648" t="s">
        <v>106</v>
      </c>
      <c r="V648" t="str">
        <f>R643</f>
        <v>No</v>
      </c>
      <c r="W648" t="str">
        <f>S643</f>
        <v>No</v>
      </c>
      <c r="X648" t="str">
        <f>IF(V648="N/A","N/A",IF(W648="N/A", "N/A", IF(V648=W648, "Yes","No")))</f>
        <v>Yes</v>
      </c>
    </row>
    <row r="649" spans="1:32" x14ac:dyDescent="0.2">
      <c r="F649" s="2"/>
      <c r="J649" s="2" t="s">
        <v>208</v>
      </c>
      <c r="K649">
        <v>31.2</v>
      </c>
      <c r="L649" t="s">
        <v>12</v>
      </c>
      <c r="M649" t="s">
        <v>223</v>
      </c>
      <c r="N649" t="str">
        <f>IF(K649="N/A","No", IF(K649&gt;20,"Yes","No"))</f>
        <v>Yes</v>
      </c>
      <c r="O649" t="str">
        <f>IF(K649="Not","No",IF(K649="n/a","N/A",IF(K649&gt;$Y$7,"Yes","No")))</f>
        <v>No</v>
      </c>
      <c r="U649" t="s">
        <v>121</v>
      </c>
      <c r="V649" t="str">
        <f>R644</f>
        <v>No</v>
      </c>
      <c r="W649" t="str">
        <f>S644</f>
        <v>No</v>
      </c>
      <c r="X649" t="str">
        <f>IF(V649="N/A","N/A",IF(W649="N/A", "N/A", IF(V649=W649, "Yes","No")))</f>
        <v>Yes</v>
      </c>
    </row>
    <row r="650" spans="1:32" x14ac:dyDescent="0.2">
      <c r="F650" s="2"/>
    </row>
    <row r="651" spans="1:32" x14ac:dyDescent="0.2">
      <c r="A651" s="1">
        <f>VLOOKUP(C651,'Grid - LRA Samples'!$A$2:$B$108, 2,FALSE)</f>
        <v>1284</v>
      </c>
      <c r="B651" t="s">
        <v>111</v>
      </c>
      <c r="C651">
        <v>61</v>
      </c>
    </row>
    <row r="652" spans="1:32" x14ac:dyDescent="0.2">
      <c r="A652" s="5" t="s">
        <v>0</v>
      </c>
      <c r="E652" s="2" t="s">
        <v>274</v>
      </c>
      <c r="F652" s="2" t="s">
        <v>275</v>
      </c>
      <c r="G652" t="s">
        <v>119</v>
      </c>
      <c r="J652" s="5" t="s">
        <v>1</v>
      </c>
      <c r="N652" s="2" t="s">
        <v>277</v>
      </c>
      <c r="O652" t="s">
        <v>278</v>
      </c>
      <c r="Q652" s="5" t="s">
        <v>115</v>
      </c>
      <c r="R652" s="5" t="s">
        <v>0</v>
      </c>
      <c r="S652" s="5" t="s">
        <v>1</v>
      </c>
      <c r="U652" s="5" t="s">
        <v>115</v>
      </c>
      <c r="V652" s="5" t="s">
        <v>0</v>
      </c>
      <c r="W652" s="5" t="s">
        <v>1</v>
      </c>
      <c r="X652" s="5" t="s">
        <v>122</v>
      </c>
      <c r="AA652" t="str">
        <f>IF(R653="Yes","LRA-Soil","")</f>
        <v/>
      </c>
      <c r="AB652" t="str">
        <f>IF(R654="Yes","LRA-Paint","")</f>
        <v>LRA-Paint</v>
      </c>
      <c r="AC652" t="str">
        <f>IF(R655="Yes","LRA-Dust","")</f>
        <v/>
      </c>
      <c r="AD652" t="str">
        <f>IF(S653="Yes","LSK-Soil","")</f>
        <v/>
      </c>
      <c r="AE652" t="str">
        <f>IF(S654="Yes","LSK-Paint","")</f>
        <v>LSK-Paint</v>
      </c>
      <c r="AF652" t="str">
        <f>IF(S655="Yes","LSK-Dust","")</f>
        <v/>
      </c>
    </row>
    <row r="653" spans="1:32" x14ac:dyDescent="0.2">
      <c r="A653" t="s">
        <v>185</v>
      </c>
      <c r="B653" t="s">
        <v>221</v>
      </c>
      <c r="C653">
        <v>1.4</v>
      </c>
      <c r="D653" t="s">
        <v>4</v>
      </c>
      <c r="E653" t="s">
        <v>5</v>
      </c>
      <c r="F653" s="2" t="str">
        <f t="shared" ref="F653:F660" si="298">IF(C653&gt;=$W$2,"Yes","No")</f>
        <v>Yes</v>
      </c>
      <c r="G653" t="s">
        <v>5</v>
      </c>
      <c r="H653" t="s">
        <v>46</v>
      </c>
      <c r="J653" s="2" t="s">
        <v>6</v>
      </c>
      <c r="K653">
        <v>127</v>
      </c>
      <c r="L653" t="s">
        <v>12</v>
      </c>
      <c r="M653" t="s">
        <v>114</v>
      </c>
      <c r="N653" t="str">
        <f>IF(K653="N/A","No", IF(K653&gt;1200,"Yes","No"))</f>
        <v>No</v>
      </c>
      <c r="O653" t="str">
        <f>IF(K653="Not","No",IF(K653="n/a","N/A",IF(K653&gt;=$Y$3,"Yes","No")))</f>
        <v>No</v>
      </c>
      <c r="Q653" s="2" t="s">
        <v>116</v>
      </c>
      <c r="R653" t="str">
        <f>_xlfn.XLOOKUP("ppm",D653:D664,F653:F664,"N/A")</f>
        <v>No</v>
      </c>
      <c r="S653" t="str">
        <f>IF(COUNTIF(O653:O655,"Yes"),"Yes","No")</f>
        <v>No</v>
      </c>
      <c r="U653" t="s">
        <v>92</v>
      </c>
      <c r="V653" t="s">
        <v>120</v>
      </c>
      <c r="W653" t="s">
        <v>120</v>
      </c>
      <c r="X653" t="str">
        <f>IF(V653="N/A","N/A",IF(W653="N/A", "N/A", IF(V653=W653, "Yes","No")))</f>
        <v>N/A</v>
      </c>
    </row>
    <row r="654" spans="1:32" x14ac:dyDescent="0.2">
      <c r="A654" t="s">
        <v>185</v>
      </c>
      <c r="B654" t="s">
        <v>221</v>
      </c>
      <c r="C654">
        <v>7.2</v>
      </c>
      <c r="D654" t="s">
        <v>4</v>
      </c>
      <c r="E654" t="s">
        <v>5</v>
      </c>
      <c r="F654" s="2" t="str">
        <f t="shared" si="298"/>
        <v>Yes</v>
      </c>
      <c r="G654" t="s">
        <v>5</v>
      </c>
      <c r="H654" t="s">
        <v>46</v>
      </c>
      <c r="J654" s="2" t="s">
        <v>11</v>
      </c>
      <c r="K654">
        <v>50</v>
      </c>
      <c r="L654" t="s">
        <v>12</v>
      </c>
      <c r="M654" t="s">
        <v>67</v>
      </c>
      <c r="N654" t="str">
        <f t="shared" ref="N654:N655" si="299">IF(K654="N/A","No", IF(K654&gt;1200,"Yes","No"))</f>
        <v>No</v>
      </c>
      <c r="O654" t="str">
        <f t="shared" ref="O654:O655" si="300">IF(K654="Not","No",IF(K654="n/a","N/A",IF(K654&gt;$Y$3,"Yes","No")))</f>
        <v>No</v>
      </c>
      <c r="Q654" s="2" t="s">
        <v>98</v>
      </c>
      <c r="R654" t="str">
        <f>_xlfn.XLOOKUP("mg/cm2",D653:D664,G653:G664,"N/A",1,-1)</f>
        <v>Yes</v>
      </c>
      <c r="S654" t="str">
        <f>IF(COUNTIF(O656:O657,"Yes"),"Yes","No")</f>
        <v>Yes</v>
      </c>
      <c r="U654" t="s">
        <v>95</v>
      </c>
      <c r="V654" t="str">
        <f>R653</f>
        <v>No</v>
      </c>
      <c r="W654" t="str">
        <f>S653</f>
        <v>No</v>
      </c>
      <c r="X654" t="str">
        <f t="shared" ref="X654:X657" si="301">IF(V654="N/A","N/A",IF(W654="N/A", "N/A", IF(V654=W654, "Yes","No")))</f>
        <v>Yes</v>
      </c>
    </row>
    <row r="655" spans="1:32" x14ac:dyDescent="0.2">
      <c r="A655" t="s">
        <v>185</v>
      </c>
      <c r="B655" t="s">
        <v>236</v>
      </c>
      <c r="C655">
        <v>1.9</v>
      </c>
      <c r="D655" t="s">
        <v>4</v>
      </c>
      <c r="E655" t="s">
        <v>5</v>
      </c>
      <c r="F655" s="2" t="str">
        <f t="shared" si="298"/>
        <v>Yes</v>
      </c>
      <c r="G655" t="s">
        <v>5</v>
      </c>
      <c r="H655" t="s">
        <v>46</v>
      </c>
      <c r="J655" s="2" t="s">
        <v>15</v>
      </c>
      <c r="K655">
        <v>241</v>
      </c>
      <c r="L655" t="s">
        <v>12</v>
      </c>
      <c r="M655" t="s">
        <v>112</v>
      </c>
      <c r="N655" t="str">
        <f t="shared" si="299"/>
        <v>No</v>
      </c>
      <c r="O655" t="str">
        <f t="shared" si="300"/>
        <v>No</v>
      </c>
      <c r="Q655" s="2" t="s">
        <v>117</v>
      </c>
      <c r="R655" t="str">
        <f>_xlfn.XLOOKUP("ug/ft2",D653:D664,F653:F664,"N/A")</f>
        <v>No</v>
      </c>
      <c r="S655" t="str">
        <f>IF(COUNTIF(O658:O660,"Yes"),"Yes","No")</f>
        <v>No</v>
      </c>
      <c r="U655" t="s">
        <v>163</v>
      </c>
      <c r="V655" t="s">
        <v>5</v>
      </c>
      <c r="W655" t="str">
        <f>O657</f>
        <v>No</v>
      </c>
      <c r="X655" t="str">
        <f t="shared" si="301"/>
        <v>No</v>
      </c>
    </row>
    <row r="656" spans="1:32" x14ac:dyDescent="0.2">
      <c r="A656" t="s">
        <v>185</v>
      </c>
      <c r="B656" t="s">
        <v>236</v>
      </c>
      <c r="C656">
        <v>1.7</v>
      </c>
      <c r="D656" t="s">
        <v>4</v>
      </c>
      <c r="E656" t="s">
        <v>5</v>
      </c>
      <c r="F656" s="2" t="str">
        <f t="shared" si="298"/>
        <v>Yes</v>
      </c>
      <c r="G656" t="s">
        <v>5</v>
      </c>
      <c r="H656" t="s">
        <v>46</v>
      </c>
      <c r="J656" s="2" t="s">
        <v>19</v>
      </c>
      <c r="K656">
        <v>18585</v>
      </c>
      <c r="L656" t="s">
        <v>12</v>
      </c>
      <c r="M656" t="s">
        <v>46</v>
      </c>
      <c r="N656" t="str">
        <f>IF(K656="N/A","No", IF(K656&gt;5000,"Yes","No"))</f>
        <v>Yes</v>
      </c>
      <c r="O656" t="str">
        <f>IF(K656="Not","No",IF(K656="n/a","N/A",IF(K656&gt;$Y$2,"Yes","No")))</f>
        <v>Yes</v>
      </c>
      <c r="Q656" s="2" t="s">
        <v>118</v>
      </c>
      <c r="R656" t="str">
        <f>IF(COUNTIF(R653:R655,"Yes"),"Yes","No")</f>
        <v>Yes</v>
      </c>
      <c r="S656" t="str">
        <f>IF(COUNTIF(S653:S655,"Yes"),"Yes","No")</f>
        <v>Yes</v>
      </c>
      <c r="U656" t="s">
        <v>164</v>
      </c>
      <c r="V656" t="s">
        <v>5</v>
      </c>
      <c r="W656" t="str">
        <f>O656</f>
        <v>Yes</v>
      </c>
      <c r="X656" t="str">
        <f t="shared" si="301"/>
        <v>Yes</v>
      </c>
    </row>
    <row r="657" spans="1:32" x14ac:dyDescent="0.2">
      <c r="A657" t="s">
        <v>185</v>
      </c>
      <c r="B657" t="s">
        <v>211</v>
      </c>
      <c r="C657">
        <v>8.1</v>
      </c>
      <c r="D657" t="s">
        <v>4</v>
      </c>
      <c r="E657" t="s">
        <v>5</v>
      </c>
      <c r="F657" s="2" t="str">
        <f t="shared" si="298"/>
        <v>Yes</v>
      </c>
      <c r="G657" t="s">
        <v>5</v>
      </c>
      <c r="H657" t="s">
        <v>46</v>
      </c>
      <c r="J657" s="2" t="s">
        <v>22</v>
      </c>
      <c r="K657">
        <v>1219</v>
      </c>
      <c r="L657" t="s">
        <v>12</v>
      </c>
      <c r="M657" t="s">
        <v>43</v>
      </c>
      <c r="N657" t="str">
        <f>IF(K657="N/A","No", IF(K657&gt;5000,"Yes","No"))</f>
        <v>No</v>
      </c>
      <c r="O657" t="str">
        <f>IF(K657="Not","No",IF(K657="n/a","N/A",IF(K657&gt;$Y$2,"Yes","No")))</f>
        <v>No</v>
      </c>
      <c r="U657" t="s">
        <v>162</v>
      </c>
      <c r="V657" t="str">
        <f>R654</f>
        <v>Yes</v>
      </c>
      <c r="W657" t="str">
        <f>S654</f>
        <v>Yes</v>
      </c>
      <c r="X657" t="str">
        <f t="shared" si="301"/>
        <v>Yes</v>
      </c>
    </row>
    <row r="658" spans="1:32" x14ac:dyDescent="0.2">
      <c r="A658" t="s">
        <v>185</v>
      </c>
      <c r="B658" t="s">
        <v>211</v>
      </c>
      <c r="C658">
        <v>6</v>
      </c>
      <c r="D658" t="s">
        <v>4</v>
      </c>
      <c r="E658" t="s">
        <v>5</v>
      </c>
      <c r="F658" s="2" t="str">
        <f t="shared" si="298"/>
        <v>Yes</v>
      </c>
      <c r="G658" t="s">
        <v>5</v>
      </c>
      <c r="H658" t="s">
        <v>46</v>
      </c>
      <c r="J658" s="2" t="s">
        <v>25</v>
      </c>
      <c r="K658">
        <v>4</v>
      </c>
      <c r="L658" t="s">
        <v>12</v>
      </c>
      <c r="M658" t="s">
        <v>126</v>
      </c>
      <c r="N658" t="str">
        <f>IF(K658="N/A","No", IF(K658&gt;20,"Yes","No"))</f>
        <v>No</v>
      </c>
      <c r="O658" t="str">
        <f t="shared" ref="O658:O659" si="302">IF(K658="Not","No",IF(K658="n/a","N/A",IF(K658&gt;$Y$6,"Yes","No")))</f>
        <v>No</v>
      </c>
      <c r="U658" t="s">
        <v>101</v>
      </c>
      <c r="V658" t="s">
        <v>9</v>
      </c>
      <c r="W658" t="s">
        <v>9</v>
      </c>
      <c r="X658" t="str">
        <f>IF(V658="N/A","N/A",IF(W658="N/A", "N/A", IF(V658=W658, "Yes","No")))</f>
        <v>Yes</v>
      </c>
    </row>
    <row r="659" spans="1:32" x14ac:dyDescent="0.2">
      <c r="A659" t="s">
        <v>185</v>
      </c>
      <c r="B659" t="s">
        <v>211</v>
      </c>
      <c r="C659">
        <v>29.8</v>
      </c>
      <c r="D659" t="s">
        <v>4</v>
      </c>
      <c r="E659" t="s">
        <v>5</v>
      </c>
      <c r="F659" s="2" t="str">
        <f t="shared" si="298"/>
        <v>Yes</v>
      </c>
      <c r="G659" t="s">
        <v>5</v>
      </c>
      <c r="H659" t="s">
        <v>46</v>
      </c>
      <c r="J659" s="2" t="s">
        <v>29</v>
      </c>
      <c r="K659">
        <v>15</v>
      </c>
      <c r="L659" t="s">
        <v>12</v>
      </c>
      <c r="M659" t="s">
        <v>222</v>
      </c>
      <c r="N659" t="str">
        <f>IF(K659="N/A","No", IF(K659&gt;20,"Yes","No"))</f>
        <v>No</v>
      </c>
      <c r="O659" t="str">
        <f t="shared" si="302"/>
        <v>No</v>
      </c>
      <c r="U659" t="s">
        <v>104</v>
      </c>
      <c r="V659" t="s">
        <v>9</v>
      </c>
      <c r="W659" t="str">
        <f>O660</f>
        <v>No</v>
      </c>
      <c r="X659" t="str">
        <f>IF(V659="N/A","N/A",IF(W659="N/A", "N/A", IF(V659=W659, "Yes","No")))</f>
        <v>Yes</v>
      </c>
    </row>
    <row r="660" spans="1:32" x14ac:dyDescent="0.2">
      <c r="A660" t="s">
        <v>185</v>
      </c>
      <c r="B660" t="s">
        <v>211</v>
      </c>
      <c r="C660">
        <v>7.1</v>
      </c>
      <c r="D660" t="s">
        <v>4</v>
      </c>
      <c r="E660" t="s">
        <v>5</v>
      </c>
      <c r="F660" s="2" t="str">
        <f t="shared" si="298"/>
        <v>Yes</v>
      </c>
      <c r="G660" t="s">
        <v>5</v>
      </c>
      <c r="H660" t="s">
        <v>46</v>
      </c>
      <c r="J660" s="2" t="s">
        <v>34</v>
      </c>
      <c r="K660">
        <v>33</v>
      </c>
      <c r="L660" t="s">
        <v>12</v>
      </c>
      <c r="M660" t="s">
        <v>210</v>
      </c>
      <c r="N660" t="str">
        <f>IF(K660="N/A","No", IF(K660&gt;230,"Yes","No"))</f>
        <v>No</v>
      </c>
      <c r="O660" t="str">
        <f>IF(K660="Not","No",IF(K660="n/a","N/A",IF(K660&gt;$Y$5,"Yes","No")))</f>
        <v>No</v>
      </c>
      <c r="U660" t="s">
        <v>106</v>
      </c>
      <c r="V660" t="str">
        <f>R655</f>
        <v>No</v>
      </c>
      <c r="W660" t="str">
        <f>S655</f>
        <v>No</v>
      </c>
      <c r="X660" t="str">
        <f>IF(V660="N/A","N/A",IF(W660="N/A", "N/A", IF(V660=W660, "Yes","No")))</f>
        <v>Yes</v>
      </c>
    </row>
    <row r="661" spans="1:32" x14ac:dyDescent="0.2">
      <c r="A661" t="s">
        <v>200</v>
      </c>
      <c r="B661" t="s">
        <v>286</v>
      </c>
      <c r="C661">
        <v>175</v>
      </c>
      <c r="D661" t="s">
        <v>12</v>
      </c>
      <c r="E661" t="s">
        <v>9</v>
      </c>
      <c r="F661" s="2" t="str">
        <f>IF(C661&gt;$W$3,"Yes","No")</f>
        <v>No</v>
      </c>
      <c r="G661" t="s">
        <v>9</v>
      </c>
      <c r="J661" s="2" t="s">
        <v>208</v>
      </c>
      <c r="K661">
        <v>1037</v>
      </c>
      <c r="L661" t="s">
        <v>12</v>
      </c>
      <c r="M661" t="s">
        <v>223</v>
      </c>
      <c r="N661" t="str">
        <f>IF(K661="N/A","No", IF(K661&gt;20,"Yes","No"))</f>
        <v>Yes</v>
      </c>
      <c r="O661" s="14" t="str">
        <f>IF(K661="Not","No",IF(K661="n/a","N/A",IF(K661&gt;$Y$7,"Yes","No")))</f>
        <v>Yes</v>
      </c>
      <c r="U661" t="s">
        <v>121</v>
      </c>
      <c r="V661" t="str">
        <f>R656</f>
        <v>Yes</v>
      </c>
      <c r="W661" t="str">
        <f>S656</f>
        <v>Yes</v>
      </c>
      <c r="X661" t="str">
        <f>IF(V661="N/A","N/A",IF(W661="N/A", "N/A", IF(V661=W661, "Yes","No")))</f>
        <v>Yes</v>
      </c>
    </row>
    <row r="662" spans="1:32" x14ac:dyDescent="0.2">
      <c r="A662" t="s">
        <v>237</v>
      </c>
      <c r="B662" t="s">
        <v>211</v>
      </c>
      <c r="C662">
        <v>2.2000000000000002</v>
      </c>
      <c r="D662" t="s">
        <v>4</v>
      </c>
      <c r="E662" t="s">
        <v>5</v>
      </c>
      <c r="F662" s="2" t="str">
        <f t="shared" ref="F662" si="303">IF(C662&gt;=$W$2,"Yes","No")</f>
        <v>Yes</v>
      </c>
      <c r="G662" t="s">
        <v>5</v>
      </c>
      <c r="H662" t="s">
        <v>43</v>
      </c>
    </row>
    <row r="663" spans="1:32" x14ac:dyDescent="0.2">
      <c r="A663" t="s">
        <v>333</v>
      </c>
      <c r="B663" t="s">
        <v>192</v>
      </c>
      <c r="C663">
        <v>75</v>
      </c>
      <c r="D663" t="s">
        <v>33</v>
      </c>
      <c r="E663" t="s">
        <v>9</v>
      </c>
      <c r="F663" s="2" t="str">
        <f>IF(C663&gt;$W$5,"Yes","No")</f>
        <v>No</v>
      </c>
      <c r="G663" t="s">
        <v>9</v>
      </c>
    </row>
    <row r="664" spans="1:32" x14ac:dyDescent="0.2">
      <c r="A664" t="s">
        <v>71</v>
      </c>
      <c r="B664" t="s">
        <v>32</v>
      </c>
      <c r="C664">
        <v>9.6</v>
      </c>
      <c r="D664" t="s">
        <v>33</v>
      </c>
      <c r="E664" t="s">
        <v>9</v>
      </c>
      <c r="F664" s="2" t="str">
        <f t="shared" ref="F664" si="304">IF(C664&gt;$W$6,"Yes","No")</f>
        <v>No</v>
      </c>
      <c r="G664" t="s">
        <v>5</v>
      </c>
    </row>
    <row r="667" spans="1:32" x14ac:dyDescent="0.2">
      <c r="F667" s="2"/>
    </row>
    <row r="668" spans="1:32" x14ac:dyDescent="0.2">
      <c r="A668" s="1">
        <f>VLOOKUP(C668,'Grid - LRA Samples'!$A$2:$B$108, 2,FALSE)</f>
        <v>1288</v>
      </c>
      <c r="B668" t="s">
        <v>111</v>
      </c>
      <c r="C668">
        <v>64</v>
      </c>
    </row>
    <row r="669" spans="1:32" x14ac:dyDescent="0.2">
      <c r="A669" s="5" t="s">
        <v>0</v>
      </c>
      <c r="E669" s="2" t="s">
        <v>274</v>
      </c>
      <c r="F669" s="2" t="s">
        <v>275</v>
      </c>
      <c r="G669" t="s">
        <v>119</v>
      </c>
      <c r="J669" s="5" t="s">
        <v>1</v>
      </c>
      <c r="N669" s="2" t="s">
        <v>277</v>
      </c>
      <c r="O669" t="s">
        <v>278</v>
      </c>
      <c r="Q669" s="5" t="s">
        <v>115</v>
      </c>
      <c r="R669" s="5" t="s">
        <v>0</v>
      </c>
      <c r="S669" s="5" t="s">
        <v>1</v>
      </c>
      <c r="U669" s="5" t="s">
        <v>115</v>
      </c>
      <c r="V669" s="5" t="s">
        <v>0</v>
      </c>
      <c r="W669" s="5" t="s">
        <v>1</v>
      </c>
      <c r="X669" s="5" t="s">
        <v>122</v>
      </c>
      <c r="AA669" t="str">
        <f>IF(R670="Yes","LRA-Soil","")</f>
        <v/>
      </c>
      <c r="AB669" t="str">
        <f>IF(R671="Yes","LRA-Paint","")</f>
        <v/>
      </c>
      <c r="AC669" t="str">
        <f>IF(R672="Yes","LRA-Dust","")</f>
        <v/>
      </c>
      <c r="AD669" t="str">
        <f>IF(S670="Yes","LSK-Soil","")</f>
        <v/>
      </c>
      <c r="AE669" t="str">
        <f>IF(S671="Yes","LSK-Paint","")</f>
        <v/>
      </c>
      <c r="AF669" t="str">
        <f>IF(S672="Yes","LSK-Dust","")</f>
        <v/>
      </c>
    </row>
    <row r="670" spans="1:32" x14ac:dyDescent="0.2">
      <c r="A670" t="s">
        <v>63</v>
      </c>
      <c r="B670" t="s">
        <v>18</v>
      </c>
      <c r="C670">
        <v>0</v>
      </c>
      <c r="D670" t="s">
        <v>4</v>
      </c>
      <c r="F670" s="2" t="str">
        <f t="shared" ref="F670" si="305">IF(C670&gt;=$W$2,"Yes","No")</f>
        <v>No</v>
      </c>
      <c r="G670" t="s">
        <v>9</v>
      </c>
      <c r="J670" s="2" t="s">
        <v>6</v>
      </c>
      <c r="K670">
        <v>13.5</v>
      </c>
      <c r="L670" t="s">
        <v>12</v>
      </c>
      <c r="M670" t="s">
        <v>114</v>
      </c>
      <c r="N670" t="str">
        <f>IF(K670="N/A","No", IF(K670&gt;1200,"Yes","No"))</f>
        <v>No</v>
      </c>
      <c r="O670" t="str">
        <f>IF(K670="Not","No",IF(K670="n/a","N/A",IF(K670&gt;=$Y$3,"Yes","No")))</f>
        <v>No</v>
      </c>
      <c r="Q670" s="2" t="s">
        <v>116</v>
      </c>
      <c r="R670" t="str">
        <f>_xlfn.XLOOKUP("ppm",D670:D675,F670:F675,"N/A")</f>
        <v>No</v>
      </c>
      <c r="S670" t="str">
        <f>IF(COUNTIF(O670:O672,"Yes"),"Yes","No")</f>
        <v>No</v>
      </c>
      <c r="U670" t="s">
        <v>92</v>
      </c>
      <c r="V670" t="s">
        <v>120</v>
      </c>
      <c r="W670" t="s">
        <v>120</v>
      </c>
      <c r="X670" t="str">
        <f>IF(V670="N/A","N/A",IF(W670="N/A", "N/A", IF(V670=W670, "Yes","No")))</f>
        <v>N/A</v>
      </c>
    </row>
    <row r="671" spans="1:32" x14ac:dyDescent="0.2">
      <c r="A671" t="s">
        <v>161</v>
      </c>
      <c r="B671" t="s">
        <v>28</v>
      </c>
      <c r="C671" t="s">
        <v>397</v>
      </c>
      <c r="D671" t="s">
        <v>12</v>
      </c>
      <c r="F671" s="29" t="s">
        <v>9</v>
      </c>
      <c r="G671" t="s">
        <v>9</v>
      </c>
      <c r="J671" s="2" t="s">
        <v>11</v>
      </c>
      <c r="K671">
        <v>11.6</v>
      </c>
      <c r="L671" t="s">
        <v>12</v>
      </c>
      <c r="M671" t="s">
        <v>67</v>
      </c>
      <c r="N671" t="str">
        <f t="shared" ref="N671:N672" si="306">IF(K671="N/A","No", IF(K671&gt;1200,"Yes","No"))</f>
        <v>No</v>
      </c>
      <c r="O671" t="str">
        <f t="shared" ref="O671:O672" si="307">IF(K671="Not","No",IF(K671="n/a","N/A",IF(K671&gt;$Y$3,"Yes","No")))</f>
        <v>No</v>
      </c>
      <c r="Q671" s="2" t="s">
        <v>98</v>
      </c>
      <c r="R671" t="str">
        <f>_xlfn.XLOOKUP("mg/cm2",D670:D675,G670:G675,"N/A",1,-1)</f>
        <v>No</v>
      </c>
      <c r="S671" t="str">
        <f>IF(COUNTIF(O673:O674,"Yes"),"Yes","No")</f>
        <v>No</v>
      </c>
      <c r="U671" t="s">
        <v>95</v>
      </c>
      <c r="V671" t="str">
        <f>R670</f>
        <v>No</v>
      </c>
      <c r="W671" t="str">
        <f>S670</f>
        <v>No</v>
      </c>
      <c r="X671" t="str">
        <f t="shared" ref="X671:X674" si="308">IF(V671="N/A","N/A",IF(W671="N/A", "N/A", IF(V671=W671, "Yes","No")))</f>
        <v>Yes</v>
      </c>
    </row>
    <row r="672" spans="1:32" x14ac:dyDescent="0.2">
      <c r="A672" t="s">
        <v>109</v>
      </c>
      <c r="B672" t="s">
        <v>40</v>
      </c>
      <c r="C672">
        <v>0</v>
      </c>
      <c r="D672" t="s">
        <v>4</v>
      </c>
      <c r="F672" s="2" t="str">
        <f>IF(C672&gt;$W$2,"Yes","No")</f>
        <v>No</v>
      </c>
      <c r="G672" t="s">
        <v>9</v>
      </c>
      <c r="J672" s="2" t="s">
        <v>15</v>
      </c>
      <c r="K672">
        <v>12.6</v>
      </c>
      <c r="L672" t="s">
        <v>12</v>
      </c>
      <c r="M672" t="s">
        <v>112</v>
      </c>
      <c r="N672" t="str">
        <f t="shared" si="306"/>
        <v>No</v>
      </c>
      <c r="O672" t="str">
        <f t="shared" si="307"/>
        <v>No</v>
      </c>
      <c r="Q672" s="2" t="s">
        <v>117</v>
      </c>
      <c r="R672" t="str">
        <f>_xlfn.XLOOKUP("ug/ft2",D670:D675,F670:F675,"N/A")</f>
        <v>No</v>
      </c>
      <c r="S672" t="str">
        <f>IF(COUNTIF(O675:O678,"Yes"),"Yes","No")</f>
        <v>No</v>
      </c>
      <c r="U672" t="s">
        <v>163</v>
      </c>
      <c r="V672" t="s">
        <v>9</v>
      </c>
      <c r="W672" t="str">
        <f>O674</f>
        <v>No</v>
      </c>
      <c r="X672" t="str">
        <f t="shared" si="308"/>
        <v>Yes</v>
      </c>
    </row>
    <row r="673" spans="1:32" x14ac:dyDescent="0.2">
      <c r="A673" t="s">
        <v>109</v>
      </c>
      <c r="B673" t="s">
        <v>32</v>
      </c>
      <c r="C673">
        <v>3</v>
      </c>
      <c r="D673" t="s">
        <v>33</v>
      </c>
      <c r="F673" s="2" t="str">
        <f t="shared" ref="F673" si="309">IF(C673&gt;$W$6,"Yes","No")</f>
        <v>No</v>
      </c>
      <c r="G673" t="s">
        <v>9</v>
      </c>
      <c r="J673" s="2" t="s">
        <v>19</v>
      </c>
      <c r="K673">
        <v>2.5</v>
      </c>
      <c r="L673" t="s">
        <v>12</v>
      </c>
      <c r="M673" t="s">
        <v>46</v>
      </c>
      <c r="N673" t="str">
        <f>IF(K673="N/A","No", IF(K673&gt;5000,"Yes","No"))</f>
        <v>No</v>
      </c>
      <c r="O673" t="str">
        <f>IF(K673="Not","No",IF(K673="n/a","N/A",IF(K673&gt;$Y$2,"Yes","No")))</f>
        <v>No</v>
      </c>
      <c r="Q673" s="2" t="s">
        <v>118</v>
      </c>
      <c r="R673" t="str">
        <f>IF(COUNTIF(R670:R672,"Yes"),"Yes","No")</f>
        <v>No</v>
      </c>
      <c r="S673" t="str">
        <f>IF(COUNTIF(S670:S672,"Yes"),"Yes","No")</f>
        <v>No</v>
      </c>
      <c r="U673" t="s">
        <v>164</v>
      </c>
      <c r="V673" t="s">
        <v>9</v>
      </c>
      <c r="W673" t="str">
        <f>O673</f>
        <v>No</v>
      </c>
      <c r="X673" t="str">
        <f t="shared" si="308"/>
        <v>Yes</v>
      </c>
    </row>
    <row r="674" spans="1:32" x14ac:dyDescent="0.2">
      <c r="A674" t="s">
        <v>109</v>
      </c>
      <c r="B674" t="s">
        <v>54</v>
      </c>
      <c r="C674">
        <v>48</v>
      </c>
      <c r="D674" t="s">
        <v>33</v>
      </c>
      <c r="F674" s="2" t="str">
        <f>IF(C674&gt;$W$5,"Yes","No")</f>
        <v>No</v>
      </c>
      <c r="G674" t="s">
        <v>9</v>
      </c>
      <c r="J674" s="2" t="s">
        <v>22</v>
      </c>
      <c r="K674">
        <v>2.5</v>
      </c>
      <c r="L674" t="s">
        <v>12</v>
      </c>
      <c r="M674" t="s">
        <v>43</v>
      </c>
      <c r="N674" t="str">
        <f>IF(K674="N/A","No", IF(K674&gt;5000,"Yes","No"))</f>
        <v>No</v>
      </c>
      <c r="O674" t="str">
        <f>IF(K674="Not","No",IF(K674="n/a","N/A",IF(K674&gt;$Y$2,"Yes","No")))</f>
        <v>No</v>
      </c>
      <c r="U674" t="s">
        <v>162</v>
      </c>
      <c r="V674" t="str">
        <f>R671</f>
        <v>No</v>
      </c>
      <c r="W674" t="str">
        <f>S671</f>
        <v>No</v>
      </c>
      <c r="X674" t="str">
        <f t="shared" si="308"/>
        <v>Yes</v>
      </c>
    </row>
    <row r="675" spans="1:32" x14ac:dyDescent="0.2">
      <c r="A675" t="s">
        <v>73</v>
      </c>
      <c r="B675" t="s">
        <v>56</v>
      </c>
      <c r="C675">
        <v>0.2</v>
      </c>
      <c r="D675" t="s">
        <v>4</v>
      </c>
      <c r="F675" s="2" t="str">
        <f t="shared" ref="F675" si="310">IF(C675&gt;=$W$2,"Yes","No")</f>
        <v>No</v>
      </c>
      <c r="G675" t="s">
        <v>9</v>
      </c>
      <c r="J675" s="2" t="s">
        <v>25</v>
      </c>
      <c r="K675">
        <v>2.5</v>
      </c>
      <c r="L675" t="s">
        <v>12</v>
      </c>
      <c r="M675" t="s">
        <v>126</v>
      </c>
      <c r="N675" t="str">
        <f>IF(K675="N/A","No", IF(K675&gt;20,"Yes","No"))</f>
        <v>No</v>
      </c>
      <c r="O675" t="str">
        <f t="shared" ref="O675:O676" si="311">IF(K675="Not","No",IF(K675="n/a","N/A",IF(K675&gt;$Y$6,"Yes","No")))</f>
        <v>No</v>
      </c>
      <c r="U675" t="s">
        <v>101</v>
      </c>
      <c r="V675" t="s">
        <v>9</v>
      </c>
      <c r="W675" t="s">
        <v>9</v>
      </c>
      <c r="X675" t="str">
        <f>IF(V675="N/A","N/A",IF(W675="N/A", "N/A", IF(V675=W675, "Yes","No")))</f>
        <v>Yes</v>
      </c>
    </row>
    <row r="676" spans="1:32" x14ac:dyDescent="0.2">
      <c r="F676" s="2"/>
      <c r="J676" s="2" t="s">
        <v>29</v>
      </c>
      <c r="K676">
        <v>2.5</v>
      </c>
      <c r="L676" t="s">
        <v>12</v>
      </c>
      <c r="M676" t="s">
        <v>222</v>
      </c>
      <c r="N676" t="str">
        <f>IF(K676="N/A","No", IF(K676&gt;20,"Yes","No"))</f>
        <v>No</v>
      </c>
      <c r="O676" t="str">
        <f t="shared" si="311"/>
        <v>No</v>
      </c>
      <c r="U676" t="s">
        <v>104</v>
      </c>
      <c r="V676" t="s">
        <v>9</v>
      </c>
      <c r="W676" t="str">
        <f>O677</f>
        <v>No</v>
      </c>
      <c r="X676" t="str">
        <f>IF(V676="N/A","N/A",IF(W676="N/A", "N/A", IF(V676=W676, "Yes","No")))</f>
        <v>Yes</v>
      </c>
    </row>
    <row r="677" spans="1:32" x14ac:dyDescent="0.2">
      <c r="F677" s="2"/>
      <c r="J677" s="2" t="s">
        <v>34</v>
      </c>
      <c r="K677">
        <v>2.5</v>
      </c>
      <c r="L677" t="s">
        <v>12</v>
      </c>
      <c r="M677" t="s">
        <v>210</v>
      </c>
      <c r="N677" t="str">
        <f>IF(K677="N/A","No", IF(K677&gt;230,"Yes","No"))</f>
        <v>No</v>
      </c>
      <c r="O677" t="str">
        <f>IF(K677="Not","No",IF(K677="n/a","N/A",IF(K677&gt;$Y$5,"Yes","No")))</f>
        <v>No</v>
      </c>
      <c r="U677" t="s">
        <v>106</v>
      </c>
      <c r="V677" t="str">
        <f>R672</f>
        <v>No</v>
      </c>
      <c r="W677" t="str">
        <f>S672</f>
        <v>No</v>
      </c>
      <c r="X677" t="str">
        <f>IF(V677="N/A","N/A",IF(W677="N/A", "N/A", IF(V677=W677, "Yes","No")))</f>
        <v>Yes</v>
      </c>
    </row>
    <row r="678" spans="1:32" x14ac:dyDescent="0.2">
      <c r="F678" s="2"/>
      <c r="J678" s="2" t="s">
        <v>208</v>
      </c>
      <c r="K678">
        <v>2.5</v>
      </c>
      <c r="L678" t="s">
        <v>12</v>
      </c>
      <c r="M678" t="s">
        <v>223</v>
      </c>
      <c r="N678" t="str">
        <f>IF(K678="N/A","No", IF(K678&gt;20,"Yes","No"))</f>
        <v>No</v>
      </c>
      <c r="O678" t="str">
        <f>IF(K678="Not","No",IF(K678="n/a","N/A",IF(K678&gt;$Y$7,"Yes","No")))</f>
        <v>No</v>
      </c>
      <c r="U678" t="s">
        <v>121</v>
      </c>
      <c r="V678" t="str">
        <f>R673</f>
        <v>No</v>
      </c>
      <c r="W678" t="str">
        <f>S673</f>
        <v>No</v>
      </c>
      <c r="X678" t="str">
        <f>IF(V678="N/A","N/A",IF(W678="N/A", "N/A", IF(V678=W678, "Yes","No")))</f>
        <v>Yes</v>
      </c>
    </row>
    <row r="679" spans="1:32" x14ac:dyDescent="0.2">
      <c r="F679" s="2"/>
    </row>
    <row r="680" spans="1:32" x14ac:dyDescent="0.2">
      <c r="A680" s="1">
        <f>VLOOKUP(C680,'Grid - LRA Samples'!$A$2:$B$108, 2,FALSE)</f>
        <v>1289</v>
      </c>
      <c r="B680" t="s">
        <v>111</v>
      </c>
      <c r="C680">
        <v>65</v>
      </c>
    </row>
    <row r="681" spans="1:32" x14ac:dyDescent="0.2">
      <c r="A681" s="5" t="s">
        <v>0</v>
      </c>
      <c r="E681" s="2" t="s">
        <v>274</v>
      </c>
      <c r="F681" s="2" t="s">
        <v>275</v>
      </c>
      <c r="G681" t="s">
        <v>119</v>
      </c>
      <c r="J681" s="5" t="s">
        <v>1</v>
      </c>
      <c r="N681" s="2" t="s">
        <v>277</v>
      </c>
      <c r="O681" t="s">
        <v>278</v>
      </c>
      <c r="Q681" s="5" t="s">
        <v>115</v>
      </c>
      <c r="R681" s="5" t="s">
        <v>0</v>
      </c>
      <c r="S681" s="5" t="s">
        <v>1</v>
      </c>
      <c r="U681" s="5" t="s">
        <v>115</v>
      </c>
      <c r="V681" s="5" t="s">
        <v>0</v>
      </c>
      <c r="W681" s="5" t="s">
        <v>1</v>
      </c>
      <c r="X681" s="5" t="s">
        <v>122</v>
      </c>
      <c r="AA681" t="str">
        <f>IF(R682="Yes","LRA-Soil","")</f>
        <v/>
      </c>
      <c r="AB681" t="str">
        <f>IF(R683="Yes","LRA-Paint","")</f>
        <v>LRA-Paint</v>
      </c>
      <c r="AC681" t="str">
        <f>IF(R684="Yes","LRA-Dust","")</f>
        <v/>
      </c>
      <c r="AD681" t="str">
        <f>IF(S682="Yes","LSK-Soil","")</f>
        <v/>
      </c>
      <c r="AE681" t="str">
        <f>IF(S683="Yes","LSK-Paint","")</f>
        <v/>
      </c>
      <c r="AF681" t="str">
        <f>IF(S684="Yes","LSK-Dust","")</f>
        <v/>
      </c>
    </row>
    <row r="682" spans="1:32" x14ac:dyDescent="0.2">
      <c r="A682" t="s">
        <v>63</v>
      </c>
      <c r="B682" t="s">
        <v>64</v>
      </c>
      <c r="C682">
        <v>2.2000000000000002</v>
      </c>
      <c r="D682" t="s">
        <v>4</v>
      </c>
      <c r="F682" s="2" t="str">
        <f t="shared" ref="F682:F685" si="312">IF(C682&gt;=$W$2,"Yes","No")</f>
        <v>Yes</v>
      </c>
      <c r="G682" t="s">
        <v>5</v>
      </c>
      <c r="H682" t="s">
        <v>46</v>
      </c>
      <c r="J682" s="2" t="s">
        <v>6</v>
      </c>
      <c r="K682">
        <v>34</v>
      </c>
      <c r="L682" t="s">
        <v>12</v>
      </c>
      <c r="M682" t="s">
        <v>114</v>
      </c>
      <c r="N682" t="str">
        <f>IF(K682="N/A","No", IF(K682&gt;1200,"Yes","No"))</f>
        <v>No</v>
      </c>
      <c r="O682" t="str">
        <f>IF(K682="Not","No",IF(K682="n/a","N/A",IF(K682&gt;=$Y$3,"Yes","No")))</f>
        <v>No</v>
      </c>
      <c r="Q682" s="2" t="s">
        <v>116</v>
      </c>
      <c r="R682" t="str">
        <f>_xlfn.XLOOKUP("ppm",D682:D687,F682:F687,"N/A")</f>
        <v>No</v>
      </c>
      <c r="S682" t="str">
        <f>IF(COUNTIF(O682:O684,"Yes"),"Yes","No")</f>
        <v>No</v>
      </c>
      <c r="U682" t="s">
        <v>92</v>
      </c>
      <c r="V682" t="s">
        <v>120</v>
      </c>
      <c r="W682" t="s">
        <v>120</v>
      </c>
      <c r="X682" t="str">
        <f>IF(V682="N/A","N/A",IF(W682="N/A", "N/A", IF(V682=W682, "Yes","No")))</f>
        <v>N/A</v>
      </c>
    </row>
    <row r="683" spans="1:32" x14ac:dyDescent="0.2">
      <c r="A683" t="s">
        <v>63</v>
      </c>
      <c r="B683" t="s">
        <v>64</v>
      </c>
      <c r="C683">
        <v>3.7</v>
      </c>
      <c r="D683" t="s">
        <v>4</v>
      </c>
      <c r="F683" s="2" t="str">
        <f t="shared" si="312"/>
        <v>Yes</v>
      </c>
      <c r="G683" t="s">
        <v>5</v>
      </c>
      <c r="H683" t="s">
        <v>46</v>
      </c>
      <c r="J683" s="2" t="s">
        <v>11</v>
      </c>
      <c r="K683">
        <v>26.3</v>
      </c>
      <c r="L683" t="s">
        <v>12</v>
      </c>
      <c r="M683" t="s">
        <v>67</v>
      </c>
      <c r="N683" t="str">
        <f t="shared" ref="N683:N684" si="313">IF(K683="N/A","No", IF(K683&gt;1200,"Yes","No"))</f>
        <v>No</v>
      </c>
      <c r="O683" t="str">
        <f t="shared" ref="O683:O684" si="314">IF(K683="Not","No",IF(K683="n/a","N/A",IF(K683&gt;$Y$3,"Yes","No")))</f>
        <v>No</v>
      </c>
      <c r="Q683" s="2" t="s">
        <v>98</v>
      </c>
      <c r="R683" s="30" t="s">
        <v>5</v>
      </c>
      <c r="S683" t="str">
        <f>IF(COUNTIF(O685:O686,"Yes"),"Yes","No")</f>
        <v>No</v>
      </c>
      <c r="U683" t="s">
        <v>95</v>
      </c>
      <c r="V683" t="str">
        <f>R682</f>
        <v>No</v>
      </c>
      <c r="W683" t="str">
        <f>S682</f>
        <v>No</v>
      </c>
      <c r="X683" t="str">
        <f t="shared" ref="X683:X686" si="315">IF(V683="N/A","N/A",IF(W683="N/A", "N/A", IF(V683=W683, "Yes","No")))</f>
        <v>Yes</v>
      </c>
    </row>
    <row r="684" spans="1:32" x14ac:dyDescent="0.2">
      <c r="A684" t="s">
        <v>83</v>
      </c>
      <c r="B684" t="s">
        <v>69</v>
      </c>
      <c r="C684" t="s">
        <v>397</v>
      </c>
      <c r="D684" t="s">
        <v>12</v>
      </c>
      <c r="F684" s="29" t="s">
        <v>9</v>
      </c>
      <c r="G684" t="s">
        <v>9</v>
      </c>
      <c r="J684" s="2" t="s">
        <v>15</v>
      </c>
      <c r="K684">
        <v>37.200000000000003</v>
      </c>
      <c r="L684" t="s">
        <v>12</v>
      </c>
      <c r="M684" t="s">
        <v>112</v>
      </c>
      <c r="N684" t="str">
        <f t="shared" si="313"/>
        <v>No</v>
      </c>
      <c r="O684" t="str">
        <f t="shared" si="314"/>
        <v>No</v>
      </c>
      <c r="Q684" s="2" t="s">
        <v>117</v>
      </c>
      <c r="R684" t="str">
        <f>_xlfn.XLOOKUP("ug/ft2",D682:D687,F682:F687,"N/A")</f>
        <v>No</v>
      </c>
      <c r="S684" t="str">
        <f>IF(COUNTIF(O687:O690,"Yes"),"Yes","No")</f>
        <v>No</v>
      </c>
      <c r="U684" t="s">
        <v>163</v>
      </c>
      <c r="V684" t="s">
        <v>9</v>
      </c>
      <c r="W684" t="str">
        <f>O686</f>
        <v>No</v>
      </c>
      <c r="X684" t="str">
        <f t="shared" si="315"/>
        <v>Yes</v>
      </c>
    </row>
    <row r="685" spans="1:32" x14ac:dyDescent="0.2">
      <c r="A685" t="s">
        <v>109</v>
      </c>
      <c r="B685" t="s">
        <v>40</v>
      </c>
      <c r="C685">
        <v>0.11</v>
      </c>
      <c r="D685" t="s">
        <v>4</v>
      </c>
      <c r="F685" s="2" t="str">
        <f t="shared" si="312"/>
        <v>No</v>
      </c>
      <c r="G685" t="s">
        <v>9</v>
      </c>
      <c r="J685" s="2" t="s">
        <v>19</v>
      </c>
      <c r="K685">
        <v>579</v>
      </c>
      <c r="L685" t="s">
        <v>12</v>
      </c>
      <c r="M685" t="s">
        <v>46</v>
      </c>
      <c r="N685" t="str">
        <f>IF(K685="N/A","No", IF(K685&gt;5000,"Yes","No"))</f>
        <v>No</v>
      </c>
      <c r="O685" t="str">
        <f>IF(K685="Not","No",IF(K685="n/a","N/A",IF(K685&gt;$Y$2,"Yes","No")))</f>
        <v>No</v>
      </c>
      <c r="Q685" s="2" t="s">
        <v>118</v>
      </c>
      <c r="R685" t="str">
        <f>IF(COUNTIF(R682:R684,"Yes"),"Yes","No")</f>
        <v>Yes</v>
      </c>
      <c r="S685" t="str">
        <f>IF(COUNTIF(S682:S684,"Yes"),"Yes","No")</f>
        <v>No</v>
      </c>
      <c r="U685" t="s">
        <v>164</v>
      </c>
      <c r="V685" t="s">
        <v>5</v>
      </c>
      <c r="W685" t="str">
        <f>O685</f>
        <v>No</v>
      </c>
      <c r="X685" t="str">
        <f t="shared" si="315"/>
        <v>No</v>
      </c>
    </row>
    <row r="686" spans="1:32" x14ac:dyDescent="0.2">
      <c r="A686" t="s">
        <v>293</v>
      </c>
      <c r="B686" t="s">
        <v>32</v>
      </c>
      <c r="C686">
        <v>3</v>
      </c>
      <c r="D686" t="s">
        <v>33</v>
      </c>
      <c r="F686" s="2" t="str">
        <f t="shared" ref="F686" si="316">IF(C686&gt;$W$6,"Yes","No")</f>
        <v>No</v>
      </c>
      <c r="G686" t="s">
        <v>9</v>
      </c>
      <c r="J686" s="2" t="s">
        <v>22</v>
      </c>
      <c r="K686">
        <v>9</v>
      </c>
      <c r="L686" t="s">
        <v>12</v>
      </c>
      <c r="M686" t="s">
        <v>43</v>
      </c>
      <c r="N686" t="str">
        <f>IF(K686="N/A","No", IF(K686&gt;5000,"Yes","No"))</f>
        <v>No</v>
      </c>
      <c r="O686" t="str">
        <f>IF(K686="Not","No",IF(K686="n/a","N/A",IF(K686&gt;$Y$2,"Yes","No")))</f>
        <v>No</v>
      </c>
      <c r="U686" t="s">
        <v>162</v>
      </c>
      <c r="V686" t="str">
        <f>R683</f>
        <v>Yes</v>
      </c>
      <c r="W686" t="str">
        <f>S683</f>
        <v>No</v>
      </c>
      <c r="X686" t="str">
        <f t="shared" si="315"/>
        <v>No</v>
      </c>
    </row>
    <row r="687" spans="1:32" x14ac:dyDescent="0.2">
      <c r="A687" t="s">
        <v>293</v>
      </c>
      <c r="B687" t="s">
        <v>54</v>
      </c>
      <c r="C687">
        <v>18</v>
      </c>
      <c r="D687" t="s">
        <v>33</v>
      </c>
      <c r="F687" s="2" t="str">
        <f>IF(C687&gt;$W$5,"Yes","No")</f>
        <v>No</v>
      </c>
      <c r="G687" t="s">
        <v>9</v>
      </c>
      <c r="J687" s="2" t="s">
        <v>25</v>
      </c>
      <c r="K687">
        <v>2.5</v>
      </c>
      <c r="L687" t="s">
        <v>12</v>
      </c>
      <c r="M687" t="s">
        <v>126</v>
      </c>
      <c r="N687" t="str">
        <f>IF(K687="N/A","No", IF(K687&gt;20,"Yes","No"))</f>
        <v>No</v>
      </c>
      <c r="O687" t="str">
        <f t="shared" ref="O687:O688" si="317">IF(K687="Not","No",IF(K687="n/a","N/A",IF(K687&gt;$Y$6,"Yes","No")))</f>
        <v>No</v>
      </c>
      <c r="U687" t="s">
        <v>101</v>
      </c>
      <c r="V687" t="s">
        <v>9</v>
      </c>
      <c r="W687" t="s">
        <v>9</v>
      </c>
      <c r="X687" t="str">
        <f>IF(V687="N/A","N/A",IF(W687="N/A", "N/A", IF(V687=W687, "Yes","No")))</f>
        <v>Yes</v>
      </c>
    </row>
    <row r="688" spans="1:32" x14ac:dyDescent="0.2">
      <c r="F688" s="2"/>
      <c r="J688" s="2" t="s">
        <v>29</v>
      </c>
      <c r="K688">
        <v>15</v>
      </c>
      <c r="L688" t="s">
        <v>12</v>
      </c>
      <c r="M688" t="s">
        <v>222</v>
      </c>
      <c r="N688" t="str">
        <f>IF(K688="N/A","No", IF(K688&gt;20,"Yes","No"))</f>
        <v>No</v>
      </c>
      <c r="O688" t="str">
        <f t="shared" si="317"/>
        <v>No</v>
      </c>
      <c r="U688" t="s">
        <v>104</v>
      </c>
      <c r="V688" t="s">
        <v>9</v>
      </c>
      <c r="W688" t="str">
        <f>O689</f>
        <v>No</v>
      </c>
      <c r="X688" t="str">
        <f>IF(V688="N/A","N/A",IF(W688="N/A", "N/A", IF(V688=W688, "Yes","No")))</f>
        <v>Yes</v>
      </c>
    </row>
    <row r="689" spans="1:32" x14ac:dyDescent="0.2">
      <c r="F689" s="2"/>
      <c r="J689" s="2" t="s">
        <v>34</v>
      </c>
      <c r="K689">
        <v>2.5</v>
      </c>
      <c r="L689" t="s">
        <v>12</v>
      </c>
      <c r="M689" t="s">
        <v>210</v>
      </c>
      <c r="N689" t="str">
        <f>IF(K689="N/A","No", IF(K689&gt;230,"Yes","No"))</f>
        <v>No</v>
      </c>
      <c r="O689" t="str">
        <f>IF(K689="Not","No",IF(K689="n/a","N/A",IF(K689&gt;$Y$5,"Yes","No")))</f>
        <v>No</v>
      </c>
      <c r="U689" t="s">
        <v>106</v>
      </c>
      <c r="V689" t="str">
        <f>R684</f>
        <v>No</v>
      </c>
      <c r="W689" t="str">
        <f>S684</f>
        <v>No</v>
      </c>
      <c r="X689" t="str">
        <f>IF(V689="N/A","N/A",IF(W689="N/A", "N/A", IF(V689=W689, "Yes","No")))</f>
        <v>Yes</v>
      </c>
    </row>
    <row r="690" spans="1:32" x14ac:dyDescent="0.2">
      <c r="F690" s="2"/>
      <c r="J690" s="2" t="s">
        <v>208</v>
      </c>
      <c r="K690">
        <v>27.7</v>
      </c>
      <c r="L690" t="s">
        <v>12</v>
      </c>
      <c r="M690" t="s">
        <v>223</v>
      </c>
      <c r="N690" t="str">
        <f>IF(K690="N/A","No", IF(K690&gt;20,"Yes","No"))</f>
        <v>Yes</v>
      </c>
      <c r="O690" t="str">
        <f>IF(K690="Not","No",IF(K690="n/a","N/A",IF(K690&gt;$Y$7,"Yes","No")))</f>
        <v>No</v>
      </c>
      <c r="U690" t="s">
        <v>121</v>
      </c>
      <c r="V690" t="str">
        <f>R685</f>
        <v>Yes</v>
      </c>
      <c r="W690" t="str">
        <f>S685</f>
        <v>No</v>
      </c>
      <c r="X690" t="str">
        <f>IF(V690="N/A","N/A",IF(W690="N/A", "N/A", IF(V690=W690, "Yes","No")))</f>
        <v>No</v>
      </c>
    </row>
    <row r="692" spans="1:32" x14ac:dyDescent="0.2">
      <c r="A692" s="1">
        <f>VLOOKUP(C692,'Grid - LRA Samples'!$A$2:$B$108, 2,FALSE)</f>
        <v>1290</v>
      </c>
      <c r="B692" t="s">
        <v>111</v>
      </c>
      <c r="C692">
        <v>66</v>
      </c>
    </row>
    <row r="693" spans="1:32" x14ac:dyDescent="0.2">
      <c r="A693" s="5" t="s">
        <v>0</v>
      </c>
      <c r="E693" s="2" t="s">
        <v>274</v>
      </c>
      <c r="F693" s="2" t="s">
        <v>275</v>
      </c>
      <c r="G693" t="s">
        <v>119</v>
      </c>
      <c r="J693" s="5" t="s">
        <v>1</v>
      </c>
      <c r="N693" s="2" t="s">
        <v>277</v>
      </c>
      <c r="O693" t="s">
        <v>278</v>
      </c>
      <c r="Q693" s="5" t="s">
        <v>115</v>
      </c>
      <c r="R693" s="5" t="s">
        <v>0</v>
      </c>
      <c r="S693" s="5" t="s">
        <v>1</v>
      </c>
      <c r="U693" s="5" t="s">
        <v>115</v>
      </c>
      <c r="V693" s="5" t="s">
        <v>0</v>
      </c>
      <c r="W693" s="5" t="s">
        <v>1</v>
      </c>
      <c r="X693" s="5" t="s">
        <v>122</v>
      </c>
      <c r="AA693" t="str">
        <f>IF(R694="Yes","LRA-Soil","")</f>
        <v>LRA-Soil</v>
      </c>
      <c r="AB693" t="str">
        <f>IF(R695="Yes","LRA-Paint","")</f>
        <v>LRA-Paint</v>
      </c>
      <c r="AC693" t="str">
        <f>IF(R696="Yes","LRA-Dust","")</f>
        <v/>
      </c>
      <c r="AD693" t="str">
        <f>IF(S694="Yes","LSK-Soil","")</f>
        <v>LSK-Soil</v>
      </c>
      <c r="AE693" t="str">
        <f>IF(S695="Yes","LSK-Paint","")</f>
        <v>LSK-Paint</v>
      </c>
      <c r="AF693" t="str">
        <f>IF(S696="Yes","LSK-Dust","")</f>
        <v/>
      </c>
    </row>
    <row r="694" spans="1:32" x14ac:dyDescent="0.2">
      <c r="A694" t="s">
        <v>63</v>
      </c>
      <c r="B694" t="s">
        <v>10</v>
      </c>
      <c r="C694">
        <v>4.3</v>
      </c>
      <c r="D694" t="s">
        <v>4</v>
      </c>
      <c r="F694" s="2" t="str">
        <f t="shared" ref="F694:F699" si="318">IF(C694&gt;=$W$2,"Yes","No")</f>
        <v>Yes</v>
      </c>
      <c r="G694" t="s">
        <v>5</v>
      </c>
      <c r="H694" t="s">
        <v>46</v>
      </c>
      <c r="J694" s="2" t="s">
        <v>6</v>
      </c>
      <c r="K694">
        <v>117</v>
      </c>
      <c r="L694" t="s">
        <v>12</v>
      </c>
      <c r="M694" t="s">
        <v>114</v>
      </c>
      <c r="N694" t="str">
        <f>IF(K694="N/A","No", IF(K694&gt;1200,"Yes","No"))</f>
        <v>No</v>
      </c>
      <c r="O694" t="str">
        <f>IF(K694="Not","No",IF(K694="n/a","N/A",IF(K694&gt;=$Y$3,"Yes","No")))</f>
        <v>No</v>
      </c>
      <c r="Q694" s="2" t="s">
        <v>116</v>
      </c>
      <c r="R694" t="str">
        <f>_xlfn.XLOOKUP("ppm",D694:D704,F694:F704,"N/A")</f>
        <v>Yes</v>
      </c>
      <c r="S694" t="str">
        <f>IF(COUNTIF(O694:O696,"Yes"),"Yes","No")</f>
        <v>Yes</v>
      </c>
      <c r="U694" t="s">
        <v>92</v>
      </c>
      <c r="V694" t="s">
        <v>120</v>
      </c>
      <c r="W694" t="s">
        <v>120</v>
      </c>
      <c r="X694" t="str">
        <f>IF(V694="N/A","N/A",IF(W694="N/A", "N/A", IF(V694=W694, "Yes","No")))</f>
        <v>N/A</v>
      </c>
    </row>
    <row r="695" spans="1:32" x14ac:dyDescent="0.2">
      <c r="A695" t="s">
        <v>63</v>
      </c>
      <c r="B695" t="s">
        <v>64</v>
      </c>
      <c r="C695">
        <v>5.2</v>
      </c>
      <c r="D695" t="s">
        <v>4</v>
      </c>
      <c r="F695" s="2" t="str">
        <f t="shared" si="318"/>
        <v>Yes</v>
      </c>
      <c r="G695" t="s">
        <v>5</v>
      </c>
      <c r="H695" t="s">
        <v>46</v>
      </c>
      <c r="J695" s="2" t="s">
        <v>11</v>
      </c>
      <c r="K695">
        <v>963</v>
      </c>
      <c r="L695" t="s">
        <v>12</v>
      </c>
      <c r="M695" t="s">
        <v>67</v>
      </c>
      <c r="N695" t="str">
        <f t="shared" ref="N695:N696" si="319">IF(K695="N/A","No", IF(K695&gt;1200,"Yes","No"))</f>
        <v>No</v>
      </c>
      <c r="O695" t="str">
        <f t="shared" ref="O695:O696" si="320">IF(K695="Not","No",IF(K695="n/a","N/A",IF(K695&gt;$Y$3,"Yes","No")))</f>
        <v>Yes</v>
      </c>
      <c r="Q695" s="2" t="s">
        <v>98</v>
      </c>
      <c r="R695" s="30" t="s">
        <v>5</v>
      </c>
      <c r="S695" t="str">
        <f>IF(COUNTIF(O697:O698,"Yes"),"Yes","No")</f>
        <v>Yes</v>
      </c>
      <c r="U695" t="s">
        <v>95</v>
      </c>
      <c r="V695" t="str">
        <f>R694</f>
        <v>Yes</v>
      </c>
      <c r="W695" t="str">
        <f>S694</f>
        <v>Yes</v>
      </c>
      <c r="X695" t="str">
        <f t="shared" ref="X695:X698" si="321">IF(V695="N/A","N/A",IF(W695="N/A", "N/A", IF(V695=W695, "Yes","No")))</f>
        <v>Yes</v>
      </c>
    </row>
    <row r="696" spans="1:32" x14ac:dyDescent="0.2">
      <c r="A696" t="s">
        <v>63</v>
      </c>
      <c r="B696" t="s">
        <v>64</v>
      </c>
      <c r="C696">
        <v>4.5999999999999996</v>
      </c>
      <c r="D696" t="s">
        <v>4</v>
      </c>
      <c r="F696" s="2" t="str">
        <f t="shared" si="318"/>
        <v>Yes</v>
      </c>
      <c r="G696" t="s">
        <v>5</v>
      </c>
      <c r="H696" t="s">
        <v>46</v>
      </c>
      <c r="J696" s="2" t="s">
        <v>15</v>
      </c>
      <c r="K696">
        <v>574</v>
      </c>
      <c r="L696" t="s">
        <v>12</v>
      </c>
      <c r="M696" t="s">
        <v>112</v>
      </c>
      <c r="N696" t="str">
        <f t="shared" si="319"/>
        <v>No</v>
      </c>
      <c r="O696" t="str">
        <f t="shared" si="320"/>
        <v>Yes</v>
      </c>
      <c r="Q696" s="2" t="s">
        <v>117</v>
      </c>
      <c r="R696" t="str">
        <f>_xlfn.XLOOKUP("ug/ft2",D694:D704,F694:F704,"N/A")</f>
        <v>No</v>
      </c>
      <c r="S696" t="str">
        <f>IF(COUNTIF(O699:O702,"Yes"),"Yes","No")</f>
        <v>No</v>
      </c>
      <c r="U696" t="s">
        <v>163</v>
      </c>
      <c r="V696" t="s">
        <v>9</v>
      </c>
      <c r="W696" t="str">
        <f>O698</f>
        <v>No</v>
      </c>
      <c r="X696" t="str">
        <f t="shared" si="321"/>
        <v>Yes</v>
      </c>
    </row>
    <row r="697" spans="1:32" x14ac:dyDescent="0.2">
      <c r="A697" t="s">
        <v>63</v>
      </c>
      <c r="B697" t="s">
        <v>24</v>
      </c>
      <c r="C697">
        <v>7.9</v>
      </c>
      <c r="D697" t="s">
        <v>4</v>
      </c>
      <c r="F697" s="2" t="str">
        <f t="shared" si="318"/>
        <v>Yes</v>
      </c>
      <c r="G697" t="s">
        <v>5</v>
      </c>
      <c r="H697" t="s">
        <v>46</v>
      </c>
      <c r="J697" s="2" t="s">
        <v>19</v>
      </c>
      <c r="K697">
        <v>7126</v>
      </c>
      <c r="L697" t="s">
        <v>12</v>
      </c>
      <c r="M697" t="s">
        <v>46</v>
      </c>
      <c r="N697" t="str">
        <f>IF(K697="N/A","No", IF(K697&gt;5000,"Yes","No"))</f>
        <v>Yes</v>
      </c>
      <c r="O697" t="str">
        <f>IF(K697="Not","No",IF(K697="n/a","N/A",IF(K697&gt;$Y$2,"Yes","No")))</f>
        <v>Yes</v>
      </c>
      <c r="Q697" s="2" t="s">
        <v>118</v>
      </c>
      <c r="R697" t="str">
        <f>IF(COUNTIF(R694:R696,"Yes"),"Yes","No")</f>
        <v>Yes</v>
      </c>
      <c r="S697" t="str">
        <f>IF(COUNTIF(S694:S696,"Yes"),"Yes","No")</f>
        <v>Yes</v>
      </c>
      <c r="U697" t="s">
        <v>164</v>
      </c>
      <c r="V697" t="s">
        <v>5</v>
      </c>
      <c r="W697" t="str">
        <f>O697</f>
        <v>Yes</v>
      </c>
      <c r="X697" t="str">
        <f t="shared" si="321"/>
        <v>Yes</v>
      </c>
    </row>
    <row r="698" spans="1:32" x14ac:dyDescent="0.2">
      <c r="A698" t="s">
        <v>63</v>
      </c>
      <c r="B698" t="s">
        <v>24</v>
      </c>
      <c r="C698">
        <v>5.7</v>
      </c>
      <c r="D698" t="s">
        <v>4</v>
      </c>
      <c r="F698" s="2" t="str">
        <f t="shared" si="318"/>
        <v>Yes</v>
      </c>
      <c r="G698" t="s">
        <v>5</v>
      </c>
      <c r="H698" t="s">
        <v>46</v>
      </c>
      <c r="J698" s="2" t="s">
        <v>22</v>
      </c>
      <c r="K698">
        <v>24</v>
      </c>
      <c r="L698" t="s">
        <v>12</v>
      </c>
      <c r="M698" t="s">
        <v>43</v>
      </c>
      <c r="N698" t="str">
        <f>IF(K698="N/A","No", IF(K698&gt;5000,"Yes","No"))</f>
        <v>No</v>
      </c>
      <c r="O698" t="str">
        <f>IF(K698="Not","No",IF(K698="n/a","N/A",IF(K698&gt;$Y$2,"Yes","No")))</f>
        <v>No</v>
      </c>
      <c r="U698" t="s">
        <v>162</v>
      </c>
      <c r="V698" t="str">
        <f>R695</f>
        <v>Yes</v>
      </c>
      <c r="W698" t="str">
        <f>S695</f>
        <v>Yes</v>
      </c>
      <c r="X698" t="str">
        <f t="shared" si="321"/>
        <v>Yes</v>
      </c>
    </row>
    <row r="699" spans="1:32" x14ac:dyDescent="0.2">
      <c r="A699" t="s">
        <v>63</v>
      </c>
      <c r="B699" t="s">
        <v>24</v>
      </c>
      <c r="C699">
        <v>4.5999999999999996</v>
      </c>
      <c r="D699" t="s">
        <v>4</v>
      </c>
      <c r="F699" s="2" t="str">
        <f t="shared" si="318"/>
        <v>Yes</v>
      </c>
      <c r="G699" t="s">
        <v>5</v>
      </c>
      <c r="H699" t="s">
        <v>46</v>
      </c>
      <c r="J699" s="2" t="s">
        <v>25</v>
      </c>
      <c r="K699">
        <v>5</v>
      </c>
      <c r="L699" t="s">
        <v>12</v>
      </c>
      <c r="M699" t="s">
        <v>126</v>
      </c>
      <c r="N699" t="str">
        <f>IF(K699="N/A","No", IF(K699&gt;20,"Yes","No"))</f>
        <v>No</v>
      </c>
      <c r="O699" t="str">
        <f t="shared" ref="O699:O700" si="322">IF(K699="Not","No",IF(K699="n/a","N/A",IF(K699&gt;$Y$6,"Yes","No")))</f>
        <v>No</v>
      </c>
      <c r="U699" t="s">
        <v>101</v>
      </c>
      <c r="V699" t="s">
        <v>9</v>
      </c>
      <c r="W699" t="s">
        <v>9</v>
      </c>
      <c r="X699" t="str">
        <f>IF(V699="N/A","N/A",IF(W699="N/A", "N/A", IF(V699=W699, "Yes","No")))</f>
        <v>Yes</v>
      </c>
    </row>
    <row r="700" spans="1:32" x14ac:dyDescent="0.2">
      <c r="A700" t="s">
        <v>75</v>
      </c>
      <c r="B700" t="s">
        <v>205</v>
      </c>
      <c r="C700">
        <v>1170</v>
      </c>
      <c r="D700" t="s">
        <v>12</v>
      </c>
      <c r="F700" s="2" t="str">
        <f t="shared" ref="F700:F701" si="323">IF(C700&gt;$W$3,"Yes","No")</f>
        <v>Yes</v>
      </c>
      <c r="G700" t="s">
        <v>9</v>
      </c>
      <c r="J700" s="2" t="s">
        <v>29</v>
      </c>
      <c r="K700">
        <v>10</v>
      </c>
      <c r="L700" t="s">
        <v>12</v>
      </c>
      <c r="M700" t="s">
        <v>222</v>
      </c>
      <c r="N700" t="str">
        <f>IF(K700="N/A","No", IF(K700&gt;20,"Yes","No"))</f>
        <v>No</v>
      </c>
      <c r="O700" t="str">
        <f t="shared" si="322"/>
        <v>No</v>
      </c>
      <c r="U700" t="s">
        <v>104</v>
      </c>
      <c r="V700" t="s">
        <v>9</v>
      </c>
      <c r="W700" t="str">
        <f>O701</f>
        <v>No</v>
      </c>
      <c r="X700" t="str">
        <f>IF(V700="N/A","N/A",IF(W700="N/A", "N/A", IF(V700=W700, "Yes","No")))</f>
        <v>Yes</v>
      </c>
    </row>
    <row r="701" spans="1:32" x14ac:dyDescent="0.2">
      <c r="A701" t="s">
        <v>75</v>
      </c>
      <c r="B701" t="s">
        <v>205</v>
      </c>
      <c r="C701">
        <v>1730</v>
      </c>
      <c r="D701" t="s">
        <v>12</v>
      </c>
      <c r="F701" s="2" t="str">
        <f t="shared" si="323"/>
        <v>Yes</v>
      </c>
      <c r="G701" t="s">
        <v>5</v>
      </c>
      <c r="J701" s="2" t="s">
        <v>34</v>
      </c>
      <c r="K701">
        <v>2.5</v>
      </c>
      <c r="L701" t="s">
        <v>12</v>
      </c>
      <c r="M701" t="s">
        <v>210</v>
      </c>
      <c r="N701" t="str">
        <f>IF(K701="N/A","No", IF(K701&gt;230,"Yes","No"))</f>
        <v>No</v>
      </c>
      <c r="O701" t="str">
        <f>IF(K701="Not","No",IF(K701="n/a","N/A",IF(K701&gt;$Y$5,"Yes","No")))</f>
        <v>No</v>
      </c>
      <c r="U701" t="s">
        <v>106</v>
      </c>
      <c r="V701" t="str">
        <f>R696</f>
        <v>No</v>
      </c>
      <c r="W701" t="str">
        <f>S696</f>
        <v>No</v>
      </c>
      <c r="X701" t="str">
        <f>IF(V701="N/A","N/A",IF(W701="N/A", "N/A", IF(V701=W701, "Yes","No")))</f>
        <v>Yes</v>
      </c>
    </row>
    <row r="702" spans="1:32" x14ac:dyDescent="0.2">
      <c r="A702" t="s">
        <v>71</v>
      </c>
      <c r="B702" t="s">
        <v>10</v>
      </c>
      <c r="C702">
        <v>0.01</v>
      </c>
      <c r="D702" t="s">
        <v>4</v>
      </c>
      <c r="F702" s="2" t="str">
        <f t="shared" ref="F702" si="324">IF(C702&gt;=$W$2,"Yes","No")</f>
        <v>No</v>
      </c>
      <c r="G702" t="s">
        <v>9</v>
      </c>
      <c r="H702" t="s">
        <v>43</v>
      </c>
      <c r="J702" s="2" t="s">
        <v>208</v>
      </c>
      <c r="K702">
        <v>25.6</v>
      </c>
      <c r="L702" t="s">
        <v>12</v>
      </c>
      <c r="M702" t="s">
        <v>223</v>
      </c>
      <c r="N702" t="str">
        <f>IF(K702="N/A","No", IF(K702&gt;20,"Yes","No"))</f>
        <v>Yes</v>
      </c>
      <c r="O702" t="str">
        <f>IF(K702="Not","No",IF(K702="n/a","N/A",IF(K702&gt;$Y$7,"Yes","No")))</f>
        <v>No</v>
      </c>
      <c r="U702" t="s">
        <v>121</v>
      </c>
      <c r="V702" t="str">
        <f>R697</f>
        <v>Yes</v>
      </c>
      <c r="W702" t="str">
        <f>S697</f>
        <v>Yes</v>
      </c>
      <c r="X702" t="str">
        <f>IF(V702="N/A","N/A",IF(W702="N/A", "N/A", IF(V702=W702, "Yes","No")))</f>
        <v>Yes</v>
      </c>
    </row>
    <row r="703" spans="1:32" x14ac:dyDescent="0.2">
      <c r="A703" t="s">
        <v>71</v>
      </c>
      <c r="B703" t="s">
        <v>32</v>
      </c>
      <c r="C703">
        <v>3.9</v>
      </c>
      <c r="D703" t="s">
        <v>33</v>
      </c>
      <c r="F703" s="2" t="str">
        <f t="shared" ref="F703" si="325">IF(C703&gt;$W$6,"Yes","No")</f>
        <v>No</v>
      </c>
      <c r="G703" t="s">
        <v>9</v>
      </c>
    </row>
    <row r="704" spans="1:32" x14ac:dyDescent="0.2">
      <c r="A704" t="s">
        <v>64</v>
      </c>
      <c r="B704" t="s">
        <v>54</v>
      </c>
      <c r="C704">
        <v>39</v>
      </c>
      <c r="D704" t="s">
        <v>33</v>
      </c>
      <c r="F704" s="2" t="str">
        <f>IF(C704&gt;$W$5,"Yes","No")</f>
        <v>No</v>
      </c>
      <c r="G704" t="s">
        <v>9</v>
      </c>
    </row>
    <row r="706" spans="1:32" x14ac:dyDescent="0.2">
      <c r="A706" s="1">
        <f>VLOOKUP(C706,'Grid - LRA Samples'!$A$2:$B$108, 2,FALSE)</f>
        <v>1291</v>
      </c>
      <c r="B706" t="s">
        <v>111</v>
      </c>
      <c r="C706">
        <v>67</v>
      </c>
    </row>
    <row r="707" spans="1:32" x14ac:dyDescent="0.2">
      <c r="A707" s="5" t="s">
        <v>0</v>
      </c>
      <c r="E707" s="2" t="s">
        <v>274</v>
      </c>
      <c r="F707" s="2" t="s">
        <v>275</v>
      </c>
      <c r="G707" t="s">
        <v>119</v>
      </c>
      <c r="J707" s="5" t="s">
        <v>1</v>
      </c>
      <c r="N707" s="2" t="s">
        <v>277</v>
      </c>
      <c r="O707" t="s">
        <v>278</v>
      </c>
      <c r="Q707" s="5" t="s">
        <v>115</v>
      </c>
      <c r="R707" s="5" t="s">
        <v>0</v>
      </c>
      <c r="S707" s="5" t="s">
        <v>1</v>
      </c>
      <c r="U707" s="5" t="s">
        <v>115</v>
      </c>
      <c r="V707" s="5" t="s">
        <v>0</v>
      </c>
      <c r="W707" s="5" t="s">
        <v>1</v>
      </c>
      <c r="X707" s="5" t="s">
        <v>122</v>
      </c>
      <c r="AA707" t="str">
        <f>IF(R708="Yes","LRA-Soil","")</f>
        <v/>
      </c>
      <c r="AB707" t="str">
        <f>IF(R709="Yes","LRA-Paint","")</f>
        <v/>
      </c>
      <c r="AC707" t="str">
        <f>IF(R710="Yes","LRA-Dust","")</f>
        <v/>
      </c>
      <c r="AD707" t="str">
        <f>IF(S708="Yes","LSK-Soil","")</f>
        <v/>
      </c>
      <c r="AE707" t="str">
        <f>IF(S709="Yes","LSK-Paint","")</f>
        <v/>
      </c>
      <c r="AF707" t="str">
        <f>IF(S710="Yes","LSK-Dust","")</f>
        <v>LSK-Dust</v>
      </c>
    </row>
    <row r="708" spans="1:32" x14ac:dyDescent="0.2">
      <c r="A708" t="s">
        <v>63</v>
      </c>
      <c r="B708" t="s">
        <v>77</v>
      </c>
      <c r="C708">
        <v>0.01</v>
      </c>
      <c r="D708" t="s">
        <v>4</v>
      </c>
      <c r="F708" s="2" t="str">
        <f t="shared" ref="F708:F712" si="326">IF(C708&gt;=$W$2,"Yes","No")</f>
        <v>No</v>
      </c>
      <c r="G708" t="s">
        <v>9</v>
      </c>
      <c r="H708" t="s">
        <v>46</v>
      </c>
      <c r="J708" s="2" t="s">
        <v>6</v>
      </c>
      <c r="K708">
        <v>9.3000000000000007</v>
      </c>
      <c r="L708" t="s">
        <v>12</v>
      </c>
      <c r="M708" t="s">
        <v>114</v>
      </c>
      <c r="N708" t="str">
        <f>IF(K708="N/A","No", IF(K708&gt;1200,"Yes","No"))</f>
        <v>No</v>
      </c>
      <c r="O708" t="str">
        <f>IF(K708="Not","No",IF(K708="n/a","N/A",IF(K708&gt;=$Y$3,"Yes","No")))</f>
        <v>No</v>
      </c>
      <c r="Q708" s="2" t="s">
        <v>116</v>
      </c>
      <c r="R708" t="str">
        <f>_xlfn.XLOOKUP("ppm",D708:D719,F708:F719,"N/A")</f>
        <v>No</v>
      </c>
      <c r="S708" t="str">
        <f>IF(COUNTIF(O708:O710,"Yes"),"Yes","No")</f>
        <v>No</v>
      </c>
      <c r="U708" t="s">
        <v>92</v>
      </c>
      <c r="V708" t="s">
        <v>120</v>
      </c>
      <c r="W708" t="s">
        <v>120</v>
      </c>
      <c r="X708" t="str">
        <f>IF(V708="N/A","N/A",IF(W708="N/A", "N/A", IF(V708=W708, "Yes","No")))</f>
        <v>N/A</v>
      </c>
    </row>
    <row r="709" spans="1:32" x14ac:dyDescent="0.2">
      <c r="A709" t="s">
        <v>63</v>
      </c>
      <c r="B709" t="s">
        <v>18</v>
      </c>
      <c r="C709">
        <v>0</v>
      </c>
      <c r="D709" t="s">
        <v>4</v>
      </c>
      <c r="F709" s="2" t="str">
        <f t="shared" si="326"/>
        <v>No</v>
      </c>
      <c r="G709" t="s">
        <v>9</v>
      </c>
      <c r="H709" t="s">
        <v>46</v>
      </c>
      <c r="J709" s="2" t="s">
        <v>11</v>
      </c>
      <c r="K709">
        <v>25.5</v>
      </c>
      <c r="L709" t="s">
        <v>12</v>
      </c>
      <c r="M709" t="s">
        <v>67</v>
      </c>
      <c r="N709" t="str">
        <f t="shared" ref="N709:N710" si="327">IF(K709="N/A","No", IF(K709&gt;1200,"Yes","No"))</f>
        <v>No</v>
      </c>
      <c r="O709" t="str">
        <f t="shared" ref="O709:O710" si="328">IF(K709="Not","No",IF(K709="n/a","N/A",IF(K709&gt;$Y$3,"Yes","No")))</f>
        <v>No</v>
      </c>
      <c r="Q709" s="2" t="s">
        <v>98</v>
      </c>
      <c r="R709" s="30" t="s">
        <v>9</v>
      </c>
      <c r="S709" t="str">
        <f>IF(COUNTIF(O711:O712,"Yes"),"Yes","No")</f>
        <v>No</v>
      </c>
      <c r="U709" t="s">
        <v>95</v>
      </c>
      <c r="V709" t="str">
        <f>R708</f>
        <v>No</v>
      </c>
      <c r="W709" t="str">
        <f>S708</f>
        <v>No</v>
      </c>
      <c r="X709" t="str">
        <f t="shared" ref="X709:X712" si="329">IF(V709="N/A","N/A",IF(W709="N/A", "N/A", IF(V709=W709, "Yes","No")))</f>
        <v>Yes</v>
      </c>
    </row>
    <row r="710" spans="1:32" x14ac:dyDescent="0.2">
      <c r="A710" t="s">
        <v>68</v>
      </c>
      <c r="B710" t="s">
        <v>69</v>
      </c>
      <c r="C710" t="s">
        <v>398</v>
      </c>
      <c r="D710" t="s">
        <v>12</v>
      </c>
      <c r="F710" s="29" t="s">
        <v>9</v>
      </c>
      <c r="G710" t="s">
        <v>9</v>
      </c>
      <c r="J710" s="2" t="s">
        <v>15</v>
      </c>
      <c r="K710">
        <v>27.9</v>
      </c>
      <c r="L710" t="s">
        <v>12</v>
      </c>
      <c r="M710" t="s">
        <v>112</v>
      </c>
      <c r="N710" t="str">
        <f t="shared" si="327"/>
        <v>No</v>
      </c>
      <c r="O710" t="str">
        <f t="shared" si="328"/>
        <v>No</v>
      </c>
      <c r="Q710" s="2" t="s">
        <v>117</v>
      </c>
      <c r="R710" t="str">
        <f>_xlfn.XLOOKUP("ug/ft2",D708:D719,F708:F719,"N/A")</f>
        <v>No</v>
      </c>
      <c r="S710" t="str">
        <f>IF(COUNTIF(O713:O716,"Yes"),"Yes","No")</f>
        <v>Yes</v>
      </c>
      <c r="U710" t="s">
        <v>163</v>
      </c>
      <c r="V710" t="s">
        <v>9</v>
      </c>
      <c r="W710" t="str">
        <f>O712</f>
        <v>N/A</v>
      </c>
      <c r="X710" t="str">
        <f t="shared" si="329"/>
        <v>N/A</v>
      </c>
    </row>
    <row r="711" spans="1:32" x14ac:dyDescent="0.2">
      <c r="A711" t="s">
        <v>113</v>
      </c>
      <c r="B711" t="s">
        <v>155</v>
      </c>
      <c r="C711">
        <v>0.4</v>
      </c>
      <c r="D711" t="s">
        <v>4</v>
      </c>
      <c r="F711" s="2" t="str">
        <f t="shared" si="326"/>
        <v>No</v>
      </c>
      <c r="G711" t="s">
        <v>9</v>
      </c>
      <c r="H711" t="s">
        <v>43</v>
      </c>
      <c r="J711" s="2" t="s">
        <v>19</v>
      </c>
      <c r="K711">
        <v>2.5</v>
      </c>
      <c r="L711" t="s">
        <v>12</v>
      </c>
      <c r="M711" t="s">
        <v>46</v>
      </c>
      <c r="N711" t="str">
        <f>IF(K711="N/A","No", IF(K711&gt;5000,"Yes","No"))</f>
        <v>No</v>
      </c>
      <c r="O711" t="str">
        <f>IF(K711="Not","No",IF(K711="n/a","N/A",IF(K711&gt;$Y$2,"Yes","No")))</f>
        <v>No</v>
      </c>
      <c r="Q711" s="2" t="s">
        <v>118</v>
      </c>
      <c r="R711" t="str">
        <f>IF(COUNTIF(R708:R710,"Yes"),"Yes","No")</f>
        <v>No</v>
      </c>
      <c r="S711" t="str">
        <f>IF(COUNTIF(S708:S710,"Yes"),"Yes","No")</f>
        <v>Yes</v>
      </c>
      <c r="U711" t="s">
        <v>164</v>
      </c>
      <c r="V711" t="s">
        <v>9</v>
      </c>
      <c r="W711" t="str">
        <f>O711</f>
        <v>No</v>
      </c>
      <c r="X711" t="str">
        <f t="shared" si="329"/>
        <v>Yes</v>
      </c>
    </row>
    <row r="712" spans="1:32" x14ac:dyDescent="0.2">
      <c r="A712" t="s">
        <v>71</v>
      </c>
      <c r="B712" t="s">
        <v>40</v>
      </c>
      <c r="C712">
        <v>0</v>
      </c>
      <c r="D712" t="s">
        <v>4</v>
      </c>
      <c r="F712" s="2" t="str">
        <f t="shared" si="326"/>
        <v>No</v>
      </c>
      <c r="G712" t="s">
        <v>9</v>
      </c>
      <c r="H712" t="s">
        <v>43</v>
      </c>
      <c r="J712" s="2" t="s">
        <v>22</v>
      </c>
      <c r="K712" t="s">
        <v>120</v>
      </c>
      <c r="L712" t="s">
        <v>12</v>
      </c>
      <c r="M712" t="s">
        <v>43</v>
      </c>
      <c r="N712" t="str">
        <f>IF(K712="N/A","No", IF(K712&gt;5000,"Yes","No"))</f>
        <v>No</v>
      </c>
      <c r="O712" t="str">
        <f>IF(K712="Not","No",IF(K712="n/a","N/A",IF(K712&gt;$Y$2,"Yes","No")))</f>
        <v>N/A</v>
      </c>
      <c r="U712" t="s">
        <v>162</v>
      </c>
      <c r="V712" t="str">
        <f>R709</f>
        <v>No</v>
      </c>
      <c r="W712" t="str">
        <f>S709</f>
        <v>No</v>
      </c>
      <c r="X712" t="str">
        <f t="shared" si="329"/>
        <v>Yes</v>
      </c>
    </row>
    <row r="713" spans="1:32" x14ac:dyDescent="0.2">
      <c r="A713" t="s">
        <v>109</v>
      </c>
      <c r="B713" t="s">
        <v>32</v>
      </c>
      <c r="C713">
        <v>3</v>
      </c>
      <c r="D713" t="s">
        <v>33</v>
      </c>
      <c r="F713" s="2" t="str">
        <f t="shared" ref="F713" si="330">IF(C713&gt;$W$6,"Yes","No")</f>
        <v>No</v>
      </c>
      <c r="G713" t="s">
        <v>9</v>
      </c>
      <c r="J713" s="2" t="s">
        <v>25</v>
      </c>
      <c r="K713">
        <v>2.5</v>
      </c>
      <c r="L713" t="s">
        <v>12</v>
      </c>
      <c r="M713" t="s">
        <v>126</v>
      </c>
      <c r="N713" t="str">
        <f>IF(K713="N/A","No", IF(K713&gt;20,"Yes","No"))</f>
        <v>No</v>
      </c>
      <c r="O713" t="str">
        <f t="shared" ref="O713:O714" si="331">IF(K713="Not","No",IF(K713="n/a","N/A",IF(K713&gt;$Y$6,"Yes","No")))</f>
        <v>No</v>
      </c>
      <c r="U713" t="s">
        <v>101</v>
      </c>
      <c r="V713" t="s">
        <v>9</v>
      </c>
      <c r="W713" t="s">
        <v>5</v>
      </c>
      <c r="X713" t="str">
        <f>IF(V713="N/A","N/A",IF(W713="N/A", "N/A", IF(V713=W713, "Yes","No")))</f>
        <v>No</v>
      </c>
    </row>
    <row r="714" spans="1:32" x14ac:dyDescent="0.2">
      <c r="A714" t="s">
        <v>109</v>
      </c>
      <c r="B714" t="s">
        <v>54</v>
      </c>
      <c r="C714">
        <v>7.2</v>
      </c>
      <c r="D714" t="s">
        <v>33</v>
      </c>
      <c r="F714" s="2" t="str">
        <f>IF(C714&gt;$W$5,"Yes","No")</f>
        <v>No</v>
      </c>
      <c r="G714" t="s">
        <v>9</v>
      </c>
      <c r="J714" s="2" t="s">
        <v>29</v>
      </c>
      <c r="K714">
        <v>81</v>
      </c>
      <c r="L714" t="s">
        <v>12</v>
      </c>
      <c r="M714" t="s">
        <v>222</v>
      </c>
      <c r="N714" t="str">
        <f>IF(K714="N/A","No", IF(K714&gt;20,"Yes","No"))</f>
        <v>Yes</v>
      </c>
      <c r="O714" t="str">
        <f t="shared" si="331"/>
        <v>Yes</v>
      </c>
      <c r="U714" t="s">
        <v>104</v>
      </c>
      <c r="V714" t="s">
        <v>9</v>
      </c>
      <c r="W714" t="str">
        <f>O715</f>
        <v>No</v>
      </c>
      <c r="X714" t="str">
        <f>IF(V714="N/A","N/A",IF(W714="N/A", "N/A", IF(V714=W714, "Yes","No")))</f>
        <v>Yes</v>
      </c>
    </row>
    <row r="715" spans="1:32" x14ac:dyDescent="0.2">
      <c r="F715" s="2"/>
      <c r="J715" s="2" t="s">
        <v>34</v>
      </c>
      <c r="K715">
        <v>2.5</v>
      </c>
      <c r="L715" t="s">
        <v>12</v>
      </c>
      <c r="M715" t="s">
        <v>210</v>
      </c>
      <c r="N715" t="str">
        <f>IF(K715="N/A","No", IF(K715&gt;230,"Yes","No"))</f>
        <v>No</v>
      </c>
      <c r="O715" t="str">
        <f>IF(K715="Not","No",IF(K715="n/a","N/A",IF(K715&gt;$Y$5,"Yes","No")))</f>
        <v>No</v>
      </c>
      <c r="U715" t="s">
        <v>106</v>
      </c>
      <c r="V715" t="str">
        <f>R710</f>
        <v>No</v>
      </c>
      <c r="W715" t="str">
        <f>S710</f>
        <v>Yes</v>
      </c>
      <c r="X715" t="str">
        <f>IF(V715="N/A","N/A",IF(W715="N/A", "N/A", IF(V715=W715, "Yes","No")))</f>
        <v>No</v>
      </c>
    </row>
    <row r="716" spans="1:32" x14ac:dyDescent="0.2">
      <c r="F716" s="2"/>
      <c r="J716" s="2" t="s">
        <v>208</v>
      </c>
      <c r="K716">
        <v>34.700000000000003</v>
      </c>
      <c r="L716" t="s">
        <v>12</v>
      </c>
      <c r="M716" t="s">
        <v>223</v>
      </c>
      <c r="N716" t="str">
        <f>IF(K716="N/A","No", IF(K716&gt;20,"Yes","No"))</f>
        <v>Yes</v>
      </c>
      <c r="O716" t="str">
        <f>IF(K716="Not","No",IF(K716="n/a","N/A",IF(K716&gt;$Y$7,"Yes","No")))</f>
        <v>No</v>
      </c>
      <c r="U716" t="s">
        <v>121</v>
      </c>
      <c r="V716" t="str">
        <f>R711</f>
        <v>No</v>
      </c>
      <c r="W716" t="str">
        <f>S711</f>
        <v>Yes</v>
      </c>
      <c r="X716" t="str">
        <f>IF(V716="N/A","N/A",IF(W716="N/A", "N/A", IF(V716=W716, "Yes","No")))</f>
        <v>No</v>
      </c>
    </row>
    <row r="719" spans="1:32" x14ac:dyDescent="0.2">
      <c r="A719" s="1">
        <f>VLOOKUP(C719,'Grid - LRA Samples'!$A$2:$B$108, 2,FALSE)</f>
        <v>1293</v>
      </c>
      <c r="B719" t="s">
        <v>111</v>
      </c>
      <c r="C719">
        <v>68</v>
      </c>
    </row>
    <row r="720" spans="1:32" x14ac:dyDescent="0.2">
      <c r="A720" s="5" t="s">
        <v>0</v>
      </c>
      <c r="E720" s="2" t="s">
        <v>274</v>
      </c>
      <c r="F720" s="2" t="s">
        <v>275</v>
      </c>
      <c r="G720" t="s">
        <v>119</v>
      </c>
      <c r="J720" s="5" t="s">
        <v>1</v>
      </c>
      <c r="N720" s="2" t="s">
        <v>277</v>
      </c>
      <c r="O720" t="s">
        <v>278</v>
      </c>
      <c r="Q720" s="5" t="s">
        <v>115</v>
      </c>
      <c r="R720" s="5" t="s">
        <v>0</v>
      </c>
      <c r="S720" s="5" t="s">
        <v>1</v>
      </c>
      <c r="U720" s="5" t="s">
        <v>115</v>
      </c>
      <c r="V720" s="5" t="s">
        <v>0</v>
      </c>
      <c r="W720" s="5" t="s">
        <v>1</v>
      </c>
      <c r="X720" s="5" t="s">
        <v>122</v>
      </c>
      <c r="AA720" t="str">
        <f>IF(R721="Yes","LRA-Soil","")</f>
        <v/>
      </c>
      <c r="AB720" t="str">
        <f>IF(R722="Yes","LRA-Paint","")</f>
        <v/>
      </c>
      <c r="AC720" t="str">
        <f>IF(R723="Yes","LRA-Dust","")</f>
        <v/>
      </c>
      <c r="AD720" t="str">
        <f>IF(S721="Yes","LSK-Soil","")</f>
        <v>LSK-Soil</v>
      </c>
      <c r="AE720" t="str">
        <f>IF(S722="Yes","LSK-Paint","")</f>
        <v/>
      </c>
      <c r="AF720" t="str">
        <f>IF(S723="Yes","LSK-Dust","")</f>
        <v/>
      </c>
    </row>
    <row r="721" spans="1:32" x14ac:dyDescent="0.2">
      <c r="A721" t="s">
        <v>63</v>
      </c>
      <c r="B721" t="s">
        <v>18</v>
      </c>
      <c r="C721">
        <v>0</v>
      </c>
      <c r="D721" t="s">
        <v>4</v>
      </c>
      <c r="F721" s="2" t="str">
        <f t="shared" ref="F721" si="332">IF(C721&gt;=$W$2,"Yes","No")</f>
        <v>No</v>
      </c>
      <c r="G721" t="s">
        <v>9</v>
      </c>
      <c r="H721" t="s">
        <v>46</v>
      </c>
      <c r="J721" s="2" t="s">
        <v>6</v>
      </c>
      <c r="K721">
        <v>253</v>
      </c>
      <c r="L721" t="s">
        <v>12</v>
      </c>
      <c r="M721" t="s">
        <v>114</v>
      </c>
      <c r="N721" t="str">
        <f>IF(K721="N/A","No", IF(K721&gt;1200,"Yes","No"))</f>
        <v>No</v>
      </c>
      <c r="O721" t="str">
        <f>IF(K721="Not","No",IF(K721="n/a","N/A",IF(K721&gt;=$Y$3,"Yes","No")))</f>
        <v>No</v>
      </c>
      <c r="Q721" s="2" t="s">
        <v>116</v>
      </c>
      <c r="R721" t="str">
        <f>_xlfn.XLOOKUP("ppm",D721:D730,F721:F730,"N/A")</f>
        <v>No</v>
      </c>
      <c r="S721" t="str">
        <f>IF(COUNTIF(O721:O723,"Yes"),"Yes","No")</f>
        <v>Yes</v>
      </c>
      <c r="U721" t="s">
        <v>92</v>
      </c>
      <c r="V721" t="s">
        <v>120</v>
      </c>
      <c r="W721" t="s">
        <v>120</v>
      </c>
      <c r="X721" t="str">
        <f>IF(V721="N/A","N/A",IF(W721="N/A", "N/A", IF(V721=W721, "Yes","No")))</f>
        <v>N/A</v>
      </c>
    </row>
    <row r="722" spans="1:32" x14ac:dyDescent="0.2">
      <c r="A722" t="s">
        <v>75</v>
      </c>
      <c r="B722" t="s">
        <v>399</v>
      </c>
      <c r="C722">
        <v>225</v>
      </c>
      <c r="D722" t="s">
        <v>12</v>
      </c>
      <c r="F722" s="2" t="str">
        <f t="shared" ref="F722" si="333">IF(C722&gt;$W$3,"Yes","No")</f>
        <v>No</v>
      </c>
      <c r="G722" t="s">
        <v>9</v>
      </c>
      <c r="J722" s="2" t="s">
        <v>11</v>
      </c>
      <c r="K722">
        <v>100</v>
      </c>
      <c r="L722" t="s">
        <v>12</v>
      </c>
      <c r="M722" t="s">
        <v>67</v>
      </c>
      <c r="N722" t="str">
        <f t="shared" ref="N722:N723" si="334">IF(K722="N/A","No", IF(K722&gt;1200,"Yes","No"))</f>
        <v>No</v>
      </c>
      <c r="O722" t="str">
        <f t="shared" ref="O722:O723" si="335">IF(K722="Not","No",IF(K722="n/a","N/A",IF(K722&gt;$Y$3,"Yes","No")))</f>
        <v>No</v>
      </c>
      <c r="Q722" s="2" t="s">
        <v>98</v>
      </c>
      <c r="R722" s="30" t="s">
        <v>9</v>
      </c>
      <c r="S722" t="str">
        <f>IF(COUNTIF(O724:O725,"Yes"),"Yes","No")</f>
        <v>No</v>
      </c>
      <c r="U722" t="s">
        <v>95</v>
      </c>
      <c r="V722" t="str">
        <f>R721</f>
        <v>No</v>
      </c>
      <c r="W722" t="str">
        <f>S721</f>
        <v>Yes</v>
      </c>
      <c r="X722" t="str">
        <f t="shared" ref="X722:X725" si="336">IF(V722="N/A","N/A",IF(W722="N/A", "N/A", IF(V722=W722, "Yes","No")))</f>
        <v>No</v>
      </c>
    </row>
    <row r="723" spans="1:32" x14ac:dyDescent="0.2">
      <c r="A723" t="s">
        <v>71</v>
      </c>
      <c r="B723" t="s">
        <v>40</v>
      </c>
      <c r="C723">
        <v>0</v>
      </c>
      <c r="D723" t="s">
        <v>4</v>
      </c>
      <c r="F723" s="2" t="str">
        <f t="shared" ref="F723" si="337">IF(C723&gt;=$W$2,"Yes","No")</f>
        <v>No</v>
      </c>
      <c r="G723" t="s">
        <v>9</v>
      </c>
      <c r="H723" t="s">
        <v>43</v>
      </c>
      <c r="J723" s="2" t="s">
        <v>15</v>
      </c>
      <c r="K723">
        <v>10249</v>
      </c>
      <c r="L723" t="s">
        <v>12</v>
      </c>
      <c r="M723" t="s">
        <v>112</v>
      </c>
      <c r="N723" t="str">
        <f t="shared" si="334"/>
        <v>Yes</v>
      </c>
      <c r="O723" t="str">
        <f t="shared" si="335"/>
        <v>Yes</v>
      </c>
      <c r="Q723" s="2" t="s">
        <v>117</v>
      </c>
      <c r="R723" t="str">
        <f>_xlfn.XLOOKUP("ug/ft2",D721:D730,F721:F730,"N/A")</f>
        <v>No</v>
      </c>
      <c r="S723" t="str">
        <f>IF(COUNTIF(O726:O729,"Yes"),"Yes","No")</f>
        <v>No</v>
      </c>
      <c r="U723" t="s">
        <v>163</v>
      </c>
      <c r="V723" t="s">
        <v>9</v>
      </c>
      <c r="W723" t="str">
        <f>O725</f>
        <v>N/A</v>
      </c>
      <c r="X723" t="str">
        <f t="shared" si="336"/>
        <v>N/A</v>
      </c>
    </row>
    <row r="724" spans="1:32" x14ac:dyDescent="0.2">
      <c r="A724" t="s">
        <v>158</v>
      </c>
      <c r="B724" t="s">
        <v>32</v>
      </c>
      <c r="C724">
        <v>3</v>
      </c>
      <c r="D724" t="s">
        <v>33</v>
      </c>
      <c r="F724" s="2" t="str">
        <f t="shared" ref="F724" si="338">IF(C724&gt;$W$6,"Yes","No")</f>
        <v>No</v>
      </c>
      <c r="G724" t="s">
        <v>9</v>
      </c>
      <c r="J724" s="2" t="s">
        <v>19</v>
      </c>
      <c r="K724" t="s">
        <v>120</v>
      </c>
      <c r="L724" t="s">
        <v>12</v>
      </c>
      <c r="M724" t="s">
        <v>46</v>
      </c>
      <c r="N724" t="str">
        <f>IF(K724="N/A","No", IF(K724&gt;5000,"Yes","No"))</f>
        <v>No</v>
      </c>
      <c r="O724" t="str">
        <f>IF(K724="Not","No",IF(K724="n/a","N/A",IF(K724&gt;$Y$2,"Yes","No")))</f>
        <v>N/A</v>
      </c>
      <c r="Q724" s="2" t="s">
        <v>118</v>
      </c>
      <c r="R724" t="str">
        <f>IF(COUNTIF(R721:R723,"Yes"),"Yes","No")</f>
        <v>No</v>
      </c>
      <c r="S724" t="str">
        <f>IF(COUNTIF(S721:S723,"Yes"),"Yes","No")</f>
        <v>Yes</v>
      </c>
      <c r="U724" t="s">
        <v>164</v>
      </c>
      <c r="V724" t="s">
        <v>9</v>
      </c>
      <c r="W724" t="str">
        <f>O724</f>
        <v>N/A</v>
      </c>
      <c r="X724" t="str">
        <f t="shared" si="336"/>
        <v>N/A</v>
      </c>
    </row>
    <row r="725" spans="1:32" x14ac:dyDescent="0.2">
      <c r="A725" t="s">
        <v>158</v>
      </c>
      <c r="B725" t="s">
        <v>54</v>
      </c>
      <c r="C725">
        <v>11</v>
      </c>
      <c r="D725" t="s">
        <v>33</v>
      </c>
      <c r="F725" s="2" t="str">
        <f>IF(C725&gt;$W$5,"Yes","No")</f>
        <v>No</v>
      </c>
      <c r="G725" t="s">
        <v>9</v>
      </c>
      <c r="J725" s="2" t="s">
        <v>22</v>
      </c>
      <c r="K725" t="s">
        <v>120</v>
      </c>
      <c r="L725" t="s">
        <v>12</v>
      </c>
      <c r="M725" t="s">
        <v>43</v>
      </c>
      <c r="N725" t="str">
        <f>IF(K725="N/A","No", IF(K725&gt;5000,"Yes","No"))</f>
        <v>No</v>
      </c>
      <c r="O725" t="str">
        <f>IF(K725="Not","No",IF(K725="n/a","N/A",IF(K725&gt;$Y$2,"Yes","No")))</f>
        <v>N/A</v>
      </c>
      <c r="U725" t="s">
        <v>162</v>
      </c>
      <c r="V725" t="str">
        <f>R722</f>
        <v>No</v>
      </c>
      <c r="W725" t="str">
        <f>S722</f>
        <v>No</v>
      </c>
      <c r="X725" t="str">
        <f t="shared" si="336"/>
        <v>Yes</v>
      </c>
    </row>
    <row r="726" spans="1:32" x14ac:dyDescent="0.2">
      <c r="F726" s="2"/>
      <c r="J726" s="2" t="s">
        <v>25</v>
      </c>
      <c r="K726">
        <v>2.5</v>
      </c>
      <c r="L726" t="s">
        <v>12</v>
      </c>
      <c r="M726" t="s">
        <v>126</v>
      </c>
      <c r="N726" t="str">
        <f>IF(K726="N/A","No", IF(K726&gt;20,"Yes","No"))</f>
        <v>No</v>
      </c>
      <c r="O726" t="str">
        <f t="shared" ref="O726:O727" si="339">IF(K726="Not","No",IF(K726="n/a","N/A",IF(K726&gt;$Y$6,"Yes","No")))</f>
        <v>No</v>
      </c>
      <c r="U726" t="s">
        <v>101</v>
      </c>
      <c r="V726" t="s">
        <v>9</v>
      </c>
      <c r="W726" t="s">
        <v>9</v>
      </c>
      <c r="X726" t="str">
        <f>IF(V726="N/A","N/A",IF(W726="N/A", "N/A", IF(V726=W726, "Yes","No")))</f>
        <v>Yes</v>
      </c>
    </row>
    <row r="727" spans="1:32" x14ac:dyDescent="0.2">
      <c r="F727" s="2"/>
      <c r="J727" s="2" t="s">
        <v>29</v>
      </c>
      <c r="K727">
        <v>2.5</v>
      </c>
      <c r="L727" t="s">
        <v>12</v>
      </c>
      <c r="M727" t="s">
        <v>222</v>
      </c>
      <c r="N727" t="str">
        <f>IF(K727="N/A","No", IF(K727&gt;20,"Yes","No"))</f>
        <v>No</v>
      </c>
      <c r="O727" t="str">
        <f t="shared" si="339"/>
        <v>No</v>
      </c>
      <c r="U727" t="s">
        <v>104</v>
      </c>
      <c r="V727" t="s">
        <v>9</v>
      </c>
      <c r="W727" t="str">
        <f>O728</f>
        <v>No</v>
      </c>
      <c r="X727" t="str">
        <f>IF(V727="N/A","N/A",IF(W727="N/A", "N/A", IF(V727=W727, "Yes","No")))</f>
        <v>Yes</v>
      </c>
    </row>
    <row r="728" spans="1:32" x14ac:dyDescent="0.2">
      <c r="F728" s="2"/>
      <c r="J728" s="2" t="s">
        <v>34</v>
      </c>
      <c r="K728">
        <v>2.5</v>
      </c>
      <c r="L728" t="s">
        <v>12</v>
      </c>
      <c r="M728" t="s">
        <v>210</v>
      </c>
      <c r="N728" t="str">
        <f>IF(K728="N/A","No", IF(K728&gt;230,"Yes","No"))</f>
        <v>No</v>
      </c>
      <c r="O728" t="str">
        <f>IF(K728="Not","No",IF(K728="n/a","N/A",IF(K728&gt;$Y$5,"Yes","No")))</f>
        <v>No</v>
      </c>
      <c r="U728" t="s">
        <v>106</v>
      </c>
      <c r="V728" t="str">
        <f>R723</f>
        <v>No</v>
      </c>
      <c r="W728" t="str">
        <f>S723</f>
        <v>No</v>
      </c>
      <c r="X728" t="str">
        <f>IF(V728="N/A","N/A",IF(W728="N/A", "N/A", IF(V728=W728, "Yes","No")))</f>
        <v>Yes</v>
      </c>
    </row>
    <row r="729" spans="1:32" x14ac:dyDescent="0.2">
      <c r="F729" s="2"/>
      <c r="J729" s="2" t="s">
        <v>208</v>
      </c>
      <c r="K729">
        <v>196</v>
      </c>
      <c r="L729" t="s">
        <v>12</v>
      </c>
      <c r="M729" t="s">
        <v>223</v>
      </c>
      <c r="N729" t="str">
        <f>IF(K729="N/A","No", IF(K729&gt;20,"Yes","No"))</f>
        <v>Yes</v>
      </c>
      <c r="O729" t="str">
        <f>IF(K729="Not","No",IF(K729="n/a","N/A",IF(K729&gt;$Y$7,"Yes","No")))</f>
        <v>No</v>
      </c>
      <c r="U729" t="s">
        <v>121</v>
      </c>
      <c r="V729" t="str">
        <f>R724</f>
        <v>No</v>
      </c>
      <c r="W729" t="str">
        <f>S724</f>
        <v>Yes</v>
      </c>
      <c r="X729" t="str">
        <f>IF(V729="N/A","N/A",IF(W729="N/A", "N/A", IF(V729=W729, "Yes","No")))</f>
        <v>No</v>
      </c>
    </row>
    <row r="732" spans="1:32" x14ac:dyDescent="0.2">
      <c r="A732" s="1">
        <f>VLOOKUP(C732,'Grid - LRA Samples'!$A$2:$B$108, 2,FALSE)</f>
        <v>1318</v>
      </c>
      <c r="B732" t="s">
        <v>111</v>
      </c>
      <c r="C732">
        <v>72</v>
      </c>
    </row>
    <row r="733" spans="1:32" x14ac:dyDescent="0.2">
      <c r="A733" s="5" t="s">
        <v>0</v>
      </c>
      <c r="E733" s="2" t="s">
        <v>274</v>
      </c>
      <c r="F733" s="2" t="s">
        <v>275</v>
      </c>
      <c r="G733" t="s">
        <v>119</v>
      </c>
      <c r="J733" s="5" t="s">
        <v>1</v>
      </c>
      <c r="N733" s="2" t="s">
        <v>277</v>
      </c>
      <c r="O733" t="s">
        <v>278</v>
      </c>
      <c r="Q733" s="5" t="s">
        <v>115</v>
      </c>
      <c r="R733" s="5" t="s">
        <v>0</v>
      </c>
      <c r="S733" s="5" t="s">
        <v>1</v>
      </c>
      <c r="U733" s="5" t="s">
        <v>115</v>
      </c>
      <c r="V733" s="5" t="s">
        <v>0</v>
      </c>
      <c r="W733" s="5" t="s">
        <v>1</v>
      </c>
      <c r="X733" s="5" t="s">
        <v>122</v>
      </c>
      <c r="AA733" t="str">
        <f>IF(R734="Yes","LRA-Soil","")</f>
        <v/>
      </c>
      <c r="AB733" t="str">
        <f>IF(R735="Yes","LRA-Paint","")</f>
        <v/>
      </c>
      <c r="AC733" t="str">
        <f>IF(R736="Yes","LRA-Dust","")</f>
        <v>LRA-Dust</v>
      </c>
      <c r="AD733" t="str">
        <f>IF(S734="Yes","LSK-Soil","")</f>
        <v/>
      </c>
      <c r="AE733" t="str">
        <f>IF(S735="Yes","LSK-Paint","")</f>
        <v/>
      </c>
      <c r="AF733" t="str">
        <f>IF(S736="Yes","LSK-Dust","")</f>
        <v/>
      </c>
    </row>
    <row r="734" spans="1:32" x14ac:dyDescent="0.2">
      <c r="A734" t="s">
        <v>63</v>
      </c>
      <c r="B734" t="s">
        <v>18</v>
      </c>
      <c r="C734">
        <v>0</v>
      </c>
      <c r="D734" t="s">
        <v>4</v>
      </c>
      <c r="F734" s="2" t="str">
        <f t="shared" ref="F734" si="340">IF(C734&gt;=$W$2,"Yes","No")</f>
        <v>No</v>
      </c>
      <c r="G734" t="s">
        <v>9</v>
      </c>
      <c r="H734" t="s">
        <v>46</v>
      </c>
      <c r="J734" s="2" t="s">
        <v>6</v>
      </c>
      <c r="K734">
        <v>14.2</v>
      </c>
      <c r="L734" t="s">
        <v>12</v>
      </c>
      <c r="M734" t="s">
        <v>114</v>
      </c>
      <c r="N734" t="str">
        <f>IF(K734="N/A","No", IF(K734&gt;1200,"Yes","No"))</f>
        <v>No</v>
      </c>
      <c r="O734" t="str">
        <f>IF(K734="Not","No",IF(K734="n/a","N/A",IF(K734&gt;=$Y$3,"Yes","No")))</f>
        <v>No</v>
      </c>
      <c r="Q734" s="2" t="s">
        <v>116</v>
      </c>
      <c r="R734" t="str">
        <f>_xlfn.XLOOKUP("ppm",D734:D744,F734:F744,"N/A")</f>
        <v>No</v>
      </c>
      <c r="S734" t="str">
        <f>IF(COUNTIF(O734:O736,"Yes"),"Yes","No")</f>
        <v>No</v>
      </c>
      <c r="U734" t="s">
        <v>92</v>
      </c>
      <c r="V734" t="s">
        <v>9</v>
      </c>
      <c r="W734" t="s">
        <v>120</v>
      </c>
      <c r="X734" t="str">
        <f>IF(V734="N/A","N/A",IF(W734="N/A", "N/A", IF(V734=W734, "Yes","No")))</f>
        <v>N/A</v>
      </c>
      <c r="AF734" t="e">
        <f>IF(#REF!="Yes","LSK-Dust","")</f>
        <v>#REF!</v>
      </c>
    </row>
    <row r="735" spans="1:32" x14ac:dyDescent="0.2">
      <c r="A735" t="s">
        <v>161</v>
      </c>
      <c r="B735" t="s">
        <v>28</v>
      </c>
      <c r="D735" t="s">
        <v>12</v>
      </c>
      <c r="F735" s="29" t="s">
        <v>9</v>
      </c>
      <c r="G735" t="s">
        <v>9</v>
      </c>
      <c r="J735" s="2" t="s">
        <v>11</v>
      </c>
      <c r="K735">
        <v>12.4</v>
      </c>
      <c r="L735" t="s">
        <v>12</v>
      </c>
      <c r="M735" t="s">
        <v>67</v>
      </c>
      <c r="N735" t="str">
        <f t="shared" ref="N735:N736" si="341">IF(K735="N/A","No", IF(K735&gt;1200,"Yes","No"))</f>
        <v>No</v>
      </c>
      <c r="O735" t="str">
        <f t="shared" ref="O735:O736" si="342">IF(K735="Not","No",IF(K735="n/a","N/A",IF(K735&gt;$Y$3,"Yes","No")))</f>
        <v>No</v>
      </c>
      <c r="Q735" s="2" t="s">
        <v>98</v>
      </c>
      <c r="R735" s="30" t="s">
        <v>9</v>
      </c>
      <c r="S735" t="str">
        <f>IF(COUNTIF(O737:O738,"Yes"),"Yes","No")</f>
        <v>No</v>
      </c>
      <c r="U735" t="s">
        <v>95</v>
      </c>
      <c r="V735" t="str">
        <f>R734</f>
        <v>No</v>
      </c>
      <c r="W735" t="str">
        <f>S734</f>
        <v>No</v>
      </c>
      <c r="X735" t="str">
        <f t="shared" ref="X735:X738" si="343">IF(V735="N/A","N/A",IF(W735="N/A", "N/A", IF(V735=W735, "Yes","No")))</f>
        <v>Yes</v>
      </c>
    </row>
    <row r="736" spans="1:32" x14ac:dyDescent="0.2">
      <c r="A736" t="s">
        <v>158</v>
      </c>
      <c r="B736" t="s">
        <v>40</v>
      </c>
      <c r="C736">
        <v>0</v>
      </c>
      <c r="D736" t="s">
        <v>4</v>
      </c>
      <c r="F736" s="2" t="str">
        <f t="shared" ref="F736" si="344">IF(C736&gt;=$W$2,"Yes","No")</f>
        <v>No</v>
      </c>
      <c r="G736" t="s">
        <v>9</v>
      </c>
      <c r="H736" t="s">
        <v>43</v>
      </c>
      <c r="J736" s="2" t="s">
        <v>15</v>
      </c>
      <c r="K736">
        <v>15.2</v>
      </c>
      <c r="L736" t="s">
        <v>12</v>
      </c>
      <c r="M736" t="s">
        <v>112</v>
      </c>
      <c r="N736" t="str">
        <f t="shared" si="341"/>
        <v>No</v>
      </c>
      <c r="O736" t="str">
        <f t="shared" si="342"/>
        <v>No</v>
      </c>
      <c r="Q736" s="2" t="s">
        <v>117</v>
      </c>
      <c r="R736" t="str">
        <f>_xlfn.XLOOKUP("ug/ft2",D734:D744,F734:F744,"N/A")</f>
        <v>Yes</v>
      </c>
      <c r="S736" t="str">
        <f>IF(COUNTIF(O739:O742,"Yes"),"Yes","No")</f>
        <v>No</v>
      </c>
      <c r="U736" t="s">
        <v>163</v>
      </c>
      <c r="V736" t="s">
        <v>9</v>
      </c>
      <c r="W736" t="str">
        <f>O738</f>
        <v>No</v>
      </c>
      <c r="X736" t="str">
        <f t="shared" si="343"/>
        <v>Yes</v>
      </c>
    </row>
    <row r="737" spans="1:32" x14ac:dyDescent="0.2">
      <c r="A737" t="s">
        <v>71</v>
      </c>
      <c r="B737" t="s">
        <v>32</v>
      </c>
      <c r="C737">
        <v>14.9</v>
      </c>
      <c r="D737" t="s">
        <v>33</v>
      </c>
      <c r="F737" s="2" t="str">
        <f t="shared" ref="F737" si="345">IF(C737&gt;$W$6,"Yes","No")</f>
        <v>Yes</v>
      </c>
      <c r="G737" t="s">
        <v>5</v>
      </c>
      <c r="J737" s="2" t="s">
        <v>19</v>
      </c>
      <c r="K737">
        <v>2.5</v>
      </c>
      <c r="L737" t="s">
        <v>12</v>
      </c>
      <c r="M737" t="s">
        <v>46</v>
      </c>
      <c r="N737" t="str">
        <f>IF(K737="N/A","No", IF(K737&gt;5000,"Yes","No"))</f>
        <v>No</v>
      </c>
      <c r="O737" t="str">
        <f>IF(K737="Not","No",IF(K737="n/a","N/A",IF(K737&gt;$Y$2,"Yes","No")))</f>
        <v>No</v>
      </c>
      <c r="Q737" s="2" t="s">
        <v>118</v>
      </c>
      <c r="R737" t="str">
        <f>IF(COUNTIF(R734:R736,"Yes"),"Yes","No")</f>
        <v>Yes</v>
      </c>
      <c r="S737" t="str">
        <f>IF(COUNTIF(S734:S736,"Yes"),"Yes","No")</f>
        <v>No</v>
      </c>
      <c r="U737" t="s">
        <v>164</v>
      </c>
      <c r="V737" t="s">
        <v>9</v>
      </c>
      <c r="W737" t="str">
        <f>O737</f>
        <v>No</v>
      </c>
      <c r="X737" t="str">
        <f t="shared" si="343"/>
        <v>Yes</v>
      </c>
    </row>
    <row r="738" spans="1:32" x14ac:dyDescent="0.2">
      <c r="F738" s="2"/>
      <c r="J738" s="2" t="s">
        <v>22</v>
      </c>
      <c r="K738">
        <v>2.5</v>
      </c>
      <c r="L738" t="s">
        <v>12</v>
      </c>
      <c r="M738" t="s">
        <v>43</v>
      </c>
      <c r="N738" t="str">
        <f>IF(K738="N/A","No", IF(K738&gt;5000,"Yes","No"))</f>
        <v>No</v>
      </c>
      <c r="O738" t="str">
        <f>IF(K738="Not","No",IF(K738="n/a","N/A",IF(K738&gt;$Y$2,"Yes","No")))</f>
        <v>No</v>
      </c>
      <c r="U738" t="s">
        <v>162</v>
      </c>
      <c r="V738" t="str">
        <f>R735</f>
        <v>No</v>
      </c>
      <c r="W738" t="str">
        <f>S735</f>
        <v>No</v>
      </c>
      <c r="X738" t="str">
        <f t="shared" si="343"/>
        <v>Yes</v>
      </c>
    </row>
    <row r="739" spans="1:32" x14ac:dyDescent="0.2">
      <c r="F739" s="2"/>
      <c r="J739" s="2" t="s">
        <v>25</v>
      </c>
      <c r="K739">
        <v>2.5</v>
      </c>
      <c r="L739" t="s">
        <v>12</v>
      </c>
      <c r="M739" t="s">
        <v>126</v>
      </c>
      <c r="N739" t="str">
        <f>IF(K739="N/A","No", IF(K739&gt;20,"Yes","No"))</f>
        <v>No</v>
      </c>
      <c r="O739" t="str">
        <f t="shared" ref="O739:O740" si="346">IF(K739="Not","No",IF(K739="n/a","N/A",IF(K739&gt;$Y$6,"Yes","No")))</f>
        <v>No</v>
      </c>
      <c r="U739" t="s">
        <v>101</v>
      </c>
      <c r="V739" t="s">
        <v>5</v>
      </c>
      <c r="W739" t="s">
        <v>9</v>
      </c>
      <c r="X739" t="str">
        <f>IF(V739="N/A","N/A",IF(W739="N/A", "N/A", IF(V739=W739, "Yes","No")))</f>
        <v>No</v>
      </c>
    </row>
    <row r="740" spans="1:32" x14ac:dyDescent="0.2">
      <c r="F740" s="2"/>
      <c r="J740" s="2" t="s">
        <v>29</v>
      </c>
      <c r="K740">
        <v>2.5</v>
      </c>
      <c r="L740" t="s">
        <v>12</v>
      </c>
      <c r="M740" t="s">
        <v>222</v>
      </c>
      <c r="N740" t="str">
        <f>IF(K740="N/A","No", IF(K740&gt;20,"Yes","No"))</f>
        <v>No</v>
      </c>
      <c r="O740" t="str">
        <f t="shared" si="346"/>
        <v>No</v>
      </c>
      <c r="U740" t="s">
        <v>104</v>
      </c>
      <c r="V740" t="s">
        <v>120</v>
      </c>
      <c r="W740" t="str">
        <f>O741</f>
        <v>No</v>
      </c>
      <c r="X740" t="str">
        <f>IF(V740="N/A","N/A",IF(W740="N/A", "N/A", IF(V740=W740, "Yes","No")))</f>
        <v>N/A</v>
      </c>
    </row>
    <row r="741" spans="1:32" x14ac:dyDescent="0.2">
      <c r="F741" s="2"/>
      <c r="J741" s="2" t="s">
        <v>34</v>
      </c>
      <c r="K741">
        <v>2.5</v>
      </c>
      <c r="L741" t="s">
        <v>12</v>
      </c>
      <c r="M741" t="s">
        <v>210</v>
      </c>
      <c r="N741" t="str">
        <f>IF(K741="N/A","No", IF(K741&gt;230,"Yes","No"))</f>
        <v>No</v>
      </c>
      <c r="O741" t="str">
        <f>IF(K741="Not","No",IF(K741="n/a","N/A",IF(K741&gt;$Y$5,"Yes","No")))</f>
        <v>No</v>
      </c>
      <c r="U741" t="s">
        <v>106</v>
      </c>
      <c r="V741" t="str">
        <f>R736</f>
        <v>Yes</v>
      </c>
      <c r="W741" t="str">
        <f>S736</f>
        <v>No</v>
      </c>
      <c r="X741" t="str">
        <f>IF(V741="N/A","N/A",IF(W741="N/A", "N/A", IF(V741=W741, "Yes","No")))</f>
        <v>No</v>
      </c>
    </row>
    <row r="742" spans="1:32" x14ac:dyDescent="0.2">
      <c r="F742" s="2"/>
      <c r="J742" s="2" t="s">
        <v>208</v>
      </c>
      <c r="K742">
        <v>98</v>
      </c>
      <c r="L742" t="s">
        <v>12</v>
      </c>
      <c r="M742" t="s">
        <v>223</v>
      </c>
      <c r="N742" t="str">
        <f>IF(K742="N/A","No", IF(K742&gt;20,"Yes","No"))</f>
        <v>Yes</v>
      </c>
      <c r="O742" t="str">
        <f>IF(K742="Not","No",IF(K742="n/a","N/A",IF(K742&gt;$Y$7,"Yes","No")))</f>
        <v>No</v>
      </c>
      <c r="U742" t="s">
        <v>121</v>
      </c>
      <c r="V742" t="str">
        <f>R737</f>
        <v>Yes</v>
      </c>
      <c r="W742" t="str">
        <f>S737</f>
        <v>No</v>
      </c>
      <c r="X742" t="str">
        <f>IF(V742="N/A","N/A",IF(W742="N/A", "N/A", IF(V742=W742, "Yes","No")))</f>
        <v>No</v>
      </c>
    </row>
    <row r="744" spans="1:32" x14ac:dyDescent="0.2">
      <c r="A744" s="1">
        <f>VLOOKUP(C744,'Grid - LRA Samples'!$A$2:$B$108, 2,FALSE)</f>
        <v>1345</v>
      </c>
      <c r="B744" t="s">
        <v>111</v>
      </c>
      <c r="C744">
        <v>73</v>
      </c>
    </row>
    <row r="745" spans="1:32" x14ac:dyDescent="0.2">
      <c r="A745" s="5" t="s">
        <v>0</v>
      </c>
      <c r="E745" s="2" t="s">
        <v>274</v>
      </c>
      <c r="F745" s="2" t="s">
        <v>275</v>
      </c>
      <c r="G745" t="s">
        <v>119</v>
      </c>
      <c r="J745" s="5" t="s">
        <v>1</v>
      </c>
      <c r="N745" s="2" t="s">
        <v>277</v>
      </c>
      <c r="O745" t="s">
        <v>278</v>
      </c>
      <c r="Q745" s="5" t="s">
        <v>115</v>
      </c>
      <c r="R745" s="5" t="s">
        <v>0</v>
      </c>
      <c r="S745" s="5" t="s">
        <v>1</v>
      </c>
      <c r="U745" s="5" t="s">
        <v>115</v>
      </c>
      <c r="V745" s="5" t="s">
        <v>0</v>
      </c>
      <c r="W745" s="5" t="s">
        <v>1</v>
      </c>
      <c r="X745" s="5" t="s">
        <v>122</v>
      </c>
      <c r="AA745" t="str">
        <f>IF(R746="Yes","LRA-Soil","")</f>
        <v>LRA-Soil</v>
      </c>
      <c r="AB745" t="str">
        <f>IF(R747="Yes","LRA-Paint","")</f>
        <v/>
      </c>
      <c r="AC745" t="str">
        <f>IF(R748="Yes","LRA-Dust","")</f>
        <v>LRA-Dust</v>
      </c>
      <c r="AD745" t="str">
        <f>IF(S746="Yes","LSK-Soil","")</f>
        <v/>
      </c>
      <c r="AE745" t="str">
        <f>IF(S747="Yes","LSK-Paint","")</f>
        <v/>
      </c>
      <c r="AF745" t="str">
        <f>IF(S748="Yes","LSK-Dust","")</f>
        <v/>
      </c>
    </row>
    <row r="746" spans="1:32" x14ac:dyDescent="0.2">
      <c r="A746" t="s">
        <v>185</v>
      </c>
      <c r="B746" t="s">
        <v>217</v>
      </c>
      <c r="C746">
        <v>0</v>
      </c>
      <c r="D746" t="s">
        <v>4</v>
      </c>
      <c r="E746" t="s">
        <v>9</v>
      </c>
      <c r="F746" s="2" t="str">
        <f t="shared" ref="F746" si="347">IF(C746&gt;=$W$2,"Yes","No")</f>
        <v>No</v>
      </c>
      <c r="G746" t="s">
        <v>9</v>
      </c>
      <c r="H746" t="s">
        <v>46</v>
      </c>
      <c r="J746" s="2" t="s">
        <v>6</v>
      </c>
      <c r="K746">
        <v>27.6</v>
      </c>
      <c r="L746" t="s">
        <v>12</v>
      </c>
      <c r="M746" t="s">
        <v>114</v>
      </c>
      <c r="N746" t="str">
        <f>IF(K746="N/A","No", IF(K746&gt;1200,"Yes","No"))</f>
        <v>No</v>
      </c>
      <c r="O746" t="str">
        <f>IF(K746="Not","No",IF(K746="n/a","N/A",IF(K746&gt;=$Y$3,"Yes","No")))</f>
        <v>No</v>
      </c>
      <c r="Q746" s="2" t="s">
        <v>116</v>
      </c>
      <c r="R746" t="str">
        <f>_xlfn.XLOOKUP("ppm",D746:D756,F746:F756,"N/A")</f>
        <v>Yes</v>
      </c>
      <c r="S746" t="str">
        <f>IF(COUNTIF(O746:O748,"Yes"),"Yes","No")</f>
        <v>No</v>
      </c>
      <c r="U746" t="s">
        <v>92</v>
      </c>
      <c r="V746" t="s">
        <v>9</v>
      </c>
      <c r="W746" t="s">
        <v>120</v>
      </c>
      <c r="X746" t="str">
        <f>IF(V746="N/A","N/A",IF(W746="N/A", "N/A", IF(V746=W746, "Yes","No")))</f>
        <v>N/A</v>
      </c>
      <c r="AF746" t="str">
        <f>IF(S736="Yes","LSK-Dust","")</f>
        <v/>
      </c>
    </row>
    <row r="747" spans="1:32" x14ac:dyDescent="0.2">
      <c r="A747" t="s">
        <v>187</v>
      </c>
      <c r="B747" t="s">
        <v>294</v>
      </c>
      <c r="C747">
        <v>470</v>
      </c>
      <c r="D747" t="s">
        <v>12</v>
      </c>
      <c r="E747" t="s">
        <v>9</v>
      </c>
      <c r="F747" s="2" t="str">
        <f t="shared" ref="F747" si="348">IF(C747&gt;$W$3,"Yes","No")</f>
        <v>Yes</v>
      </c>
      <c r="G747" t="s">
        <v>9</v>
      </c>
      <c r="J747" s="2" t="s">
        <v>11</v>
      </c>
      <c r="K747">
        <v>17.600000000000001</v>
      </c>
      <c r="L747" t="s">
        <v>12</v>
      </c>
      <c r="M747" t="s">
        <v>67</v>
      </c>
      <c r="N747" t="str">
        <f t="shared" ref="N747:N748" si="349">IF(K747="N/A","No", IF(K747&gt;1200,"Yes","No"))</f>
        <v>No</v>
      </c>
      <c r="O747" t="str">
        <f t="shared" ref="O747:O748" si="350">IF(K747="Not","No",IF(K747="n/a","N/A",IF(K747&gt;$Y$3,"Yes","No")))</f>
        <v>No</v>
      </c>
      <c r="Q747" s="2" t="s">
        <v>98</v>
      </c>
      <c r="R747" s="30" t="s">
        <v>9</v>
      </c>
      <c r="S747" t="str">
        <f>IF(COUNTIF(O749:O750,"Yes"),"Yes","No")</f>
        <v>No</v>
      </c>
      <c r="U747" t="s">
        <v>95</v>
      </c>
      <c r="V747" t="str">
        <f>R746</f>
        <v>Yes</v>
      </c>
      <c r="W747" t="str">
        <f>S746</f>
        <v>No</v>
      </c>
      <c r="X747" t="str">
        <f t="shared" ref="X747:X750" si="351">IF(V747="N/A","N/A",IF(W747="N/A", "N/A", IF(V747=W747, "Yes","No")))</f>
        <v>No</v>
      </c>
    </row>
    <row r="748" spans="1:32" x14ac:dyDescent="0.2">
      <c r="A748" t="s">
        <v>241</v>
      </c>
      <c r="B748" t="s">
        <v>189</v>
      </c>
      <c r="C748">
        <v>0</v>
      </c>
      <c r="D748" t="s">
        <v>4</v>
      </c>
      <c r="E748" t="s">
        <v>9</v>
      </c>
      <c r="F748" s="2" t="str">
        <f t="shared" ref="F748" si="352">IF(C748&gt;=$W$2,"Yes","No")</f>
        <v>No</v>
      </c>
      <c r="G748" t="s">
        <v>9</v>
      </c>
      <c r="H748" t="s">
        <v>43</v>
      </c>
      <c r="J748" s="2" t="s">
        <v>15</v>
      </c>
      <c r="K748">
        <v>25</v>
      </c>
      <c r="L748" t="s">
        <v>12</v>
      </c>
      <c r="M748" t="s">
        <v>112</v>
      </c>
      <c r="N748" t="str">
        <f t="shared" si="349"/>
        <v>No</v>
      </c>
      <c r="O748" t="str">
        <f t="shared" si="350"/>
        <v>No</v>
      </c>
      <c r="Q748" s="2" t="s">
        <v>117</v>
      </c>
      <c r="R748" t="str">
        <f>_xlfn.XLOOKUP("ug/ft2",D746:D756,F746:F756,"N/A")</f>
        <v>Yes</v>
      </c>
      <c r="S748" t="str">
        <f>IF(COUNTIF(O751:O754,"Yes"),"Yes","No")</f>
        <v>No</v>
      </c>
      <c r="U748" t="s">
        <v>163</v>
      </c>
      <c r="V748" t="s">
        <v>9</v>
      </c>
      <c r="W748" t="str">
        <f>O750</f>
        <v>No</v>
      </c>
      <c r="X748" t="str">
        <f t="shared" si="351"/>
        <v>Yes</v>
      </c>
    </row>
    <row r="749" spans="1:32" x14ac:dyDescent="0.2">
      <c r="A749" t="s">
        <v>201</v>
      </c>
      <c r="B749" t="s">
        <v>214</v>
      </c>
      <c r="C749">
        <v>250</v>
      </c>
      <c r="D749" t="s">
        <v>33</v>
      </c>
      <c r="E749" t="s">
        <v>5</v>
      </c>
      <c r="F749" s="2" t="str">
        <f t="shared" ref="F749" si="353">IF(C749&gt;$W$6,"Yes","No")</f>
        <v>Yes</v>
      </c>
      <c r="G749" t="s">
        <v>5</v>
      </c>
      <c r="J749" s="2" t="s">
        <v>19</v>
      </c>
      <c r="K749">
        <v>2.5</v>
      </c>
      <c r="L749" t="s">
        <v>12</v>
      </c>
      <c r="M749" t="s">
        <v>46</v>
      </c>
      <c r="N749" t="str">
        <f>IF(K749="N/A","No", IF(K749&gt;5000,"Yes","No"))</f>
        <v>No</v>
      </c>
      <c r="O749" t="str">
        <f>IF(K749="Not","No",IF(K749="n/a","N/A",IF(K749&gt;$Y$2,"Yes","No")))</f>
        <v>No</v>
      </c>
      <c r="Q749" s="2" t="s">
        <v>118</v>
      </c>
      <c r="R749" t="str">
        <f>IF(COUNTIF(R746:R748,"Yes"),"Yes","No")</f>
        <v>Yes</v>
      </c>
      <c r="S749" t="str">
        <f>IF(COUNTIF(S746:S748,"Yes"),"Yes","No")</f>
        <v>No</v>
      </c>
      <c r="U749" t="s">
        <v>164</v>
      </c>
      <c r="V749" t="s">
        <v>9</v>
      </c>
      <c r="W749" t="str">
        <f>O749</f>
        <v>No</v>
      </c>
      <c r="X749" t="str">
        <f t="shared" si="351"/>
        <v>Yes</v>
      </c>
    </row>
    <row r="750" spans="1:32" x14ac:dyDescent="0.2">
      <c r="F750" s="2"/>
      <c r="J750" s="2" t="s">
        <v>22</v>
      </c>
      <c r="K750">
        <v>2.5</v>
      </c>
      <c r="L750" t="s">
        <v>12</v>
      </c>
      <c r="M750" t="s">
        <v>43</v>
      </c>
      <c r="N750" t="str">
        <f>IF(K750="N/A","No", IF(K750&gt;5000,"Yes","No"))</f>
        <v>No</v>
      </c>
      <c r="O750" t="str">
        <f>IF(K750="Not","No",IF(K750="n/a","N/A",IF(K750&gt;$Y$2,"Yes","No")))</f>
        <v>No</v>
      </c>
      <c r="U750" t="s">
        <v>162</v>
      </c>
      <c r="V750" t="str">
        <f>R747</f>
        <v>No</v>
      </c>
      <c r="W750" t="str">
        <f>S747</f>
        <v>No</v>
      </c>
      <c r="X750" t="str">
        <f t="shared" si="351"/>
        <v>Yes</v>
      </c>
    </row>
    <row r="751" spans="1:32" x14ac:dyDescent="0.2">
      <c r="F751" s="2"/>
      <c r="J751" s="2" t="s">
        <v>25</v>
      </c>
      <c r="K751">
        <v>5</v>
      </c>
      <c r="L751" t="s">
        <v>12</v>
      </c>
      <c r="M751" t="s">
        <v>126</v>
      </c>
      <c r="N751" t="str">
        <f>IF(K751="N/A","No", IF(K751&gt;20,"Yes","No"))</f>
        <v>No</v>
      </c>
      <c r="O751" t="str">
        <f t="shared" ref="O751:O752" si="354">IF(K751="Not","No",IF(K751="n/a","N/A",IF(K751&gt;$Y$6,"Yes","No")))</f>
        <v>No</v>
      </c>
      <c r="U751" t="s">
        <v>101</v>
      </c>
      <c r="V751" t="s">
        <v>5</v>
      </c>
      <c r="W751" t="s">
        <v>9</v>
      </c>
      <c r="X751" t="str">
        <f>IF(V751="N/A","N/A",IF(W751="N/A", "N/A", IF(V751=W751, "Yes","No")))</f>
        <v>No</v>
      </c>
    </row>
    <row r="752" spans="1:32" x14ac:dyDescent="0.2">
      <c r="F752" s="2"/>
      <c r="J752" s="2" t="s">
        <v>29</v>
      </c>
      <c r="K752">
        <v>2.5</v>
      </c>
      <c r="L752" t="s">
        <v>12</v>
      </c>
      <c r="M752" t="s">
        <v>222</v>
      </c>
      <c r="N752" t="str">
        <f>IF(K752="N/A","No", IF(K752&gt;20,"Yes","No"))</f>
        <v>No</v>
      </c>
      <c r="O752" t="str">
        <f t="shared" si="354"/>
        <v>No</v>
      </c>
      <c r="U752" t="s">
        <v>104</v>
      </c>
      <c r="V752" t="s">
        <v>120</v>
      </c>
      <c r="W752" t="str">
        <f>O753</f>
        <v>No</v>
      </c>
      <c r="X752" t="str">
        <f>IF(V752="N/A","N/A",IF(W752="N/A", "N/A", IF(V752=W752, "Yes","No")))</f>
        <v>N/A</v>
      </c>
    </row>
    <row r="753" spans="1:32" x14ac:dyDescent="0.2">
      <c r="F753" s="2"/>
      <c r="J753" s="2" t="s">
        <v>34</v>
      </c>
      <c r="K753">
        <v>8</v>
      </c>
      <c r="L753" t="s">
        <v>12</v>
      </c>
      <c r="M753" t="s">
        <v>210</v>
      </c>
      <c r="N753" t="str">
        <f>IF(K753="N/A","No", IF(K753&gt;230,"Yes","No"))</f>
        <v>No</v>
      </c>
      <c r="O753" t="str">
        <f>IF(K753="Not","No",IF(K753="n/a","N/A",IF(K753&gt;$Y$5,"Yes","No")))</f>
        <v>No</v>
      </c>
      <c r="U753" t="s">
        <v>106</v>
      </c>
      <c r="V753" t="str">
        <f>R748</f>
        <v>Yes</v>
      </c>
      <c r="W753" t="str">
        <f>S748</f>
        <v>No</v>
      </c>
      <c r="X753" t="str">
        <f>IF(V753="N/A","N/A",IF(W753="N/A", "N/A", IF(V753=W753, "Yes","No")))</f>
        <v>No</v>
      </c>
    </row>
    <row r="754" spans="1:32" x14ac:dyDescent="0.2">
      <c r="F754" s="2"/>
      <c r="J754" s="2" t="s">
        <v>208</v>
      </c>
      <c r="K754">
        <v>2.5</v>
      </c>
      <c r="L754" t="s">
        <v>12</v>
      </c>
      <c r="M754" t="s">
        <v>223</v>
      </c>
      <c r="N754" t="str">
        <f>IF(K754="N/A","No", IF(K754&gt;20,"Yes","No"))</f>
        <v>No</v>
      </c>
      <c r="O754" t="str">
        <f>IF(K754="Not","No",IF(K754="n/a","N/A",IF(K754&gt;$Y$7,"Yes","No")))</f>
        <v>No</v>
      </c>
      <c r="U754" t="s">
        <v>121</v>
      </c>
      <c r="V754" t="str">
        <f>R749</f>
        <v>Yes</v>
      </c>
      <c r="W754" t="str">
        <f>S749</f>
        <v>No</v>
      </c>
      <c r="X754" t="str">
        <f>IF(V754="N/A","N/A",IF(W754="N/A", "N/A", IF(V754=W754, "Yes","No")))</f>
        <v>No</v>
      </c>
    </row>
    <row r="757" spans="1:32" x14ac:dyDescent="0.2">
      <c r="A757" s="1">
        <f>VLOOKUP(C757,'Grid - LRA Samples'!$A$2:$B$108, 2,FALSE)</f>
        <v>1346</v>
      </c>
      <c r="B757" t="s">
        <v>111</v>
      </c>
      <c r="C757">
        <v>74</v>
      </c>
    </row>
    <row r="758" spans="1:32" x14ac:dyDescent="0.2">
      <c r="A758" s="5" t="s">
        <v>0</v>
      </c>
      <c r="E758" s="2" t="s">
        <v>274</v>
      </c>
      <c r="F758" s="2" t="s">
        <v>275</v>
      </c>
      <c r="G758" t="s">
        <v>119</v>
      </c>
      <c r="J758" s="5" t="s">
        <v>1</v>
      </c>
      <c r="N758" s="2" t="s">
        <v>277</v>
      </c>
      <c r="O758" t="s">
        <v>278</v>
      </c>
      <c r="Q758" s="5" t="s">
        <v>115</v>
      </c>
      <c r="R758" s="5" t="s">
        <v>0</v>
      </c>
      <c r="S758" s="5" t="s">
        <v>1</v>
      </c>
      <c r="U758" s="5" t="s">
        <v>115</v>
      </c>
      <c r="V758" s="5" t="s">
        <v>0</v>
      </c>
      <c r="W758" s="5" t="s">
        <v>1</v>
      </c>
      <c r="X758" s="5" t="s">
        <v>122</v>
      </c>
      <c r="AA758" t="str">
        <f>IF(R759="Yes","LRA-Soil","")</f>
        <v/>
      </c>
      <c r="AB758" t="str">
        <f>IF(R760="Yes","LRA-Paint","")</f>
        <v/>
      </c>
      <c r="AC758" t="str">
        <f>IF(R761="Yes","LRA-Dust","")</f>
        <v>LRA-Dust</v>
      </c>
      <c r="AD758" t="str">
        <f>IF(S759="Yes","LSK-Soil","")</f>
        <v/>
      </c>
      <c r="AE758" t="str">
        <f>IF(S760="Yes","LSK-Paint","")</f>
        <v/>
      </c>
      <c r="AF758" t="str">
        <f>IF(S761="Yes","LSK-Dust","")</f>
        <v/>
      </c>
    </row>
    <row r="759" spans="1:32" x14ac:dyDescent="0.2">
      <c r="A759" t="s">
        <v>185</v>
      </c>
      <c r="B759" t="s">
        <v>217</v>
      </c>
      <c r="C759">
        <v>0</v>
      </c>
      <c r="D759" t="s">
        <v>4</v>
      </c>
      <c r="E759" t="s">
        <v>9</v>
      </c>
      <c r="F759" s="2" t="str">
        <f t="shared" ref="F759" si="355">IF(C759&gt;=$W$2,"Yes","No")</f>
        <v>No</v>
      </c>
      <c r="G759" t="s">
        <v>9</v>
      </c>
      <c r="H759" t="s">
        <v>46</v>
      </c>
      <c r="J759" s="2" t="s">
        <v>6</v>
      </c>
      <c r="K759">
        <v>55.7</v>
      </c>
      <c r="L759" t="s">
        <v>12</v>
      </c>
      <c r="M759" t="s">
        <v>114</v>
      </c>
      <c r="N759" t="str">
        <f>IF(K759="N/A","No", IF(K759&gt;1200,"Yes","No"))</f>
        <v>No</v>
      </c>
      <c r="O759" t="str">
        <f>IF(K759="Not","No",IF(K759="n/a","N/A",IF(K759&gt;=$Y$3,"Yes","No")))</f>
        <v>No</v>
      </c>
      <c r="Q759" s="2" t="s">
        <v>116</v>
      </c>
      <c r="R759" t="str">
        <f>_xlfn.XLOOKUP("ppm",D759:D768,F759:F768,"N/A")</f>
        <v>No</v>
      </c>
      <c r="S759" t="str">
        <f>IF(COUNTIF(O759:O761,"Yes"),"Yes","No")</f>
        <v>No</v>
      </c>
      <c r="U759" t="s">
        <v>92</v>
      </c>
      <c r="V759" t="s">
        <v>9</v>
      </c>
      <c r="W759" t="s">
        <v>120</v>
      </c>
      <c r="X759" t="str">
        <f>IF(V759="N/A","N/A",IF(W759="N/A", "N/A", IF(V759=W759, "Yes","No")))</f>
        <v>N/A</v>
      </c>
    </row>
    <row r="760" spans="1:32" x14ac:dyDescent="0.2">
      <c r="A760" t="s">
        <v>187</v>
      </c>
      <c r="B760" t="s">
        <v>294</v>
      </c>
      <c r="C760">
        <v>19.600000000000001</v>
      </c>
      <c r="D760" t="s">
        <v>12</v>
      </c>
      <c r="E760" t="s">
        <v>9</v>
      </c>
      <c r="F760" s="2" t="str">
        <f t="shared" ref="F760" si="356">IF(C760&gt;$W$3,"Yes","No")</f>
        <v>No</v>
      </c>
      <c r="G760" t="s">
        <v>9</v>
      </c>
      <c r="J760" s="2" t="s">
        <v>11</v>
      </c>
      <c r="K760">
        <v>26.1</v>
      </c>
      <c r="L760" t="s">
        <v>12</v>
      </c>
      <c r="M760" t="s">
        <v>67</v>
      </c>
      <c r="N760" t="str">
        <f t="shared" ref="N760:N761" si="357">IF(K760="N/A","No", IF(K760&gt;1200,"Yes","No"))</f>
        <v>No</v>
      </c>
      <c r="O760" t="str">
        <f t="shared" ref="O760:O761" si="358">IF(K760="Not","No",IF(K760="n/a","N/A",IF(K760&gt;$Y$3,"Yes","No")))</f>
        <v>No</v>
      </c>
      <c r="Q760" s="2" t="s">
        <v>98</v>
      </c>
      <c r="R760" s="30" t="s">
        <v>9</v>
      </c>
      <c r="S760" t="str">
        <f>IF(COUNTIF(O762:O763,"Yes"),"Yes","No")</f>
        <v>No</v>
      </c>
      <c r="U760" t="s">
        <v>95</v>
      </c>
      <c r="V760" t="str">
        <f>R759</f>
        <v>No</v>
      </c>
      <c r="W760" t="str">
        <f>S759</f>
        <v>No</v>
      </c>
      <c r="X760" t="str">
        <f t="shared" ref="X760:X763" si="359">IF(V760="N/A","N/A",IF(W760="N/A", "N/A", IF(V760=W760, "Yes","No")))</f>
        <v>Yes</v>
      </c>
    </row>
    <row r="761" spans="1:32" x14ac:dyDescent="0.2">
      <c r="A761" t="s">
        <v>191</v>
      </c>
      <c r="B761" t="s">
        <v>221</v>
      </c>
      <c r="C761">
        <v>0</v>
      </c>
      <c r="D761" t="s">
        <v>4</v>
      </c>
      <c r="E761" t="s">
        <v>9</v>
      </c>
      <c r="F761" s="2" t="str">
        <f t="shared" ref="F761" si="360">IF(C761&gt;=$W$2,"Yes","No")</f>
        <v>No</v>
      </c>
      <c r="G761" t="s">
        <v>9</v>
      </c>
      <c r="H761" t="s">
        <v>43</v>
      </c>
      <c r="J761" s="2" t="s">
        <v>15</v>
      </c>
      <c r="K761">
        <v>37.799999999999997</v>
      </c>
      <c r="L761" t="s">
        <v>12</v>
      </c>
      <c r="M761" t="s">
        <v>112</v>
      </c>
      <c r="N761" t="str">
        <f t="shared" si="357"/>
        <v>No</v>
      </c>
      <c r="O761" t="str">
        <f t="shared" si="358"/>
        <v>No</v>
      </c>
      <c r="Q761" s="2" t="s">
        <v>117</v>
      </c>
      <c r="R761" t="str">
        <f>_xlfn.XLOOKUP("ug/ft2",D759:D768,F759:F768,"N/A")</f>
        <v>Yes</v>
      </c>
      <c r="S761" t="str">
        <f>IF(COUNTIF(O764:O767,"Yes"),"Yes","No")</f>
        <v>No</v>
      </c>
      <c r="U761" t="s">
        <v>163</v>
      </c>
      <c r="V761" t="s">
        <v>9</v>
      </c>
      <c r="W761" t="str">
        <f>O763</f>
        <v>No</v>
      </c>
      <c r="X761" t="str">
        <f t="shared" si="359"/>
        <v>Yes</v>
      </c>
    </row>
    <row r="762" spans="1:32" x14ac:dyDescent="0.2">
      <c r="A762" t="s">
        <v>201</v>
      </c>
      <c r="B762" t="s">
        <v>214</v>
      </c>
      <c r="C762">
        <v>21.3</v>
      </c>
      <c r="D762" t="s">
        <v>33</v>
      </c>
      <c r="E762" t="s">
        <v>5</v>
      </c>
      <c r="F762" s="2" t="str">
        <f t="shared" ref="F762" si="361">IF(C762&gt;$W$6,"Yes","No")</f>
        <v>Yes</v>
      </c>
      <c r="G762" t="s">
        <v>5</v>
      </c>
      <c r="J762" s="2" t="s">
        <v>19</v>
      </c>
      <c r="K762">
        <v>430</v>
      </c>
      <c r="L762" t="s">
        <v>12</v>
      </c>
      <c r="M762" t="s">
        <v>46</v>
      </c>
      <c r="N762" t="str">
        <f>IF(K762="N/A","No", IF(K762&gt;5000,"Yes","No"))</f>
        <v>No</v>
      </c>
      <c r="O762" t="str">
        <f>IF(K762="Not","No",IF(K762="n/a","N/A",IF(K762&gt;$Y$2,"Yes","No")))</f>
        <v>No</v>
      </c>
      <c r="Q762" s="2" t="s">
        <v>118</v>
      </c>
      <c r="R762" t="str">
        <f>IF(COUNTIF(R759:R761,"Yes"),"Yes","No")</f>
        <v>Yes</v>
      </c>
      <c r="S762" t="str">
        <f>IF(COUNTIF(S759:S761,"Yes"),"Yes","No")</f>
        <v>No</v>
      </c>
      <c r="U762" t="s">
        <v>164</v>
      </c>
      <c r="V762" t="s">
        <v>9</v>
      </c>
      <c r="W762" t="str">
        <f>O762</f>
        <v>No</v>
      </c>
      <c r="X762" t="str">
        <f t="shared" si="359"/>
        <v>Yes</v>
      </c>
    </row>
    <row r="763" spans="1:32" x14ac:dyDescent="0.2">
      <c r="F763" s="2"/>
      <c r="J763" s="2" t="s">
        <v>22</v>
      </c>
      <c r="K763">
        <v>10</v>
      </c>
      <c r="L763" t="s">
        <v>12</v>
      </c>
      <c r="M763" t="s">
        <v>43</v>
      </c>
      <c r="N763" t="str">
        <f>IF(K763="N/A","No", IF(K763&gt;5000,"Yes","No"))</f>
        <v>No</v>
      </c>
      <c r="O763" t="str">
        <f>IF(K763="Not","No",IF(K763="n/a","N/A",IF(K763&gt;$Y$2,"Yes","No")))</f>
        <v>No</v>
      </c>
      <c r="U763" t="s">
        <v>162</v>
      </c>
      <c r="V763" t="str">
        <f>R760</f>
        <v>No</v>
      </c>
      <c r="W763" t="str">
        <f>S760</f>
        <v>No</v>
      </c>
      <c r="X763" t="str">
        <f t="shared" si="359"/>
        <v>Yes</v>
      </c>
    </row>
    <row r="764" spans="1:32" x14ac:dyDescent="0.2">
      <c r="F764" s="2"/>
      <c r="J764" s="2" t="s">
        <v>25</v>
      </c>
      <c r="K764">
        <v>2.5</v>
      </c>
      <c r="L764" t="s">
        <v>12</v>
      </c>
      <c r="M764" t="s">
        <v>126</v>
      </c>
      <c r="N764" t="str">
        <f>IF(K764="N/A","No", IF(K764&gt;20,"Yes","No"))</f>
        <v>No</v>
      </c>
      <c r="O764" t="str">
        <f t="shared" ref="O764:O765" si="362">IF(K764="Not","No",IF(K764="n/a","N/A",IF(K764&gt;$Y$6,"Yes","No")))</f>
        <v>No</v>
      </c>
      <c r="U764" t="s">
        <v>101</v>
      </c>
      <c r="V764" t="s">
        <v>5</v>
      </c>
      <c r="W764" t="s">
        <v>9</v>
      </c>
      <c r="X764" t="str">
        <f>IF(V764="N/A","N/A",IF(W764="N/A", "N/A", IF(V764=W764, "Yes","No")))</f>
        <v>No</v>
      </c>
    </row>
    <row r="765" spans="1:32" x14ac:dyDescent="0.2">
      <c r="F765" s="2"/>
      <c r="J765" s="2" t="s">
        <v>29</v>
      </c>
      <c r="K765">
        <v>2.5</v>
      </c>
      <c r="L765" t="s">
        <v>12</v>
      </c>
      <c r="M765" t="s">
        <v>222</v>
      </c>
      <c r="N765" t="str">
        <f>IF(K765="N/A","No", IF(K765&gt;20,"Yes","No"))</f>
        <v>No</v>
      </c>
      <c r="O765" t="str">
        <f t="shared" si="362"/>
        <v>No</v>
      </c>
      <c r="U765" t="s">
        <v>104</v>
      </c>
      <c r="V765" t="s">
        <v>120</v>
      </c>
      <c r="W765" t="str">
        <f>O766</f>
        <v>No</v>
      </c>
      <c r="X765" t="str">
        <f>IF(V765="N/A","N/A",IF(W765="N/A", "N/A", IF(V765=W765, "Yes","No")))</f>
        <v>N/A</v>
      </c>
    </row>
    <row r="766" spans="1:32" x14ac:dyDescent="0.2">
      <c r="F766" s="2"/>
      <c r="J766" s="2" t="s">
        <v>34</v>
      </c>
      <c r="K766">
        <v>2.5</v>
      </c>
      <c r="L766" t="s">
        <v>12</v>
      </c>
      <c r="M766" t="s">
        <v>210</v>
      </c>
      <c r="N766" t="str">
        <f>IF(K766="N/A","No", IF(K766&gt;230,"Yes","No"))</f>
        <v>No</v>
      </c>
      <c r="O766" t="str">
        <f>IF(K766="Not","No",IF(K766="n/a","N/A",IF(K766&gt;$Y$5,"Yes","No")))</f>
        <v>No</v>
      </c>
      <c r="U766" t="s">
        <v>106</v>
      </c>
      <c r="V766" t="str">
        <f>R761</f>
        <v>Yes</v>
      </c>
      <c r="W766" t="str">
        <f>S761</f>
        <v>No</v>
      </c>
      <c r="X766" t="str">
        <f>IF(V766="N/A","N/A",IF(W766="N/A", "N/A", IF(V766=W766, "Yes","No")))</f>
        <v>No</v>
      </c>
    </row>
    <row r="767" spans="1:32" x14ac:dyDescent="0.2">
      <c r="F767" s="2"/>
      <c r="J767" s="2" t="s">
        <v>208</v>
      </c>
      <c r="K767">
        <v>28.6</v>
      </c>
      <c r="L767" t="s">
        <v>12</v>
      </c>
      <c r="M767" t="s">
        <v>223</v>
      </c>
      <c r="N767" t="str">
        <f>IF(K767="N/A","No", IF(K767&gt;20,"Yes","No"))</f>
        <v>Yes</v>
      </c>
      <c r="O767" t="str">
        <f>IF(K767="Not","No",IF(K767="n/a","N/A",IF(K767&gt;$Y$7,"Yes","No")))</f>
        <v>No</v>
      </c>
      <c r="U767" t="s">
        <v>121</v>
      </c>
      <c r="V767" t="str">
        <f>R762</f>
        <v>Yes</v>
      </c>
      <c r="W767" t="str">
        <f>S762</f>
        <v>No</v>
      </c>
      <c r="X767" t="str">
        <f>IF(V767="N/A","N/A",IF(W767="N/A", "N/A", IF(V767=W767, "Yes","No")))</f>
        <v>No</v>
      </c>
    </row>
    <row r="770" spans="1:32" x14ac:dyDescent="0.2">
      <c r="A770" s="1">
        <f>VLOOKUP(C770,'Grid - LRA Samples'!$A$2:$B$108, 2,FALSE)</f>
        <v>1350</v>
      </c>
      <c r="B770" t="s">
        <v>111</v>
      </c>
      <c r="C770">
        <v>76</v>
      </c>
    </row>
    <row r="771" spans="1:32" x14ac:dyDescent="0.2">
      <c r="A771" s="5" t="s">
        <v>0</v>
      </c>
      <c r="E771" s="2" t="s">
        <v>274</v>
      </c>
      <c r="F771" s="2" t="s">
        <v>275</v>
      </c>
      <c r="G771" t="s">
        <v>119</v>
      </c>
      <c r="J771" s="5" t="s">
        <v>1</v>
      </c>
      <c r="N771" s="2" t="s">
        <v>277</v>
      </c>
      <c r="O771" t="s">
        <v>278</v>
      </c>
      <c r="Q771" s="5" t="s">
        <v>115</v>
      </c>
      <c r="R771" s="5" t="s">
        <v>0</v>
      </c>
      <c r="S771" s="5" t="s">
        <v>1</v>
      </c>
      <c r="U771" s="5" t="s">
        <v>115</v>
      </c>
      <c r="V771" s="5" t="s">
        <v>0</v>
      </c>
      <c r="W771" s="5" t="s">
        <v>1</v>
      </c>
      <c r="X771" s="5" t="s">
        <v>122</v>
      </c>
      <c r="AA771" t="str">
        <f>IF(R772="Yes","LRA-Soil","")</f>
        <v>LRA-Soil</v>
      </c>
      <c r="AB771" t="str">
        <f>IF(R773="Yes","LRA-Paint","")</f>
        <v>LRA-Paint</v>
      </c>
      <c r="AC771" t="str">
        <f>IF(R774="Yes","LRA-Dust","")</f>
        <v>LRA-Dust</v>
      </c>
      <c r="AD771" t="str">
        <f>IF(S772="Yes","LSK-Soil","")</f>
        <v>LSK-Soil</v>
      </c>
      <c r="AE771" t="str">
        <f>IF(S773="Yes","LSK-Paint","")</f>
        <v>LSK-Paint</v>
      </c>
      <c r="AF771" t="str">
        <f>IF(S774="Yes","LSK-Dust","")</f>
        <v>LSK-Dust</v>
      </c>
    </row>
    <row r="772" spans="1:32" x14ac:dyDescent="0.2">
      <c r="A772" t="s">
        <v>63</v>
      </c>
      <c r="B772" t="s">
        <v>203</v>
      </c>
      <c r="C772">
        <v>7.3</v>
      </c>
      <c r="D772" t="s">
        <v>4</v>
      </c>
      <c r="F772" s="2" t="str">
        <f t="shared" ref="F772" si="363">IF(C772&gt;=$W$2,"Yes","No")</f>
        <v>Yes</v>
      </c>
      <c r="G772" t="s">
        <v>5</v>
      </c>
      <c r="H772" t="s">
        <v>46</v>
      </c>
      <c r="J772" s="2" t="s">
        <v>6</v>
      </c>
      <c r="K772">
        <v>69.900000000000006</v>
      </c>
      <c r="L772" t="s">
        <v>12</v>
      </c>
      <c r="M772" t="s">
        <v>114</v>
      </c>
      <c r="N772" t="str">
        <f>IF(K772="N/A","No", IF(K772&gt;1200,"Yes","No"))</f>
        <v>No</v>
      </c>
      <c r="O772" t="str">
        <f>IF(K772="Not","No",IF(K772="n/a","N/A",IF(K772&gt;=$Y$3,"Yes","No")))</f>
        <v>No</v>
      </c>
      <c r="Q772" s="2" t="s">
        <v>116</v>
      </c>
      <c r="R772" t="str">
        <f>_xlfn.XLOOKUP("ppm",D772:D775,G772:G775,"N/A")</f>
        <v>Yes</v>
      </c>
      <c r="S772" t="str">
        <f>IF(COUNTIF(O772:O774,"Yes"),"Yes","No")</f>
        <v>Yes</v>
      </c>
      <c r="U772" t="s">
        <v>92</v>
      </c>
      <c r="V772" t="s">
        <v>5</v>
      </c>
      <c r="W772" t="s">
        <v>120</v>
      </c>
      <c r="X772" t="str">
        <f>IF(V772="N/A","N/A",IF(W772="N/A", "N/A", IF(V772=W772, "Yes","No")))</f>
        <v>N/A</v>
      </c>
      <c r="AF772" t="e">
        <f>IF(#REF!="Yes","LSK-Dust","")</f>
        <v>#REF!</v>
      </c>
    </row>
    <row r="773" spans="1:32" x14ac:dyDescent="0.2">
      <c r="A773" t="s">
        <v>200</v>
      </c>
      <c r="B773" t="s">
        <v>290</v>
      </c>
      <c r="C773">
        <v>960</v>
      </c>
      <c r="D773" t="s">
        <v>12</v>
      </c>
      <c r="E773" s="2" t="s">
        <v>5</v>
      </c>
      <c r="F773" s="2" t="str">
        <f t="shared" ref="F773" si="364">IF(C773&gt;$W$3,"Yes","No")</f>
        <v>Yes</v>
      </c>
      <c r="G773" t="s">
        <v>5</v>
      </c>
      <c r="J773" s="2" t="s">
        <v>11</v>
      </c>
      <c r="K773">
        <v>1029</v>
      </c>
      <c r="L773" t="s">
        <v>12</v>
      </c>
      <c r="M773" t="s">
        <v>67</v>
      </c>
      <c r="N773" t="str">
        <f t="shared" ref="N773:N774" si="365">IF(K773="N/A","No", IF(K773&gt;1200,"Yes","No"))</f>
        <v>No</v>
      </c>
      <c r="O773" t="str">
        <f t="shared" ref="O773:O774" si="366">IF(K773="Not","No",IF(K773="n/a","N/A",IF(K773&gt;$Y$3,"Yes","No")))</f>
        <v>Yes</v>
      </c>
      <c r="Q773" s="2" t="s">
        <v>98</v>
      </c>
      <c r="R773" t="str">
        <f>_xlfn.XLOOKUP("mg/cm2",D772:D776,G772:G776,"N/A",1,-1)</f>
        <v>Yes</v>
      </c>
      <c r="S773" t="str">
        <f>IF(COUNTIF(O775:O776,"Yes"),"Yes","No")</f>
        <v>Yes</v>
      </c>
      <c r="U773" t="s">
        <v>95</v>
      </c>
      <c r="V773" t="str">
        <f>R772</f>
        <v>Yes</v>
      </c>
      <c r="W773" t="str">
        <f>S772</f>
        <v>Yes</v>
      </c>
      <c r="X773" t="str">
        <f t="shared" ref="X773:X776" si="367">IF(V773="N/A","N/A",IF(W773="N/A", "N/A", IF(V773=W773, "Yes","No")))</f>
        <v>Yes</v>
      </c>
    </row>
    <row r="774" spans="1:32" x14ac:dyDescent="0.2">
      <c r="A774" t="s">
        <v>113</v>
      </c>
      <c r="B774" t="s">
        <v>77</v>
      </c>
      <c r="C774">
        <v>14.1</v>
      </c>
      <c r="D774" t="s">
        <v>4</v>
      </c>
      <c r="F774" s="2" t="str">
        <f t="shared" ref="F774" si="368">IF(C774&gt;=$W$2,"Yes","No")</f>
        <v>Yes</v>
      </c>
      <c r="G774" t="s">
        <v>5</v>
      </c>
      <c r="H774" t="s">
        <v>43</v>
      </c>
      <c r="J774" s="2" t="s">
        <v>15</v>
      </c>
      <c r="K774">
        <v>1393</v>
      </c>
      <c r="L774" t="s">
        <v>12</v>
      </c>
      <c r="M774" t="s">
        <v>112</v>
      </c>
      <c r="N774" t="str">
        <f t="shared" si="365"/>
        <v>Yes</v>
      </c>
      <c r="O774" t="str">
        <f t="shared" si="366"/>
        <v>Yes</v>
      </c>
      <c r="Q774" s="2" t="s">
        <v>117</v>
      </c>
      <c r="R774" t="str">
        <f>_xlfn.XLOOKUP("ug/ft2",D772:D775,G772:G775,"N/A")</f>
        <v>Yes</v>
      </c>
      <c r="S774" t="str">
        <f>IF(COUNTIF(O777:O780,"Yes"),"Yes","No")</f>
        <v>Yes</v>
      </c>
      <c r="U774" t="s">
        <v>163</v>
      </c>
      <c r="V774" t="s">
        <v>5</v>
      </c>
      <c r="W774" t="str">
        <f>O776</f>
        <v>No</v>
      </c>
      <c r="X774" t="str">
        <f t="shared" si="367"/>
        <v>No</v>
      </c>
    </row>
    <row r="775" spans="1:32" x14ac:dyDescent="0.2">
      <c r="A775" t="s">
        <v>201</v>
      </c>
      <c r="B775" t="s">
        <v>214</v>
      </c>
      <c r="C775">
        <v>400</v>
      </c>
      <c r="D775" t="s">
        <v>33</v>
      </c>
      <c r="E775" s="2" t="s">
        <v>5</v>
      </c>
      <c r="F775" s="2" t="str">
        <f t="shared" ref="F775" si="369">IF(C775&gt;$W$6,"Yes","No")</f>
        <v>Yes</v>
      </c>
      <c r="G775" t="s">
        <v>5</v>
      </c>
      <c r="J775" s="2" t="s">
        <v>19</v>
      </c>
      <c r="K775">
        <v>56842</v>
      </c>
      <c r="L775" t="s">
        <v>12</v>
      </c>
      <c r="M775" t="s">
        <v>46</v>
      </c>
      <c r="N775" t="str">
        <f>IF(K775="N/A","No", IF(K775&gt;5000,"Yes","No"))</f>
        <v>Yes</v>
      </c>
      <c r="O775" t="str">
        <f>IF(K775="Not","No",IF(K775="n/a","N/A",IF(K775&gt;$Y$2,"Yes","No")))</f>
        <v>Yes</v>
      </c>
      <c r="Q775" s="2" t="s">
        <v>118</v>
      </c>
      <c r="R775" t="str">
        <f>IF(COUNTIF(R772:R774,"Yes"),"Yes","No")</f>
        <v>Yes</v>
      </c>
      <c r="S775" t="str">
        <f>IF(COUNTIF(S772:S774,"Yes"),"Yes","No")</f>
        <v>Yes</v>
      </c>
      <c r="U775" t="s">
        <v>164</v>
      </c>
      <c r="V775" t="s">
        <v>5</v>
      </c>
      <c r="W775" t="str">
        <f>O775</f>
        <v>Yes</v>
      </c>
      <c r="X775" t="str">
        <f t="shared" si="367"/>
        <v>Yes</v>
      </c>
    </row>
    <row r="776" spans="1:32" x14ac:dyDescent="0.2">
      <c r="F776" s="2"/>
      <c r="J776" s="2" t="s">
        <v>22</v>
      </c>
      <c r="K776">
        <v>285</v>
      </c>
      <c r="L776" t="s">
        <v>12</v>
      </c>
      <c r="M776" t="s">
        <v>43</v>
      </c>
      <c r="N776" t="str">
        <f>IF(K776="N/A","No", IF(K776&gt;5000,"Yes","No"))</f>
        <v>No</v>
      </c>
      <c r="O776" t="str">
        <f>IF(K776="Not","No",IF(K776="n/a","N/A",IF(K776&gt;$Y$2,"Yes","No")))</f>
        <v>No</v>
      </c>
      <c r="U776" t="s">
        <v>162</v>
      </c>
      <c r="V776" t="str">
        <f>R773</f>
        <v>Yes</v>
      </c>
      <c r="W776" t="str">
        <f>S773</f>
        <v>Yes</v>
      </c>
      <c r="X776" t="str">
        <f t="shared" si="367"/>
        <v>Yes</v>
      </c>
    </row>
    <row r="777" spans="1:32" x14ac:dyDescent="0.2">
      <c r="F777" s="2"/>
      <c r="J777" s="2" t="s">
        <v>25</v>
      </c>
      <c r="K777">
        <v>20</v>
      </c>
      <c r="L777" t="s">
        <v>12</v>
      </c>
      <c r="M777" t="s">
        <v>126</v>
      </c>
      <c r="N777" t="str">
        <f>IF(K777="N/A","No", IF(K777&gt;=20,"Yes","No"))</f>
        <v>Yes</v>
      </c>
      <c r="O777" t="str">
        <f>IF(K777="Not","No",IF(K777="n/a","N/A",IF(K777&gt;=$Y$6,"Yes","No")))</f>
        <v>Yes</v>
      </c>
      <c r="U777" t="s">
        <v>101</v>
      </c>
      <c r="V777" t="s">
        <v>5</v>
      </c>
      <c r="W777" t="s">
        <v>9</v>
      </c>
      <c r="X777" t="str">
        <f>IF(V777="N/A","N/A",IF(W777="N/A", "N/A", IF(V777=W777, "Yes","No")))</f>
        <v>No</v>
      </c>
    </row>
    <row r="778" spans="1:32" x14ac:dyDescent="0.2">
      <c r="F778" s="2"/>
      <c r="J778" s="2" t="s">
        <v>29</v>
      </c>
      <c r="K778">
        <v>2.5</v>
      </c>
      <c r="L778" t="s">
        <v>12</v>
      </c>
      <c r="M778" t="s">
        <v>222</v>
      </c>
      <c r="N778" t="str">
        <f>IF(K778="N/A","No", IF(K778&gt;20,"Yes","No"))</f>
        <v>No</v>
      </c>
      <c r="O778" t="str">
        <f t="shared" ref="O778" si="370">IF(K778="Not","No",IF(K778="n/a","N/A",IF(K778&gt;$Y$6,"Yes","No")))</f>
        <v>No</v>
      </c>
      <c r="U778" t="s">
        <v>104</v>
      </c>
      <c r="V778" t="s">
        <v>120</v>
      </c>
      <c r="W778" t="str">
        <f>O779</f>
        <v>No</v>
      </c>
      <c r="X778" t="str">
        <f>IF(V778="N/A","N/A",IF(W778="N/A", "N/A", IF(V778=W778, "Yes","No")))</f>
        <v>N/A</v>
      </c>
    </row>
    <row r="779" spans="1:32" x14ac:dyDescent="0.2">
      <c r="J779" s="2" t="s">
        <v>34</v>
      </c>
      <c r="K779">
        <v>2.5</v>
      </c>
      <c r="L779" t="s">
        <v>12</v>
      </c>
      <c r="M779" t="s">
        <v>210</v>
      </c>
      <c r="N779" t="str">
        <f>IF(K779="N/A","No", IF(K779&gt;230,"Yes","No"))</f>
        <v>No</v>
      </c>
      <c r="O779" t="str">
        <f>IF(K779="Not","No",IF(K779="n/a","N/A",IF(K779&gt;$Y$5,"Yes","No")))</f>
        <v>No</v>
      </c>
      <c r="U779" t="s">
        <v>106</v>
      </c>
      <c r="V779" t="str">
        <f>R774</f>
        <v>Yes</v>
      </c>
      <c r="W779" t="str">
        <f>S774</f>
        <v>Yes</v>
      </c>
      <c r="X779" t="str">
        <f>IF(V779="N/A","N/A",IF(W779="N/A", "N/A", IF(V779=W779, "Yes","No")))</f>
        <v>Yes</v>
      </c>
    </row>
    <row r="780" spans="1:32" x14ac:dyDescent="0.2">
      <c r="J780" s="2" t="s">
        <v>208</v>
      </c>
      <c r="K780">
        <v>707</v>
      </c>
      <c r="L780" t="s">
        <v>12</v>
      </c>
      <c r="M780" t="s">
        <v>223</v>
      </c>
      <c r="N780" t="str">
        <f>IF(K780="N/A","No", IF(K780&gt;20,"Yes","No"))</f>
        <v>Yes</v>
      </c>
      <c r="O780" t="str">
        <f>IF(K780="Not","No",IF(K780="n/a","N/A",IF(K780&gt;$Y$7,"Yes","No")))</f>
        <v>No</v>
      </c>
      <c r="U780" t="s">
        <v>121</v>
      </c>
      <c r="V780" t="str">
        <f>R775</f>
        <v>Yes</v>
      </c>
      <c r="W780" t="str">
        <f>S775</f>
        <v>Yes</v>
      </c>
      <c r="X780" t="str">
        <f>IF(V780="N/A","N/A",IF(W780="N/A", "N/A", IF(V780=W780, "Yes","No")))</f>
        <v>Yes</v>
      </c>
    </row>
    <row r="782" spans="1:32" x14ac:dyDescent="0.2">
      <c r="A782" s="1">
        <f>VLOOKUP(C782,'Grid - LRA Samples'!$A$2:$B$108, 2,FALSE)</f>
        <v>1355</v>
      </c>
      <c r="B782" t="s">
        <v>111</v>
      </c>
      <c r="C782">
        <v>77</v>
      </c>
    </row>
    <row r="783" spans="1:32" x14ac:dyDescent="0.2">
      <c r="A783" s="5" t="s">
        <v>0</v>
      </c>
      <c r="E783" s="2" t="s">
        <v>274</v>
      </c>
      <c r="F783" s="2" t="s">
        <v>275</v>
      </c>
      <c r="G783" t="s">
        <v>119</v>
      </c>
      <c r="J783" s="5" t="s">
        <v>1</v>
      </c>
      <c r="N783" s="2" t="s">
        <v>277</v>
      </c>
      <c r="O783" t="s">
        <v>278</v>
      </c>
      <c r="Q783" s="5" t="s">
        <v>115</v>
      </c>
      <c r="R783" s="5" t="s">
        <v>0</v>
      </c>
      <c r="S783" s="5" t="s">
        <v>1</v>
      </c>
      <c r="U783" s="5" t="s">
        <v>115</v>
      </c>
      <c r="V783" s="5" t="s">
        <v>0</v>
      </c>
      <c r="W783" s="5" t="s">
        <v>1</v>
      </c>
      <c r="X783" s="5" t="s">
        <v>122</v>
      </c>
      <c r="AA783" t="str">
        <f>IF(R784="Yes","LRA-Soil","")</f>
        <v/>
      </c>
      <c r="AB783" t="str">
        <f>IF(R785="Yes","LRA-Paint","")</f>
        <v/>
      </c>
      <c r="AC783" t="str">
        <f>IF(R786="Yes","LRA-Dust","")</f>
        <v/>
      </c>
      <c r="AD783" t="str">
        <f>IF(S784="Yes","LSK-Soil","")</f>
        <v/>
      </c>
      <c r="AE783" t="str">
        <f>IF(S785="Yes","LSK-Paint","")</f>
        <v/>
      </c>
      <c r="AF783" t="str">
        <f>IF(S786="Yes","LSK-Dust","")</f>
        <v/>
      </c>
    </row>
    <row r="784" spans="1:32" x14ac:dyDescent="0.2">
      <c r="A784" t="s">
        <v>63</v>
      </c>
      <c r="B784" t="s">
        <v>64</v>
      </c>
      <c r="C784">
        <v>0</v>
      </c>
      <c r="D784" t="s">
        <v>4</v>
      </c>
      <c r="F784" s="2" t="str">
        <f t="shared" ref="F784" si="371">IF(C784&gt;=$W$2,"Yes","No")</f>
        <v>No</v>
      </c>
      <c r="G784" t="s">
        <v>9</v>
      </c>
      <c r="H784" t="s">
        <v>46</v>
      </c>
      <c r="J784" s="2" t="s">
        <v>6</v>
      </c>
      <c r="K784">
        <v>35.4</v>
      </c>
      <c r="L784" t="s">
        <v>12</v>
      </c>
      <c r="M784" t="s">
        <v>114</v>
      </c>
      <c r="N784" t="str">
        <f>IF(K784="N/A","No", IF(K784&gt;1200,"Yes","No"))</f>
        <v>No</v>
      </c>
      <c r="O784" t="str">
        <f>IF(K784="Not","No",IF(K784="n/a","N/A",IF(K784&gt;=$Y$3,"Yes","No")))</f>
        <v>No</v>
      </c>
      <c r="Q784" s="2" t="s">
        <v>116</v>
      </c>
      <c r="R784" t="str">
        <f>_xlfn.XLOOKUP("ppm",D784:D787,G784:G787,"N/A")</f>
        <v>No</v>
      </c>
      <c r="S784" t="str">
        <f>IF(COUNTIF(O784:O786,"Yes"),"Yes","No")</f>
        <v>No</v>
      </c>
      <c r="U784" t="s">
        <v>92</v>
      </c>
      <c r="V784" t="s">
        <v>120</v>
      </c>
      <c r="W784" t="s">
        <v>120</v>
      </c>
      <c r="X784" t="str">
        <f>IF(V784="N/A","N/A",IF(W784="N/A", "N/A", IF(V784=W784, "Yes","No")))</f>
        <v>N/A</v>
      </c>
    </row>
    <row r="785" spans="1:32" x14ac:dyDescent="0.2">
      <c r="A785" t="s">
        <v>200</v>
      </c>
      <c r="B785" t="s">
        <v>294</v>
      </c>
      <c r="C785">
        <v>24.8</v>
      </c>
      <c r="D785" t="s">
        <v>12</v>
      </c>
      <c r="E785" t="s">
        <v>9</v>
      </c>
      <c r="F785" s="2" t="str">
        <f t="shared" ref="F785" si="372">IF(C785&gt;$W$3,"Yes","No")</f>
        <v>No</v>
      </c>
      <c r="G785" t="s">
        <v>9</v>
      </c>
      <c r="J785" s="2" t="s">
        <v>11</v>
      </c>
      <c r="K785">
        <v>35.4</v>
      </c>
      <c r="L785" t="s">
        <v>12</v>
      </c>
      <c r="M785" t="s">
        <v>67</v>
      </c>
      <c r="N785" t="str">
        <f t="shared" ref="N785:N786" si="373">IF(K785="N/A","No", IF(K785&gt;1200,"Yes","No"))</f>
        <v>No</v>
      </c>
      <c r="O785" t="str">
        <f t="shared" ref="O785:O786" si="374">IF(K785="Not","No",IF(K785="n/a","N/A",IF(K785&gt;$Y$3,"Yes","No")))</f>
        <v>No</v>
      </c>
      <c r="Q785" s="2" t="s">
        <v>98</v>
      </c>
      <c r="R785" t="str">
        <f>_xlfn.XLOOKUP("mg/cm2",D784:D788,G784:G788,"N/A",1,-1)</f>
        <v>No</v>
      </c>
      <c r="S785" t="str">
        <f>IF(COUNTIF(O787:O788,"Yes"),"Yes","No")</f>
        <v>No</v>
      </c>
      <c r="U785" t="s">
        <v>95</v>
      </c>
      <c r="V785" t="str">
        <f>R784</f>
        <v>No</v>
      </c>
      <c r="W785" t="str">
        <f>S784</f>
        <v>No</v>
      </c>
      <c r="X785" t="str">
        <f t="shared" ref="X785:X788" si="375">IF(V785="N/A","N/A",IF(W785="N/A", "N/A", IF(V785=W785, "Yes","No")))</f>
        <v>Yes</v>
      </c>
    </row>
    <row r="786" spans="1:32" x14ac:dyDescent="0.2">
      <c r="A786" t="s">
        <v>191</v>
      </c>
      <c r="B786" t="s">
        <v>189</v>
      </c>
      <c r="C786">
        <v>0</v>
      </c>
      <c r="D786" t="s">
        <v>4</v>
      </c>
      <c r="E786" t="s">
        <v>9</v>
      </c>
      <c r="F786" s="2" t="str">
        <f t="shared" ref="F786" si="376">IF(C786&gt;=$W$2,"Yes","No")</f>
        <v>No</v>
      </c>
      <c r="G786" t="s">
        <v>9</v>
      </c>
      <c r="H786" t="s">
        <v>43</v>
      </c>
      <c r="J786" s="2" t="s">
        <v>15</v>
      </c>
      <c r="K786">
        <v>25.5</v>
      </c>
      <c r="L786" t="s">
        <v>12</v>
      </c>
      <c r="M786" t="s">
        <v>112</v>
      </c>
      <c r="N786" t="str">
        <f t="shared" si="373"/>
        <v>No</v>
      </c>
      <c r="O786" t="str">
        <f t="shared" si="374"/>
        <v>No</v>
      </c>
      <c r="Q786" s="2" t="s">
        <v>117</v>
      </c>
      <c r="R786" t="str">
        <f>_xlfn.XLOOKUP("ug/ft2",D784:D787,G784:G787,"N/A")</f>
        <v>No</v>
      </c>
      <c r="S786" t="str">
        <f>IF(COUNTIF(O789:O792,"Yes"),"Yes","No")</f>
        <v>No</v>
      </c>
      <c r="U786" t="s">
        <v>163</v>
      </c>
      <c r="V786" t="s">
        <v>9</v>
      </c>
      <c r="W786" t="str">
        <f>O788</f>
        <v>No</v>
      </c>
      <c r="X786" t="str">
        <f t="shared" si="375"/>
        <v>Yes</v>
      </c>
    </row>
    <row r="787" spans="1:32" x14ac:dyDescent="0.2">
      <c r="A787" t="s">
        <v>71</v>
      </c>
      <c r="B787" t="s">
        <v>32</v>
      </c>
      <c r="C787">
        <v>3.5</v>
      </c>
      <c r="D787" t="s">
        <v>33</v>
      </c>
      <c r="E787" s="2"/>
      <c r="F787" s="2" t="str">
        <f t="shared" ref="F787" si="377">IF(C787&gt;$W$6,"Yes","No")</f>
        <v>No</v>
      </c>
      <c r="G787" t="s">
        <v>9</v>
      </c>
      <c r="J787" s="2" t="s">
        <v>19</v>
      </c>
      <c r="K787">
        <v>2.5</v>
      </c>
      <c r="L787" t="s">
        <v>12</v>
      </c>
      <c r="M787" t="s">
        <v>46</v>
      </c>
      <c r="N787" t="str">
        <f>IF(K787="N/A","No", IF(K787&gt;5000,"Yes","No"))</f>
        <v>No</v>
      </c>
      <c r="O787" t="str">
        <f>IF(K787="Not","No",IF(K787="n/a","N/A",IF(K787&gt;$Y$2,"Yes","No")))</f>
        <v>No</v>
      </c>
      <c r="Q787" s="2" t="s">
        <v>118</v>
      </c>
      <c r="R787" t="str">
        <f>IF(COUNTIF(R784:R786,"Yes"),"Yes","No")</f>
        <v>No</v>
      </c>
      <c r="S787" t="str">
        <f>IF(COUNTIF(S784:S786,"Yes"),"Yes","No")</f>
        <v>No</v>
      </c>
      <c r="U787" t="s">
        <v>164</v>
      </c>
      <c r="V787" t="s">
        <v>9</v>
      </c>
      <c r="W787" t="str">
        <f>O787</f>
        <v>No</v>
      </c>
      <c r="X787" t="str">
        <f t="shared" si="375"/>
        <v>Yes</v>
      </c>
    </row>
    <row r="788" spans="1:32" x14ac:dyDescent="0.2">
      <c r="F788" s="2"/>
      <c r="J788" s="2" t="s">
        <v>22</v>
      </c>
      <c r="K788">
        <v>2.5</v>
      </c>
      <c r="L788" t="s">
        <v>12</v>
      </c>
      <c r="M788" t="s">
        <v>43</v>
      </c>
      <c r="N788" t="str">
        <f>IF(K788="N/A","No", IF(K788&gt;5000,"Yes","No"))</f>
        <v>No</v>
      </c>
      <c r="O788" t="str">
        <f>IF(K788="Not","No",IF(K788="n/a","N/A",IF(K788&gt;$Y$2,"Yes","No")))</f>
        <v>No</v>
      </c>
      <c r="U788" t="s">
        <v>162</v>
      </c>
      <c r="V788" t="str">
        <f>R785</f>
        <v>No</v>
      </c>
      <c r="W788" t="str">
        <f>S785</f>
        <v>No</v>
      </c>
      <c r="X788" t="str">
        <f t="shared" si="375"/>
        <v>Yes</v>
      </c>
    </row>
    <row r="789" spans="1:32" x14ac:dyDescent="0.2">
      <c r="F789" s="2"/>
      <c r="J789" s="2" t="s">
        <v>25</v>
      </c>
      <c r="K789">
        <v>2.5</v>
      </c>
      <c r="L789" t="s">
        <v>12</v>
      </c>
      <c r="M789" t="s">
        <v>126</v>
      </c>
      <c r="N789" t="str">
        <f>IF(K789="N/A","No", IF(K789&gt;=20,"Yes","No"))</f>
        <v>No</v>
      </c>
      <c r="O789" t="str">
        <f>IF(K789="Not","No",IF(K789="n/a","N/A",IF(K789&gt;=$Y$6,"Yes","No")))</f>
        <v>No</v>
      </c>
      <c r="U789" t="s">
        <v>101</v>
      </c>
      <c r="V789" t="s">
        <v>9</v>
      </c>
      <c r="W789" t="s">
        <v>9</v>
      </c>
      <c r="X789" t="str">
        <f>IF(V789="N/A","N/A",IF(W789="N/A", "N/A", IF(V789=W789, "Yes","No")))</f>
        <v>Yes</v>
      </c>
    </row>
    <row r="790" spans="1:32" x14ac:dyDescent="0.2">
      <c r="F790" s="2"/>
      <c r="J790" s="2" t="s">
        <v>29</v>
      </c>
      <c r="K790">
        <v>2.5</v>
      </c>
      <c r="L790" t="s">
        <v>12</v>
      </c>
      <c r="M790" t="s">
        <v>222</v>
      </c>
      <c r="N790" t="str">
        <f>IF(K790="N/A","No", IF(K790&gt;20,"Yes","No"))</f>
        <v>No</v>
      </c>
      <c r="O790" t="str">
        <f t="shared" ref="O790" si="378">IF(K790="Not","No",IF(K790="n/a","N/A",IF(K790&gt;$Y$6,"Yes","No")))</f>
        <v>No</v>
      </c>
      <c r="U790" t="s">
        <v>104</v>
      </c>
      <c r="V790" t="s">
        <v>120</v>
      </c>
      <c r="W790" t="str">
        <f>O791</f>
        <v>No</v>
      </c>
      <c r="X790" t="str">
        <f>IF(V790="N/A","N/A",IF(W790="N/A", "N/A", IF(V790=W790, "Yes","No")))</f>
        <v>N/A</v>
      </c>
    </row>
    <row r="791" spans="1:32" x14ac:dyDescent="0.2">
      <c r="J791" s="2" t="s">
        <v>34</v>
      </c>
      <c r="K791">
        <v>2.5</v>
      </c>
      <c r="L791" t="s">
        <v>12</v>
      </c>
      <c r="M791" t="s">
        <v>210</v>
      </c>
      <c r="N791" t="str">
        <f>IF(K791="N/A","No", IF(K791&gt;230,"Yes","No"))</f>
        <v>No</v>
      </c>
      <c r="O791" t="str">
        <f>IF(K791="Not","No",IF(K791="n/a","N/A",IF(K791&gt;$Y$5,"Yes","No")))</f>
        <v>No</v>
      </c>
      <c r="U791" t="s">
        <v>106</v>
      </c>
      <c r="V791" t="str">
        <f>R786</f>
        <v>No</v>
      </c>
      <c r="W791" t="str">
        <f>S786</f>
        <v>No</v>
      </c>
      <c r="X791" t="str">
        <f>IF(V791="N/A","N/A",IF(W791="N/A", "N/A", IF(V791=W791, "Yes","No")))</f>
        <v>Yes</v>
      </c>
    </row>
    <row r="792" spans="1:32" x14ac:dyDescent="0.2">
      <c r="J792" s="2" t="s">
        <v>208</v>
      </c>
      <c r="K792">
        <v>4.4000000000000004</v>
      </c>
      <c r="L792" t="s">
        <v>12</v>
      </c>
      <c r="M792" t="s">
        <v>223</v>
      </c>
      <c r="N792" t="str">
        <f>IF(K792="N/A","No", IF(K792&gt;20,"Yes","No"))</f>
        <v>No</v>
      </c>
      <c r="O792" t="str">
        <f>IF(K792="Not","No",IF(K792="n/a","N/A",IF(K792&gt;$Y$7,"Yes","No")))</f>
        <v>No</v>
      </c>
      <c r="U792" t="s">
        <v>121</v>
      </c>
      <c r="V792" t="str">
        <f>R787</f>
        <v>No</v>
      </c>
      <c r="W792" t="str">
        <f>S787</f>
        <v>No</v>
      </c>
      <c r="X792" t="str">
        <f>IF(V792="N/A","N/A",IF(W792="N/A", "N/A", IF(V792=W792, "Yes","No")))</f>
        <v>Yes</v>
      </c>
    </row>
    <row r="794" spans="1:32" x14ac:dyDescent="0.2">
      <c r="A794" s="1">
        <f>VLOOKUP(C794,'Grid - LRA Samples'!$A$2:$B$108, 2,FALSE)</f>
        <v>1511</v>
      </c>
      <c r="B794" t="s">
        <v>111</v>
      </c>
      <c r="C794">
        <v>83</v>
      </c>
    </row>
    <row r="795" spans="1:32" x14ac:dyDescent="0.2">
      <c r="A795" s="5" t="s">
        <v>0</v>
      </c>
      <c r="E795" s="2" t="s">
        <v>274</v>
      </c>
      <c r="F795" s="2" t="s">
        <v>275</v>
      </c>
      <c r="G795" t="s">
        <v>119</v>
      </c>
      <c r="J795" s="5" t="s">
        <v>1</v>
      </c>
      <c r="N795" s="2" t="s">
        <v>277</v>
      </c>
      <c r="O795" t="s">
        <v>278</v>
      </c>
      <c r="Q795" s="5" t="s">
        <v>115</v>
      </c>
      <c r="R795" s="5" t="s">
        <v>0</v>
      </c>
      <c r="S795" s="5" t="s">
        <v>1</v>
      </c>
      <c r="U795" s="5" t="s">
        <v>115</v>
      </c>
      <c r="V795" s="5" t="s">
        <v>0</v>
      </c>
      <c r="W795" s="5" t="s">
        <v>1</v>
      </c>
      <c r="X795" s="5" t="s">
        <v>122</v>
      </c>
      <c r="AA795" t="str">
        <f>IF(R796="Yes","LRA-Soil","")</f>
        <v/>
      </c>
      <c r="AB795" t="str">
        <f>IF(R797="Yes","LRA-Paint","")</f>
        <v/>
      </c>
      <c r="AC795" t="str">
        <f>IF(R798="Yes","LRA-Dust","")</f>
        <v>LRA-Dust</v>
      </c>
      <c r="AD795" t="str">
        <f>IF(S796="Yes","LSK-Soil","")</f>
        <v/>
      </c>
      <c r="AE795" t="str">
        <f>IF(S797="Yes","LSK-Paint","")</f>
        <v/>
      </c>
      <c r="AF795" t="str">
        <f>IF(S798="Yes","LSK-Dust","")</f>
        <v>LSK-Dust</v>
      </c>
    </row>
    <row r="796" spans="1:32" x14ac:dyDescent="0.2">
      <c r="A796" t="s">
        <v>63</v>
      </c>
      <c r="B796" t="s">
        <v>18</v>
      </c>
      <c r="C796">
        <v>0.05</v>
      </c>
      <c r="D796" t="s">
        <v>4</v>
      </c>
      <c r="F796" s="2" t="str">
        <f t="shared" ref="F796:F800" si="379">IF(C796&gt;=$W$2,"Yes","No")</f>
        <v>No</v>
      </c>
      <c r="G796" t="s">
        <v>9</v>
      </c>
      <c r="H796" t="s">
        <v>46</v>
      </c>
      <c r="J796" s="2" t="s">
        <v>6</v>
      </c>
      <c r="K796">
        <v>38.799999999999997</v>
      </c>
      <c r="L796" t="s">
        <v>12</v>
      </c>
      <c r="M796" t="s">
        <v>114</v>
      </c>
      <c r="N796" t="str">
        <f>IF(K796="N/A","No", IF(K796&gt;1200,"Yes","No"))</f>
        <v>No</v>
      </c>
      <c r="O796" t="str">
        <f>IF(K796="Not","No",IF(K796="n/a","N/A",IF(K796&gt;=$Y$3,"Yes","No")))</f>
        <v>No</v>
      </c>
      <c r="Q796" s="2" t="s">
        <v>116</v>
      </c>
      <c r="R796" t="str">
        <f>_xlfn.XLOOKUP("ppm",D796:D804,G796:G804,"N/A")</f>
        <v>No</v>
      </c>
      <c r="S796" t="str">
        <f>IF(COUNTIF(O796:O798,"Yes"),"Yes","No")</f>
        <v>No</v>
      </c>
      <c r="U796" t="s">
        <v>92</v>
      </c>
      <c r="V796" t="s">
        <v>120</v>
      </c>
      <c r="W796" t="s">
        <v>120</v>
      </c>
      <c r="X796" t="str">
        <f>IF(V796="N/A","N/A",IF(W796="N/A", "N/A", IF(V796=W796, "Yes","No")))</f>
        <v>N/A</v>
      </c>
    </row>
    <row r="797" spans="1:32" x14ac:dyDescent="0.2">
      <c r="A797" t="s">
        <v>63</v>
      </c>
      <c r="B797" t="s">
        <v>24</v>
      </c>
      <c r="C797">
        <v>0</v>
      </c>
      <c r="D797" t="s">
        <v>4</v>
      </c>
      <c r="F797" s="2" t="str">
        <f t="shared" si="379"/>
        <v>No</v>
      </c>
      <c r="G797" t="s">
        <v>9</v>
      </c>
      <c r="J797" s="2" t="s">
        <v>11</v>
      </c>
      <c r="K797">
        <v>24.9</v>
      </c>
      <c r="L797" t="s">
        <v>12</v>
      </c>
      <c r="M797" t="s">
        <v>67</v>
      </c>
      <c r="N797" t="str">
        <f t="shared" ref="N797:N798" si="380">IF(K797="N/A","No", IF(K797&gt;1200,"Yes","No"))</f>
        <v>No</v>
      </c>
      <c r="O797" t="str">
        <f t="shared" ref="O797:O798" si="381">IF(K797="Not","No",IF(K797="n/a","N/A",IF(K797&gt;$Y$3,"Yes","No")))</f>
        <v>No</v>
      </c>
      <c r="Q797" s="2" t="s">
        <v>98</v>
      </c>
      <c r="R797" t="str">
        <f>_xlfn.XLOOKUP("mg/cm2",D796:D804,G796:G804,"N/A",1,-1)</f>
        <v>No</v>
      </c>
      <c r="S797" t="str">
        <f>IF(COUNTIF(O799:O800,"Yes"),"Yes","No")</f>
        <v>No</v>
      </c>
      <c r="U797" t="s">
        <v>95</v>
      </c>
      <c r="V797" t="str">
        <f>R796</f>
        <v>No</v>
      </c>
      <c r="W797" t="str">
        <f>S796</f>
        <v>No</v>
      </c>
      <c r="X797" t="str">
        <f t="shared" ref="X797:X800" si="382">IF(V797="N/A","N/A",IF(W797="N/A", "N/A", IF(V797=W797, "Yes","No")))</f>
        <v>Yes</v>
      </c>
    </row>
    <row r="798" spans="1:32" x14ac:dyDescent="0.2">
      <c r="A798" t="s">
        <v>68</v>
      </c>
      <c r="B798" t="s">
        <v>28</v>
      </c>
      <c r="C798">
        <v>39</v>
      </c>
      <c r="D798" t="s">
        <v>12</v>
      </c>
      <c r="F798" s="2" t="str">
        <f t="shared" ref="F798" si="383">IF(C798&gt;$W$3,"Yes","No")</f>
        <v>No</v>
      </c>
      <c r="G798" t="s">
        <v>9</v>
      </c>
      <c r="H798" t="s">
        <v>43</v>
      </c>
      <c r="J798" s="2" t="s">
        <v>15</v>
      </c>
      <c r="K798">
        <v>157</v>
      </c>
      <c r="L798" t="s">
        <v>12</v>
      </c>
      <c r="M798" t="s">
        <v>112</v>
      </c>
      <c r="N798" t="str">
        <f t="shared" si="380"/>
        <v>No</v>
      </c>
      <c r="O798" t="str">
        <f t="shared" si="381"/>
        <v>No</v>
      </c>
      <c r="Q798" s="2" t="s">
        <v>117</v>
      </c>
      <c r="R798" t="str">
        <f>_xlfn.XLOOKUP("ug/ft2",D796:D804,G796:G804,"N/A")</f>
        <v>Yes</v>
      </c>
      <c r="S798" t="str">
        <f>IF(COUNTIF(O801:O804,"Yes"),"Yes","No")</f>
        <v>Yes</v>
      </c>
      <c r="U798" t="s">
        <v>163</v>
      </c>
      <c r="V798" t="s">
        <v>9</v>
      </c>
      <c r="W798" t="str">
        <f>O800</f>
        <v>No</v>
      </c>
      <c r="X798" t="str">
        <f t="shared" si="382"/>
        <v>Yes</v>
      </c>
    </row>
    <row r="799" spans="1:32" x14ac:dyDescent="0.2">
      <c r="A799" t="s">
        <v>109</v>
      </c>
      <c r="B799" t="s">
        <v>40</v>
      </c>
      <c r="C799">
        <v>0.06</v>
      </c>
      <c r="D799" t="s">
        <v>4</v>
      </c>
      <c r="E799" s="2"/>
      <c r="F799" s="2" t="str">
        <f t="shared" si="379"/>
        <v>No</v>
      </c>
      <c r="G799" t="s">
        <v>9</v>
      </c>
      <c r="J799" s="2" t="s">
        <v>19</v>
      </c>
      <c r="K799">
        <v>2.5</v>
      </c>
      <c r="L799" t="s">
        <v>12</v>
      </c>
      <c r="M799" t="s">
        <v>46</v>
      </c>
      <c r="N799" t="str">
        <f>IF(K799="N/A","No", IF(K799&gt;5000,"Yes","No"))</f>
        <v>No</v>
      </c>
      <c r="O799" t="str">
        <f>IF(K799="Not","No",IF(K799="n/a","N/A",IF(K799&gt;$Y$2,"Yes","No")))</f>
        <v>No</v>
      </c>
      <c r="Q799" s="2" t="s">
        <v>118</v>
      </c>
      <c r="R799" t="str">
        <f>IF(COUNTIF(R796:R798,"Yes"),"Yes","No")</f>
        <v>Yes</v>
      </c>
      <c r="S799" t="str">
        <f>IF(COUNTIF(S796:S798,"Yes"),"Yes","No")</f>
        <v>Yes</v>
      </c>
      <c r="U799" t="s">
        <v>164</v>
      </c>
      <c r="V799" t="s">
        <v>9</v>
      </c>
      <c r="W799" t="str">
        <f>O799</f>
        <v>No</v>
      </c>
      <c r="X799" t="str">
        <f t="shared" si="382"/>
        <v>Yes</v>
      </c>
    </row>
    <row r="800" spans="1:32" x14ac:dyDescent="0.2">
      <c r="A800" t="s">
        <v>109</v>
      </c>
      <c r="B800" t="s">
        <v>24</v>
      </c>
      <c r="C800">
        <v>0.8</v>
      </c>
      <c r="D800" t="s">
        <v>4</v>
      </c>
      <c r="F800" s="2" t="str">
        <f t="shared" si="379"/>
        <v>No</v>
      </c>
      <c r="G800" t="s">
        <v>9</v>
      </c>
      <c r="J800" s="2" t="s">
        <v>22</v>
      </c>
      <c r="K800">
        <v>2.5</v>
      </c>
      <c r="L800" t="s">
        <v>12</v>
      </c>
      <c r="M800" t="s">
        <v>43</v>
      </c>
      <c r="N800" t="str">
        <f>IF(K800="N/A","No", IF(K800&gt;5000,"Yes","No"))</f>
        <v>No</v>
      </c>
      <c r="O800" t="str">
        <f>IF(K800="Not","No",IF(K800="n/a","N/A",IF(K800&gt;$Y$2,"Yes","No")))</f>
        <v>No</v>
      </c>
      <c r="U800" t="s">
        <v>162</v>
      </c>
      <c r="V800" t="str">
        <f>R797</f>
        <v>No</v>
      </c>
      <c r="W800" t="str">
        <f>S797</f>
        <v>No</v>
      </c>
      <c r="X800" t="str">
        <f t="shared" si="382"/>
        <v>Yes</v>
      </c>
    </row>
    <row r="801" spans="1:32" x14ac:dyDescent="0.2">
      <c r="A801" t="s">
        <v>109</v>
      </c>
      <c r="B801" t="s">
        <v>32</v>
      </c>
      <c r="C801">
        <v>14.9</v>
      </c>
      <c r="D801" t="s">
        <v>33</v>
      </c>
      <c r="F801" s="2" t="str">
        <f t="shared" ref="F801:F803" si="384">IF(C801&gt;$W$6,"Yes","No")</f>
        <v>Yes</v>
      </c>
      <c r="G801" t="s">
        <v>5</v>
      </c>
      <c r="J801" s="2" t="s">
        <v>25</v>
      </c>
      <c r="K801">
        <v>2.5</v>
      </c>
      <c r="L801" t="s">
        <v>12</v>
      </c>
      <c r="M801" t="s">
        <v>126</v>
      </c>
      <c r="N801" t="str">
        <f>IF(K801="N/A","No", IF(K801&gt;=20,"Yes","No"))</f>
        <v>No</v>
      </c>
      <c r="O801" t="str">
        <f>IF(K801="Not","No",IF(K801="n/a","N/A",IF(K801&gt;=$Y$6,"Yes","No")))</f>
        <v>No</v>
      </c>
      <c r="U801" t="s">
        <v>101</v>
      </c>
      <c r="V801" t="s">
        <v>5</v>
      </c>
      <c r="W801" t="s">
        <v>5</v>
      </c>
      <c r="X801" t="str">
        <f>IF(V801="N/A","N/A",IF(W801="N/A", "N/A", IF(V801=W801, "Yes","No")))</f>
        <v>Yes</v>
      </c>
    </row>
    <row r="802" spans="1:32" x14ac:dyDescent="0.2">
      <c r="A802" t="s">
        <v>293</v>
      </c>
      <c r="B802" t="s">
        <v>32</v>
      </c>
      <c r="C802">
        <v>9.5</v>
      </c>
      <c r="D802" t="s">
        <v>33</v>
      </c>
      <c r="F802" s="2" t="str">
        <f t="shared" si="384"/>
        <v>No</v>
      </c>
      <c r="G802" t="s">
        <v>9</v>
      </c>
      <c r="J802" s="2" t="s">
        <v>29</v>
      </c>
      <c r="K802">
        <v>54</v>
      </c>
      <c r="L802" t="s">
        <v>12</v>
      </c>
      <c r="M802" t="s">
        <v>222</v>
      </c>
      <c r="N802" t="str">
        <f>IF(K802="N/A","No", IF(K802&gt;20,"Yes","No"))</f>
        <v>Yes</v>
      </c>
      <c r="O802" t="str">
        <f t="shared" ref="O802" si="385">IF(K802="Not","No",IF(K802="n/a","N/A",IF(K802&gt;$Y$6,"Yes","No")))</f>
        <v>Yes</v>
      </c>
      <c r="U802" t="s">
        <v>104</v>
      </c>
      <c r="V802" t="s">
        <v>9</v>
      </c>
      <c r="W802" t="str">
        <f>O803</f>
        <v>No</v>
      </c>
      <c r="X802" t="str">
        <f>IF(V802="N/A","N/A",IF(W802="N/A", "N/A", IF(V802=W802, "Yes","No")))</f>
        <v>Yes</v>
      </c>
    </row>
    <row r="803" spans="1:32" x14ac:dyDescent="0.2">
      <c r="A803" t="s">
        <v>71</v>
      </c>
      <c r="B803" t="s">
        <v>32</v>
      </c>
      <c r="C803">
        <v>7.1</v>
      </c>
      <c r="D803" t="s">
        <v>33</v>
      </c>
      <c r="F803" s="2" t="str">
        <f t="shared" si="384"/>
        <v>No</v>
      </c>
      <c r="G803" t="s">
        <v>9</v>
      </c>
      <c r="J803" s="2" t="s">
        <v>34</v>
      </c>
      <c r="K803">
        <v>20</v>
      </c>
      <c r="L803" t="s">
        <v>12</v>
      </c>
      <c r="M803" t="s">
        <v>210</v>
      </c>
      <c r="N803" t="str">
        <f>IF(K803="N/A","No", IF(K803&gt;230,"Yes","No"))</f>
        <v>No</v>
      </c>
      <c r="O803" t="str">
        <f>IF(K803="Not","No",IF(K803="n/a","N/A",IF(K803&gt;$Y$5,"Yes","No")))</f>
        <v>No</v>
      </c>
      <c r="U803" t="s">
        <v>106</v>
      </c>
      <c r="V803" t="str">
        <f>R798</f>
        <v>Yes</v>
      </c>
      <c r="W803" t="str">
        <f>S798</f>
        <v>Yes</v>
      </c>
      <c r="X803" t="str">
        <f>IF(V803="N/A","N/A",IF(W803="N/A", "N/A", IF(V803=W803, "Yes","No")))</f>
        <v>Yes</v>
      </c>
    </row>
    <row r="804" spans="1:32" x14ac:dyDescent="0.2">
      <c r="A804" t="s">
        <v>158</v>
      </c>
      <c r="B804" t="s">
        <v>54</v>
      </c>
      <c r="C804">
        <v>53.4</v>
      </c>
      <c r="D804" t="s">
        <v>33</v>
      </c>
      <c r="F804" s="2" t="str">
        <f t="shared" ref="F804" si="386">IF(C804&gt;$W$5,"Yes","No")</f>
        <v>No</v>
      </c>
      <c r="G804" t="s">
        <v>9</v>
      </c>
      <c r="J804" s="2" t="s">
        <v>208</v>
      </c>
      <c r="K804">
        <v>7.7</v>
      </c>
      <c r="L804" t="s">
        <v>12</v>
      </c>
      <c r="M804" t="s">
        <v>223</v>
      </c>
      <c r="N804" t="str">
        <f>IF(K804="N/A","No", IF(K804&gt;20,"Yes","No"))</f>
        <v>No</v>
      </c>
      <c r="O804" t="str">
        <f>IF(K804="Not","No",IF(K804="n/a","N/A",IF(K804&gt;$Y$7,"Yes","No")))</f>
        <v>No</v>
      </c>
      <c r="U804" t="s">
        <v>121</v>
      </c>
      <c r="V804" t="str">
        <f>R799</f>
        <v>Yes</v>
      </c>
      <c r="W804" t="str">
        <f>S799</f>
        <v>Yes</v>
      </c>
      <c r="X804" t="str">
        <f>IF(V804="N/A","N/A",IF(W804="N/A", "N/A", IF(V804=W804, "Yes","No")))</f>
        <v>Yes</v>
      </c>
    </row>
    <row r="806" spans="1:32" x14ac:dyDescent="0.2">
      <c r="A806" s="1">
        <f>VLOOKUP(C806,'Grid - LRA Samples'!$A$2:$B$108, 2,FALSE)</f>
        <v>1512</v>
      </c>
      <c r="B806" t="s">
        <v>111</v>
      </c>
      <c r="C806">
        <v>84</v>
      </c>
    </row>
    <row r="807" spans="1:32" x14ac:dyDescent="0.2">
      <c r="A807" s="5" t="s">
        <v>0</v>
      </c>
      <c r="E807" s="2" t="s">
        <v>274</v>
      </c>
      <c r="F807" s="2" t="s">
        <v>275</v>
      </c>
      <c r="G807" t="s">
        <v>119</v>
      </c>
      <c r="J807" s="5" t="s">
        <v>1</v>
      </c>
      <c r="N807" s="2" t="s">
        <v>277</v>
      </c>
      <c r="O807" t="s">
        <v>278</v>
      </c>
      <c r="Q807" s="5" t="s">
        <v>115</v>
      </c>
      <c r="R807" s="5" t="s">
        <v>0</v>
      </c>
      <c r="S807" s="5" t="s">
        <v>1</v>
      </c>
      <c r="U807" s="5" t="s">
        <v>115</v>
      </c>
      <c r="V807" s="5" t="s">
        <v>0</v>
      </c>
      <c r="W807" s="5" t="s">
        <v>1</v>
      </c>
      <c r="X807" s="5" t="s">
        <v>122</v>
      </c>
      <c r="AA807" t="str">
        <f>IF(R808="Yes","LRA-Soil","")</f>
        <v/>
      </c>
      <c r="AB807" t="str">
        <f>IF(R809="Yes","LRA-Paint","")</f>
        <v/>
      </c>
      <c r="AC807" t="str">
        <f>IF(R810="Yes","LRA-Dust","")</f>
        <v/>
      </c>
      <c r="AD807" t="str">
        <f>IF(S808="Yes","LSK-Soil","")</f>
        <v/>
      </c>
      <c r="AE807" t="str">
        <f>IF(S809="Yes","LSK-Paint","")</f>
        <v/>
      </c>
      <c r="AF807" t="str">
        <f>IF(S810="Yes","LSK-Dust","")</f>
        <v/>
      </c>
    </row>
    <row r="808" spans="1:32" x14ac:dyDescent="0.2">
      <c r="A808" t="s">
        <v>63</v>
      </c>
      <c r="B808" t="s">
        <v>3</v>
      </c>
      <c r="C808">
        <v>0</v>
      </c>
      <c r="D808" t="s">
        <v>4</v>
      </c>
      <c r="F808" s="2" t="str">
        <f t="shared" ref="F808" si="387">IF(C808&gt;=$W$2,"Yes","No")</f>
        <v>No</v>
      </c>
      <c r="G808" t="s">
        <v>9</v>
      </c>
      <c r="H808" t="s">
        <v>46</v>
      </c>
      <c r="J808" s="2" t="s">
        <v>6</v>
      </c>
      <c r="K808">
        <v>48.3</v>
      </c>
      <c r="L808" t="s">
        <v>12</v>
      </c>
      <c r="M808" t="s">
        <v>114</v>
      </c>
      <c r="N808" t="str">
        <f>IF(K808="N/A","No", IF(K808&gt;1200,"Yes","No"))</f>
        <v>No</v>
      </c>
      <c r="O808" t="str">
        <f>IF(K808="Not","No",IF(K808="n/a","N/A",IF(K808&gt;=$Y$3,"Yes","No")))</f>
        <v>No</v>
      </c>
      <c r="Q808" s="2" t="s">
        <v>116</v>
      </c>
      <c r="R808" t="str">
        <f>_xlfn.XLOOKUP("ppm",D808:D820,F808:F820,"N/A")</f>
        <v>No</v>
      </c>
      <c r="S808" t="str">
        <f>IF(COUNTIF(O808:O810,"Yes"),"Yes","No")</f>
        <v>No</v>
      </c>
      <c r="U808" t="s">
        <v>92</v>
      </c>
      <c r="V808" t="s">
        <v>120</v>
      </c>
      <c r="W808" t="s">
        <v>120</v>
      </c>
      <c r="X808" t="str">
        <f>IF(V808="N/A","N/A",IF(W808="N/A", "N/A", IF(V808=W808, "Yes","No")))</f>
        <v>N/A</v>
      </c>
      <c r="AF808" t="str">
        <f>IF(S798="Yes","LSK-Dust","")</f>
        <v>LSK-Dust</v>
      </c>
    </row>
    <row r="809" spans="1:32" x14ac:dyDescent="0.2">
      <c r="A809" t="s">
        <v>63</v>
      </c>
      <c r="B809" t="s">
        <v>77</v>
      </c>
      <c r="C809">
        <v>0</v>
      </c>
      <c r="D809" t="s">
        <v>4</v>
      </c>
      <c r="F809" s="2" t="str">
        <f t="shared" ref="F809:F810" si="388">IF(C809&gt;$W$3,"Yes","No")</f>
        <v>No</v>
      </c>
      <c r="G809" t="s">
        <v>9</v>
      </c>
      <c r="J809" s="2" t="s">
        <v>11</v>
      </c>
      <c r="K809">
        <v>43.9</v>
      </c>
      <c r="L809" t="s">
        <v>12</v>
      </c>
      <c r="M809" t="s">
        <v>67</v>
      </c>
      <c r="N809" t="str">
        <f t="shared" ref="N809:N810" si="389">IF(K809="N/A","No", IF(K809&gt;1200,"Yes","No"))</f>
        <v>No</v>
      </c>
      <c r="O809" t="str">
        <f t="shared" ref="O809:O810" si="390">IF(K809="Not","No",IF(K809="n/a","N/A",IF(K809&gt;$Y$3,"Yes","No")))</f>
        <v>No</v>
      </c>
      <c r="Q809" s="2" t="s">
        <v>98</v>
      </c>
      <c r="R809" t="str">
        <f>_xlfn.XLOOKUP("mg/cm2",D808:D820,G808:G820,"N/A",1,-1)</f>
        <v>No</v>
      </c>
      <c r="S809" t="str">
        <f>IF(COUNTIF(O811:O812,"Yes"),"Yes","No")</f>
        <v>No</v>
      </c>
      <c r="U809" t="s">
        <v>95</v>
      </c>
      <c r="V809" t="str">
        <f>R808</f>
        <v>No</v>
      </c>
      <c r="W809" t="str">
        <f>S808</f>
        <v>No</v>
      </c>
      <c r="X809" t="str">
        <f t="shared" ref="X809:X812" si="391">IF(V809="N/A","N/A",IF(W809="N/A", "N/A", IF(V809=W809, "Yes","No")))</f>
        <v>Yes</v>
      </c>
    </row>
    <row r="810" spans="1:32" x14ac:dyDescent="0.2">
      <c r="A810" t="s">
        <v>83</v>
      </c>
      <c r="B810" t="s">
        <v>28</v>
      </c>
      <c r="C810">
        <v>37.700000000000003</v>
      </c>
      <c r="D810" t="s">
        <v>12</v>
      </c>
      <c r="E810" t="s">
        <v>9</v>
      </c>
      <c r="F810" s="2" t="str">
        <f t="shared" si="388"/>
        <v>No</v>
      </c>
      <c r="G810" t="s">
        <v>9</v>
      </c>
      <c r="H810" t="s">
        <v>43</v>
      </c>
      <c r="J810" s="2" t="s">
        <v>15</v>
      </c>
      <c r="K810">
        <v>40.4</v>
      </c>
      <c r="L810" t="s">
        <v>12</v>
      </c>
      <c r="M810" t="s">
        <v>112</v>
      </c>
      <c r="N810" t="str">
        <f t="shared" si="389"/>
        <v>No</v>
      </c>
      <c r="O810" t="str">
        <f t="shared" si="390"/>
        <v>No</v>
      </c>
      <c r="Q810" s="2" t="s">
        <v>117</v>
      </c>
      <c r="R810" s="30" t="s">
        <v>9</v>
      </c>
      <c r="S810" t="str">
        <f>IF(COUNTIF(O813:O816,"Yes"),"Yes","No")</f>
        <v>No</v>
      </c>
      <c r="U810" t="s">
        <v>163</v>
      </c>
      <c r="V810" t="s">
        <v>9</v>
      </c>
      <c r="W810" t="str">
        <f>O812</f>
        <v>No</v>
      </c>
      <c r="X810" t="str">
        <f t="shared" si="391"/>
        <v>Yes</v>
      </c>
    </row>
    <row r="811" spans="1:32" x14ac:dyDescent="0.2">
      <c r="A811" t="s">
        <v>293</v>
      </c>
      <c r="B811" t="s">
        <v>40</v>
      </c>
      <c r="C811">
        <v>0.01</v>
      </c>
      <c r="D811" t="s">
        <v>4</v>
      </c>
      <c r="E811" s="2"/>
      <c r="F811" s="2" t="str">
        <f t="shared" ref="F811" si="392">IF(C811&gt;$W$6,"Yes","No")</f>
        <v>No</v>
      </c>
      <c r="G811" t="s">
        <v>9</v>
      </c>
      <c r="J811" s="2" t="s">
        <v>19</v>
      </c>
      <c r="K811">
        <v>2.5</v>
      </c>
      <c r="L811" t="s">
        <v>12</v>
      </c>
      <c r="M811" t="s">
        <v>46</v>
      </c>
      <c r="N811" t="str">
        <f>IF(K811="N/A","No", IF(K811&gt;5000,"Yes","No"))</f>
        <v>No</v>
      </c>
      <c r="O811" t="str">
        <f>IF(K811="Not","No",IF(K811="n/a","N/A",IF(K811&gt;$Y$2,"Yes","No")))</f>
        <v>No</v>
      </c>
      <c r="Q811" s="2" t="s">
        <v>118</v>
      </c>
      <c r="R811" t="str">
        <f>IF(COUNTIF(R808:R810,"Yes"),"Yes","No")</f>
        <v>No</v>
      </c>
      <c r="S811" t="str">
        <f>IF(COUNTIF(S808:S810,"Yes"),"Yes","No")</f>
        <v>No</v>
      </c>
      <c r="U811" t="s">
        <v>164</v>
      </c>
      <c r="V811" t="s">
        <v>9</v>
      </c>
      <c r="W811" t="str">
        <f>O811</f>
        <v>No</v>
      </c>
      <c r="X811" t="str">
        <f t="shared" si="391"/>
        <v>Yes</v>
      </c>
    </row>
    <row r="812" spans="1:32" x14ac:dyDescent="0.2">
      <c r="A812" t="s">
        <v>71</v>
      </c>
      <c r="B812" t="s">
        <v>77</v>
      </c>
      <c r="C812">
        <v>0</v>
      </c>
      <c r="D812" t="s">
        <v>4</v>
      </c>
      <c r="F812" s="2"/>
      <c r="G812" t="s">
        <v>9</v>
      </c>
      <c r="J812" s="2" t="s">
        <v>22</v>
      </c>
      <c r="K812">
        <v>2.5</v>
      </c>
      <c r="L812" t="s">
        <v>12</v>
      </c>
      <c r="M812" t="s">
        <v>43</v>
      </c>
      <c r="N812" t="str">
        <f>IF(K812="N/A","No", IF(K812&gt;5000,"Yes","No"))</f>
        <v>No</v>
      </c>
      <c r="O812" t="str">
        <f>IF(K812="Not","No",IF(K812="n/a","N/A",IF(K812&gt;$Y$2,"Yes","No")))</f>
        <v>No</v>
      </c>
      <c r="U812" t="s">
        <v>162</v>
      </c>
      <c r="V812" t="str">
        <f>R809</f>
        <v>No</v>
      </c>
      <c r="W812" t="str">
        <f>S809</f>
        <v>No</v>
      </c>
      <c r="X812" t="str">
        <f t="shared" si="391"/>
        <v>Yes</v>
      </c>
    </row>
    <row r="813" spans="1:32" x14ac:dyDescent="0.2">
      <c r="A813" t="s">
        <v>113</v>
      </c>
      <c r="B813" t="s">
        <v>32</v>
      </c>
      <c r="D813" t="s">
        <v>33</v>
      </c>
      <c r="F813" s="2"/>
      <c r="G813" t="s">
        <v>9</v>
      </c>
      <c r="J813" s="2" t="s">
        <v>25</v>
      </c>
      <c r="K813">
        <v>2.5</v>
      </c>
      <c r="L813" t="s">
        <v>12</v>
      </c>
      <c r="M813" t="s">
        <v>126</v>
      </c>
      <c r="N813" t="str">
        <f>IF(K813="N/A","No", IF(K813&gt;=20,"Yes","No"))</f>
        <v>No</v>
      </c>
      <c r="O813" t="str">
        <f>IF(K813="Not","No",IF(K813="n/a","N/A",IF(K813&gt;=$Y$6,"Yes","No")))</f>
        <v>No</v>
      </c>
      <c r="U813" t="s">
        <v>101</v>
      </c>
      <c r="V813" t="s">
        <v>9</v>
      </c>
      <c r="W813" t="s">
        <v>9</v>
      </c>
      <c r="X813" t="str">
        <f>IF(V813="N/A","N/A",IF(W813="N/A", "N/A", IF(V813=W813, "Yes","No")))</f>
        <v>Yes</v>
      </c>
    </row>
    <row r="814" spans="1:32" x14ac:dyDescent="0.2">
      <c r="A814" t="s">
        <v>109</v>
      </c>
      <c r="B814" t="s">
        <v>32</v>
      </c>
      <c r="D814" t="s">
        <v>33</v>
      </c>
      <c r="F814" s="2"/>
      <c r="G814" t="s">
        <v>9</v>
      </c>
      <c r="J814" s="2" t="s">
        <v>29</v>
      </c>
      <c r="K814">
        <v>4</v>
      </c>
      <c r="L814" t="s">
        <v>12</v>
      </c>
      <c r="M814" t="s">
        <v>222</v>
      </c>
      <c r="N814" t="str">
        <f>IF(K814="N/A","No", IF(K814&gt;20,"Yes","No"))</f>
        <v>No</v>
      </c>
      <c r="O814" t="str">
        <f t="shared" ref="O814" si="393">IF(K814="Not","No",IF(K814="n/a","N/A",IF(K814&gt;$Y$6,"Yes","No")))</f>
        <v>No</v>
      </c>
      <c r="U814" t="s">
        <v>104</v>
      </c>
      <c r="V814" t="s">
        <v>9</v>
      </c>
      <c r="W814" t="str">
        <f>O815</f>
        <v>No</v>
      </c>
      <c r="X814" t="str">
        <f>IF(V814="N/A","N/A",IF(W814="N/A", "N/A", IF(V814=W814, "Yes","No")))</f>
        <v>Yes</v>
      </c>
    </row>
    <row r="815" spans="1:32" x14ac:dyDescent="0.2">
      <c r="A815" t="s">
        <v>109</v>
      </c>
      <c r="B815" t="s">
        <v>54</v>
      </c>
      <c r="D815" t="s">
        <v>33</v>
      </c>
      <c r="G815" t="s">
        <v>9</v>
      </c>
      <c r="J815" s="2" t="s">
        <v>34</v>
      </c>
      <c r="K815">
        <v>2.5</v>
      </c>
      <c r="L815" t="s">
        <v>12</v>
      </c>
      <c r="M815" t="s">
        <v>210</v>
      </c>
      <c r="N815" t="str">
        <f>IF(K815="N/A","No", IF(K815&gt;230,"Yes","No"))</f>
        <v>No</v>
      </c>
      <c r="O815" t="str">
        <f>IF(K815="Not","No",IF(K815="n/a","N/A",IF(K815&gt;$Y$5,"Yes","No")))</f>
        <v>No</v>
      </c>
      <c r="U815" t="s">
        <v>106</v>
      </c>
      <c r="V815" t="str">
        <f>R810</f>
        <v>No</v>
      </c>
      <c r="W815" t="str">
        <f>S810</f>
        <v>No</v>
      </c>
      <c r="X815" t="str">
        <f>IF(V815="N/A","N/A",IF(W815="N/A", "N/A", IF(V815=W815, "Yes","No")))</f>
        <v>Yes</v>
      </c>
    </row>
    <row r="816" spans="1:32" x14ac:dyDescent="0.2">
      <c r="A816" t="s">
        <v>293</v>
      </c>
      <c r="B816" t="s">
        <v>32</v>
      </c>
      <c r="D816" t="s">
        <v>33</v>
      </c>
      <c r="G816" t="s">
        <v>9</v>
      </c>
      <c r="J816" s="2" t="s">
        <v>208</v>
      </c>
      <c r="K816">
        <v>4.5999999999999996</v>
      </c>
      <c r="L816" t="s">
        <v>12</v>
      </c>
      <c r="M816" t="s">
        <v>223</v>
      </c>
      <c r="N816" t="str">
        <f>IF(K816="N/A","No", IF(K816&gt;20,"Yes","No"))</f>
        <v>No</v>
      </c>
      <c r="O816" t="str">
        <f>IF(K816="Not","No",IF(K816="n/a","N/A",IF(K816&gt;$Y$7,"Yes","No")))</f>
        <v>No</v>
      </c>
      <c r="U816" t="s">
        <v>121</v>
      </c>
      <c r="V816" t="str">
        <f>R811</f>
        <v>No</v>
      </c>
      <c r="W816" t="str">
        <f>S811</f>
        <v>No</v>
      </c>
      <c r="X816" t="str">
        <f>IF(V816="N/A","N/A",IF(W816="N/A", "N/A", IF(V816=W816, "Yes","No")))</f>
        <v>Yes</v>
      </c>
    </row>
    <row r="817" spans="1:32" x14ac:dyDescent="0.2">
      <c r="A817" t="s">
        <v>293</v>
      </c>
      <c r="B817" t="s">
        <v>54</v>
      </c>
      <c r="D817" t="s">
        <v>33</v>
      </c>
      <c r="G817" t="s">
        <v>9</v>
      </c>
    </row>
    <row r="818" spans="1:32" x14ac:dyDescent="0.2">
      <c r="A818" t="s">
        <v>71</v>
      </c>
      <c r="B818" t="s">
        <v>32</v>
      </c>
      <c r="D818" t="s">
        <v>33</v>
      </c>
      <c r="G818" t="s">
        <v>9</v>
      </c>
    </row>
    <row r="819" spans="1:32" x14ac:dyDescent="0.2">
      <c r="A819" t="s">
        <v>71</v>
      </c>
      <c r="B819" t="s">
        <v>32</v>
      </c>
      <c r="D819" t="s">
        <v>33</v>
      </c>
      <c r="G819" t="s">
        <v>9</v>
      </c>
    </row>
    <row r="820" spans="1:32" x14ac:dyDescent="0.2">
      <c r="A820" t="s">
        <v>70</v>
      </c>
      <c r="B820" t="s">
        <v>32</v>
      </c>
      <c r="D820" t="s">
        <v>33</v>
      </c>
      <c r="G820" t="s">
        <v>9</v>
      </c>
      <c r="AF820" t="str">
        <f>IF(S810="Yes","LSK-Dust","")</f>
        <v/>
      </c>
    </row>
    <row r="823" spans="1:32" x14ac:dyDescent="0.2">
      <c r="A823" s="1">
        <f>VLOOKUP(C823,'Grid - LRA Samples'!$A$2:$B$108, 2,FALSE)</f>
        <v>1515</v>
      </c>
      <c r="B823" t="s">
        <v>111</v>
      </c>
      <c r="C823">
        <v>86</v>
      </c>
    </row>
    <row r="824" spans="1:32" x14ac:dyDescent="0.2">
      <c r="A824" s="5" t="s">
        <v>0</v>
      </c>
      <c r="E824" s="2" t="s">
        <v>274</v>
      </c>
      <c r="F824" s="2" t="s">
        <v>275</v>
      </c>
      <c r="G824" t="s">
        <v>119</v>
      </c>
      <c r="J824" s="5" t="s">
        <v>1</v>
      </c>
      <c r="N824" s="2" t="s">
        <v>277</v>
      </c>
      <c r="O824" t="s">
        <v>278</v>
      </c>
      <c r="Q824" s="5" t="s">
        <v>115</v>
      </c>
      <c r="R824" s="5" t="s">
        <v>0</v>
      </c>
      <c r="S824" s="5" t="s">
        <v>1</v>
      </c>
      <c r="U824" s="5" t="s">
        <v>115</v>
      </c>
      <c r="V824" s="5" t="s">
        <v>0</v>
      </c>
      <c r="W824" s="5" t="s">
        <v>1</v>
      </c>
      <c r="X824" s="5" t="s">
        <v>122</v>
      </c>
      <c r="AA824" t="str">
        <f>IF(R825="Yes","LRA-Soil","")</f>
        <v/>
      </c>
      <c r="AB824" t="str">
        <f>IF(R826="Yes","LRA-Paint","")</f>
        <v/>
      </c>
      <c r="AC824" t="str">
        <f>IF(R827="Yes","LRA-Dust","")</f>
        <v/>
      </c>
      <c r="AD824" t="str">
        <f>IF(S825="Yes","LSK-Soil","")</f>
        <v/>
      </c>
      <c r="AE824" t="str">
        <f>IF(S826="Yes","LSK-Paint","")</f>
        <v/>
      </c>
      <c r="AF824" t="str">
        <f>IF(S827="Yes","LSK-Dust","")</f>
        <v/>
      </c>
    </row>
    <row r="825" spans="1:32" x14ac:dyDescent="0.2">
      <c r="A825" t="s">
        <v>63</v>
      </c>
      <c r="B825" t="s">
        <v>18</v>
      </c>
      <c r="C825">
        <v>0</v>
      </c>
      <c r="D825" t="s">
        <v>4</v>
      </c>
      <c r="F825" s="2" t="str">
        <f t="shared" ref="F825:F827" si="394">IF(C825&gt;=$W$2,"Yes","No")</f>
        <v>No</v>
      </c>
      <c r="G825" t="s">
        <v>9</v>
      </c>
      <c r="H825" t="s">
        <v>46</v>
      </c>
      <c r="J825" s="2" t="s">
        <v>6</v>
      </c>
      <c r="K825">
        <v>10.199999999999999</v>
      </c>
      <c r="L825" t="s">
        <v>12</v>
      </c>
      <c r="M825" t="s">
        <v>114</v>
      </c>
      <c r="N825" t="str">
        <f>IF(K825="N/A","No", IF(K825&gt;1200,"Yes","No"))</f>
        <v>No</v>
      </c>
      <c r="O825" t="str">
        <f>IF(K825="Not","No",IF(K825="n/a","N/A",IF(K825&gt;=$Y$3,"Yes","No")))</f>
        <v>No</v>
      </c>
      <c r="Q825" s="2" t="s">
        <v>116</v>
      </c>
      <c r="R825" t="str">
        <f>_xlfn.XLOOKUP("ppm",D825:D828,F825:F828,"N/A")</f>
        <v>No</v>
      </c>
      <c r="S825" t="str">
        <f>IF(COUNTIF(O825:O827,"Yes"),"Yes","No")</f>
        <v>No</v>
      </c>
      <c r="U825" t="s">
        <v>92</v>
      </c>
      <c r="V825" t="s">
        <v>120</v>
      </c>
      <c r="W825" t="s">
        <v>120</v>
      </c>
      <c r="X825" t="str">
        <f>IF(V825="N/A","N/A",IF(W825="N/A", "N/A", IF(V825=W825, "Yes","No")))</f>
        <v>N/A</v>
      </c>
      <c r="AF825" t="e">
        <f>IF(#REF!="Yes","LSK-Dust","")</f>
        <v>#REF!</v>
      </c>
    </row>
    <row r="826" spans="1:32" x14ac:dyDescent="0.2">
      <c r="A826" t="s">
        <v>83</v>
      </c>
      <c r="B826" t="s">
        <v>69</v>
      </c>
      <c r="C826" t="s">
        <v>397</v>
      </c>
      <c r="D826" t="s">
        <v>12</v>
      </c>
      <c r="F826" s="2" t="s">
        <v>9</v>
      </c>
      <c r="G826" s="2" t="s">
        <v>9</v>
      </c>
      <c r="J826" s="2" t="s">
        <v>11</v>
      </c>
      <c r="K826">
        <v>10</v>
      </c>
      <c r="L826" t="s">
        <v>12</v>
      </c>
      <c r="M826" t="s">
        <v>67</v>
      </c>
      <c r="N826" t="str">
        <f t="shared" ref="N826:N827" si="395">IF(K826="N/A","No", IF(K826&gt;1200,"Yes","No"))</f>
        <v>No</v>
      </c>
      <c r="O826" t="str">
        <f t="shared" ref="O826:O827" si="396">IF(K826="Not","No",IF(K826="n/a","N/A",IF(K826&gt;$Y$3,"Yes","No")))</f>
        <v>No</v>
      </c>
      <c r="Q826" s="2" t="s">
        <v>98</v>
      </c>
      <c r="R826" t="str">
        <f>_xlfn.XLOOKUP("mg/cm2",D825:D828,G825:G828,"N/A",1,-1)</f>
        <v>No</v>
      </c>
      <c r="S826" t="str">
        <f>IF(COUNTIF(O828:O829,"Yes"),"Yes","No")</f>
        <v>No</v>
      </c>
      <c r="U826" t="s">
        <v>95</v>
      </c>
      <c r="V826" t="str">
        <f>R825</f>
        <v>No</v>
      </c>
      <c r="W826" t="str">
        <f>S825</f>
        <v>No</v>
      </c>
      <c r="X826" t="str">
        <f t="shared" ref="X826:X829" si="397">IF(V826="N/A","N/A",IF(W826="N/A", "N/A", IF(V826=W826, "Yes","No")))</f>
        <v>Yes</v>
      </c>
    </row>
    <row r="827" spans="1:32" x14ac:dyDescent="0.2">
      <c r="A827" t="s">
        <v>71</v>
      </c>
      <c r="B827" t="s">
        <v>40</v>
      </c>
      <c r="C827">
        <v>0</v>
      </c>
      <c r="D827" t="s">
        <v>4</v>
      </c>
      <c r="F827" s="2" t="str">
        <f t="shared" si="394"/>
        <v>No</v>
      </c>
      <c r="G827" t="s">
        <v>9</v>
      </c>
      <c r="H827" t="s">
        <v>43</v>
      </c>
      <c r="J827" s="2" t="s">
        <v>15</v>
      </c>
      <c r="K827">
        <v>16.600000000000001</v>
      </c>
      <c r="L827" t="s">
        <v>12</v>
      </c>
      <c r="M827" t="s">
        <v>112</v>
      </c>
      <c r="N827" t="str">
        <f t="shared" si="395"/>
        <v>No</v>
      </c>
      <c r="O827" t="str">
        <f t="shared" si="396"/>
        <v>No</v>
      </c>
      <c r="Q827" s="2" t="s">
        <v>117</v>
      </c>
      <c r="R827" t="str">
        <f>_xlfn.XLOOKUP("ug/ft2",D825:D828,F825:F828,"N/A")</f>
        <v>No</v>
      </c>
      <c r="S827" t="str">
        <f>IF(COUNTIF(O830:O833,"Yes"),"Yes","No")</f>
        <v>No</v>
      </c>
      <c r="U827" t="s">
        <v>163</v>
      </c>
      <c r="V827" t="s">
        <v>9</v>
      </c>
      <c r="W827" t="str">
        <f>O829</f>
        <v>No</v>
      </c>
      <c r="X827" t="str">
        <f t="shared" si="397"/>
        <v>Yes</v>
      </c>
    </row>
    <row r="828" spans="1:32" x14ac:dyDescent="0.2">
      <c r="A828" t="s">
        <v>71</v>
      </c>
      <c r="B828" t="s">
        <v>32</v>
      </c>
      <c r="C828">
        <v>3</v>
      </c>
      <c r="D828" t="s">
        <v>33</v>
      </c>
      <c r="F828" s="2" t="str">
        <f t="shared" ref="F828" si="398">IF(C828&gt;$W$6,"Yes","No")</f>
        <v>No</v>
      </c>
      <c r="G828" t="s">
        <v>9</v>
      </c>
      <c r="J828" s="2" t="s">
        <v>19</v>
      </c>
      <c r="K828">
        <v>2.5</v>
      </c>
      <c r="L828" t="s">
        <v>12</v>
      </c>
      <c r="M828" t="s">
        <v>46</v>
      </c>
      <c r="N828" t="str">
        <f>IF(K828="N/A","No", IF(K828&gt;5000,"Yes","No"))</f>
        <v>No</v>
      </c>
      <c r="O828" t="str">
        <f>IF(K828="Not","No",IF(K828="n/a","N/A",IF(K828&gt;$Y$2,"Yes","No")))</f>
        <v>No</v>
      </c>
      <c r="Q828" s="2" t="s">
        <v>118</v>
      </c>
      <c r="R828" t="str">
        <f>IF(COUNTIF(R825:R827,"Yes"),"Yes","No")</f>
        <v>No</v>
      </c>
      <c r="S828" t="str">
        <f>IF(COUNTIF(S825:S827,"Yes"),"Yes","No")</f>
        <v>No</v>
      </c>
      <c r="U828" t="s">
        <v>164</v>
      </c>
      <c r="V828" t="s">
        <v>9</v>
      </c>
      <c r="W828" t="str">
        <f>O828</f>
        <v>No</v>
      </c>
      <c r="X828" t="str">
        <f t="shared" si="397"/>
        <v>Yes</v>
      </c>
    </row>
    <row r="829" spans="1:32" x14ac:dyDescent="0.2">
      <c r="F829" s="2"/>
      <c r="J829" s="2" t="s">
        <v>22</v>
      </c>
      <c r="K829">
        <v>2.5</v>
      </c>
      <c r="L829" t="s">
        <v>12</v>
      </c>
      <c r="M829" t="s">
        <v>43</v>
      </c>
      <c r="N829" t="str">
        <f>IF(K829="N/A","No", IF(K829&gt;5000,"Yes","No"))</f>
        <v>No</v>
      </c>
      <c r="O829" t="str">
        <f>IF(K829="Not","No",IF(K829="n/a","N/A",IF(K829&gt;$Y$2,"Yes","No")))</f>
        <v>No</v>
      </c>
      <c r="U829" t="s">
        <v>162</v>
      </c>
      <c r="V829" t="str">
        <f>R826</f>
        <v>No</v>
      </c>
      <c r="W829" t="str">
        <f>S826</f>
        <v>No</v>
      </c>
      <c r="X829" t="str">
        <f t="shared" si="397"/>
        <v>Yes</v>
      </c>
    </row>
    <row r="830" spans="1:32" x14ac:dyDescent="0.2">
      <c r="F830" s="2"/>
      <c r="J830" s="2" t="s">
        <v>25</v>
      </c>
      <c r="K830">
        <v>2.5</v>
      </c>
      <c r="L830" t="s">
        <v>12</v>
      </c>
      <c r="M830" t="s">
        <v>126</v>
      </c>
      <c r="N830" t="str">
        <f>IF(K830="N/A","No", IF(K830&gt;=20,"Yes","No"))</f>
        <v>No</v>
      </c>
      <c r="O830" t="str">
        <f>IF(K830="Not","No",IF(K830="n/a","N/A",IF(K830&gt;=$Y$6,"Yes","No")))</f>
        <v>No</v>
      </c>
      <c r="U830" t="s">
        <v>101</v>
      </c>
      <c r="V830" t="s">
        <v>9</v>
      </c>
      <c r="W830" t="s">
        <v>9</v>
      </c>
      <c r="X830" t="str">
        <f>IF(V830="N/A","N/A",IF(W830="N/A", "N/A", IF(V830=W830, "Yes","No")))</f>
        <v>Yes</v>
      </c>
    </row>
    <row r="831" spans="1:32" x14ac:dyDescent="0.2">
      <c r="F831" s="2"/>
      <c r="J831" s="2" t="s">
        <v>29</v>
      </c>
      <c r="K831">
        <v>2.5</v>
      </c>
      <c r="L831" t="s">
        <v>12</v>
      </c>
      <c r="M831" t="s">
        <v>222</v>
      </c>
      <c r="N831" t="str">
        <f>IF(K831="N/A","No", IF(K831&gt;20,"Yes","No"))</f>
        <v>No</v>
      </c>
      <c r="O831" t="str">
        <f t="shared" ref="O831" si="399">IF(K831="Not","No",IF(K831="n/a","N/A",IF(K831&gt;$Y$6,"Yes","No")))</f>
        <v>No</v>
      </c>
      <c r="U831" t="s">
        <v>104</v>
      </c>
      <c r="V831" t="s">
        <v>120</v>
      </c>
      <c r="W831" t="str">
        <f>O832</f>
        <v>No</v>
      </c>
      <c r="X831" t="str">
        <f>IF(V831="N/A","N/A",IF(W831="N/A", "N/A", IF(V831=W831, "Yes","No")))</f>
        <v>N/A</v>
      </c>
    </row>
    <row r="832" spans="1:32" x14ac:dyDescent="0.2">
      <c r="F832" s="2"/>
      <c r="J832" s="2" t="s">
        <v>34</v>
      </c>
      <c r="K832">
        <v>2.5</v>
      </c>
      <c r="L832" t="s">
        <v>12</v>
      </c>
      <c r="M832" t="s">
        <v>210</v>
      </c>
      <c r="N832" t="str">
        <f>IF(K832="N/A","No", IF(K832&gt;230,"Yes","No"))</f>
        <v>No</v>
      </c>
      <c r="O832" t="str">
        <f>IF(K832="Not","No",IF(K832="n/a","N/A",IF(K832&gt;$Y$5,"Yes","No")))</f>
        <v>No</v>
      </c>
      <c r="U832" t="s">
        <v>106</v>
      </c>
      <c r="V832" t="str">
        <f>R827</f>
        <v>No</v>
      </c>
      <c r="W832" t="str">
        <f>S827</f>
        <v>No</v>
      </c>
      <c r="X832" t="str">
        <f>IF(V832="N/A","N/A",IF(W832="N/A", "N/A", IF(V832=W832, "Yes","No")))</f>
        <v>Yes</v>
      </c>
    </row>
    <row r="833" spans="1:32" x14ac:dyDescent="0.2">
      <c r="J833" s="2" t="s">
        <v>208</v>
      </c>
      <c r="K833">
        <v>2.5</v>
      </c>
      <c r="L833" t="s">
        <v>12</v>
      </c>
      <c r="M833" t="s">
        <v>223</v>
      </c>
      <c r="N833" t="str">
        <f>IF(K833="N/A","No", IF(K833&gt;20,"Yes","No"))</f>
        <v>No</v>
      </c>
      <c r="O833" t="str">
        <f>IF(K833="Not","No",IF(K833="n/a","N/A",IF(K833&gt;$Y$7,"Yes","No")))</f>
        <v>No</v>
      </c>
      <c r="U833" t="s">
        <v>121</v>
      </c>
      <c r="V833" t="str">
        <f>R828</f>
        <v>No</v>
      </c>
      <c r="W833" t="str">
        <f>S828</f>
        <v>No</v>
      </c>
      <c r="X833" t="str">
        <f>IF(V833="N/A","N/A",IF(W833="N/A", "N/A", IF(V833=W833, "Yes","No")))</f>
        <v>Yes</v>
      </c>
    </row>
    <row r="835" spans="1:32" x14ac:dyDescent="0.2">
      <c r="A835" s="1">
        <f>VLOOKUP(C835,'Grid - LRA Samples'!$A$2:$B$108, 2,FALSE)</f>
        <v>1516</v>
      </c>
      <c r="B835" t="s">
        <v>111</v>
      </c>
      <c r="C835">
        <v>87</v>
      </c>
    </row>
    <row r="836" spans="1:32" x14ac:dyDescent="0.2">
      <c r="A836" s="5" t="s">
        <v>0</v>
      </c>
      <c r="E836" s="2" t="s">
        <v>274</v>
      </c>
      <c r="F836" s="2" t="s">
        <v>275</v>
      </c>
      <c r="G836" t="s">
        <v>119</v>
      </c>
      <c r="J836" s="5" t="s">
        <v>1</v>
      </c>
      <c r="N836" s="2" t="s">
        <v>277</v>
      </c>
      <c r="O836" t="s">
        <v>278</v>
      </c>
      <c r="Q836" s="5" t="s">
        <v>115</v>
      </c>
      <c r="R836" s="5" t="s">
        <v>0</v>
      </c>
      <c r="S836" s="5" t="s">
        <v>1</v>
      </c>
      <c r="U836" s="5" t="s">
        <v>115</v>
      </c>
      <c r="V836" s="5" t="s">
        <v>0</v>
      </c>
      <c r="W836" s="5" t="s">
        <v>1</v>
      </c>
      <c r="X836" s="5" t="s">
        <v>122</v>
      </c>
      <c r="AA836" t="str">
        <f>IF(R837="Yes","LRA-Soil","")</f>
        <v/>
      </c>
      <c r="AB836" t="str">
        <f>IF(R838="Yes","LRA-Paint","")</f>
        <v/>
      </c>
      <c r="AC836" t="str">
        <f>IF(R839="Yes","LRA-Dust","")</f>
        <v/>
      </c>
      <c r="AD836" t="str">
        <f>IF(S837="Yes","LSK-Soil","")</f>
        <v/>
      </c>
      <c r="AE836" t="str">
        <f>IF(S838="Yes","LSK-Paint","")</f>
        <v/>
      </c>
      <c r="AF836" t="str">
        <f>IF(S839="Yes","LSK-Dust","")</f>
        <v/>
      </c>
    </row>
    <row r="837" spans="1:32" x14ac:dyDescent="0.2">
      <c r="A837" t="s">
        <v>153</v>
      </c>
      <c r="B837" t="s">
        <v>18</v>
      </c>
      <c r="C837">
        <v>0</v>
      </c>
      <c r="D837" t="s">
        <v>4</v>
      </c>
      <c r="F837" s="2" t="str">
        <f t="shared" ref="F837:F841" si="400">IF(C837&gt;=$W$2,"Yes","No")</f>
        <v>No</v>
      </c>
      <c r="G837" t="s">
        <v>9</v>
      </c>
      <c r="H837" t="s">
        <v>46</v>
      </c>
      <c r="J837" s="2" t="s">
        <v>6</v>
      </c>
      <c r="K837">
        <v>13.1</v>
      </c>
      <c r="L837" t="s">
        <v>12</v>
      </c>
      <c r="M837" t="s">
        <v>114</v>
      </c>
      <c r="N837" t="str">
        <f>IF(K837="N/A","No", IF(K837&gt;1200,"Yes","No"))</f>
        <v>No</v>
      </c>
      <c r="O837" t="str">
        <f>IF(K837="Not","No",IF(K837="n/a","N/A",IF(K837&gt;=$Y$3,"Yes","No")))</f>
        <v>No</v>
      </c>
      <c r="Q837" s="2" t="s">
        <v>116</v>
      </c>
      <c r="R837" t="str">
        <f>_xlfn.XLOOKUP("ppm",D837:D841,F837:F841,"N/A")</f>
        <v>No</v>
      </c>
      <c r="S837" t="str">
        <f>IF(COUNTIF(O837:O839,"Yes"),"Yes","No")</f>
        <v>No</v>
      </c>
      <c r="U837" t="s">
        <v>92</v>
      </c>
      <c r="V837" t="s">
        <v>120</v>
      </c>
      <c r="W837" t="s">
        <v>120</v>
      </c>
      <c r="X837" t="str">
        <f>IF(V837="N/A","N/A",IF(W837="N/A", "N/A", IF(V837=W837, "Yes","No")))</f>
        <v>N/A</v>
      </c>
      <c r="AF837" t="str">
        <f>IF(S827="Yes","LSK-Dust","")</f>
        <v/>
      </c>
    </row>
    <row r="838" spans="1:32" x14ac:dyDescent="0.2">
      <c r="A838" t="s">
        <v>317</v>
      </c>
      <c r="B838" t="s">
        <v>69</v>
      </c>
      <c r="C838" t="s">
        <v>397</v>
      </c>
      <c r="D838" t="s">
        <v>12</v>
      </c>
      <c r="F838" s="29" t="s">
        <v>9</v>
      </c>
      <c r="G838" s="2" t="s">
        <v>9</v>
      </c>
      <c r="J838" s="2" t="s">
        <v>11</v>
      </c>
      <c r="K838">
        <v>12.3</v>
      </c>
      <c r="L838" t="s">
        <v>12</v>
      </c>
      <c r="M838" t="s">
        <v>67</v>
      </c>
      <c r="N838" t="str">
        <f t="shared" ref="N838:N839" si="401">IF(K838="N/A","No", IF(K838&gt;1200,"Yes","No"))</f>
        <v>No</v>
      </c>
      <c r="O838" t="str">
        <f t="shared" ref="O838:O839" si="402">IF(K838="Not","No",IF(K838="n/a","N/A",IF(K838&gt;$Y$3,"Yes","No")))</f>
        <v>No</v>
      </c>
      <c r="Q838" s="2" t="s">
        <v>98</v>
      </c>
      <c r="R838" t="str">
        <f>_xlfn.XLOOKUP("mg/cm2",D837:D841,G837:G841,"N/A",1,-1)</f>
        <v>No</v>
      </c>
      <c r="S838" t="str">
        <f>IF(COUNTIF(O840:O841,"Yes"),"Yes","No")</f>
        <v>No</v>
      </c>
      <c r="U838" t="s">
        <v>95</v>
      </c>
      <c r="V838" t="str">
        <f>R837</f>
        <v>No</v>
      </c>
      <c r="W838" t="str">
        <f>S837</f>
        <v>No</v>
      </c>
      <c r="X838" t="str">
        <f t="shared" ref="X838:X841" si="403">IF(V838="N/A","N/A",IF(W838="N/A", "N/A", IF(V838=W838, "Yes","No")))</f>
        <v>Yes</v>
      </c>
    </row>
    <row r="839" spans="1:32" x14ac:dyDescent="0.2">
      <c r="A839" t="s">
        <v>71</v>
      </c>
      <c r="B839" t="s">
        <v>40</v>
      </c>
      <c r="C839">
        <v>0</v>
      </c>
      <c r="D839" t="s">
        <v>4</v>
      </c>
      <c r="F839" s="2" t="str">
        <f t="shared" ref="F839" si="404">IF(C839&gt;=$W$2,"Yes","No")</f>
        <v>No</v>
      </c>
      <c r="G839" t="s">
        <v>9</v>
      </c>
      <c r="H839" t="s">
        <v>43</v>
      </c>
      <c r="J839" s="2" t="s">
        <v>15</v>
      </c>
      <c r="K839">
        <v>12.1</v>
      </c>
      <c r="L839" t="s">
        <v>12</v>
      </c>
      <c r="M839" t="s">
        <v>112</v>
      </c>
      <c r="N839" t="str">
        <f t="shared" si="401"/>
        <v>No</v>
      </c>
      <c r="O839" t="str">
        <f t="shared" si="402"/>
        <v>No</v>
      </c>
      <c r="Q839" s="2" t="s">
        <v>117</v>
      </c>
      <c r="R839" t="str">
        <f>_xlfn.XLOOKUP("ug/ft2",D837:D841,F837:F841,"N/A")</f>
        <v>No</v>
      </c>
      <c r="S839" t="str">
        <f>IF(COUNTIF(O842:O845,"Yes"),"Yes","No")</f>
        <v>No</v>
      </c>
      <c r="U839" t="s">
        <v>163</v>
      </c>
      <c r="V839" t="s">
        <v>9</v>
      </c>
      <c r="W839" t="str">
        <f>O841</f>
        <v>No</v>
      </c>
      <c r="X839" t="str">
        <f t="shared" si="403"/>
        <v>Yes</v>
      </c>
    </row>
    <row r="840" spans="1:32" x14ac:dyDescent="0.2">
      <c r="A840" t="s">
        <v>71</v>
      </c>
      <c r="B840" t="s">
        <v>32</v>
      </c>
      <c r="C840">
        <v>3</v>
      </c>
      <c r="D840" t="s">
        <v>33</v>
      </c>
      <c r="F840" s="2" t="str">
        <f t="shared" ref="F840" si="405">IF(C840&gt;$W$6,"Yes","No")</f>
        <v>No</v>
      </c>
      <c r="G840" t="s">
        <v>9</v>
      </c>
      <c r="J840" s="2" t="s">
        <v>19</v>
      </c>
      <c r="K840">
        <v>186</v>
      </c>
      <c r="L840" t="s">
        <v>12</v>
      </c>
      <c r="M840" t="s">
        <v>46</v>
      </c>
      <c r="N840" t="str">
        <f>IF(K840="N/A","No", IF(K840&gt;5000,"Yes","No"))</f>
        <v>No</v>
      </c>
      <c r="O840" t="str">
        <f>IF(K840="Not","No",IF(K840="n/a","N/A",IF(K840&gt;$Y$2,"Yes","No")))</f>
        <v>No</v>
      </c>
      <c r="Q840" s="2" t="s">
        <v>118</v>
      </c>
      <c r="R840" t="str">
        <f>IF(COUNTIF(R837:R839,"Yes"),"Yes","No")</f>
        <v>No</v>
      </c>
      <c r="S840" t="str">
        <f>IF(COUNTIF(S837:S839,"Yes"),"Yes","No")</f>
        <v>No</v>
      </c>
      <c r="U840" t="s">
        <v>164</v>
      </c>
      <c r="V840" t="s">
        <v>9</v>
      </c>
      <c r="W840" t="str">
        <f>O840</f>
        <v>No</v>
      </c>
      <c r="X840" t="str">
        <f t="shared" si="403"/>
        <v>Yes</v>
      </c>
    </row>
    <row r="841" spans="1:32" x14ac:dyDescent="0.2">
      <c r="A841" t="s">
        <v>73</v>
      </c>
      <c r="B841" t="s">
        <v>56</v>
      </c>
      <c r="C841">
        <v>0.02</v>
      </c>
      <c r="D841" t="s">
        <v>4</v>
      </c>
      <c r="F841" s="2" t="str">
        <f t="shared" si="400"/>
        <v>No</v>
      </c>
      <c r="G841" t="s">
        <v>9</v>
      </c>
      <c r="J841" s="2" t="s">
        <v>22</v>
      </c>
      <c r="K841">
        <v>2.5</v>
      </c>
      <c r="L841" t="s">
        <v>12</v>
      </c>
      <c r="M841" t="s">
        <v>43</v>
      </c>
      <c r="N841" t="str">
        <f>IF(K841="N/A","No", IF(K841&gt;5000,"Yes","No"))</f>
        <v>No</v>
      </c>
      <c r="O841" t="str">
        <f>IF(K841="Not","No",IF(K841="n/a","N/A",IF(K841&gt;$Y$2,"Yes","No")))</f>
        <v>No</v>
      </c>
      <c r="U841" t="s">
        <v>162</v>
      </c>
      <c r="V841" t="str">
        <f>R838</f>
        <v>No</v>
      </c>
      <c r="W841" t="str">
        <f>S838</f>
        <v>No</v>
      </c>
      <c r="X841" t="str">
        <f t="shared" si="403"/>
        <v>Yes</v>
      </c>
    </row>
    <row r="842" spans="1:32" x14ac:dyDescent="0.2">
      <c r="F842" s="2"/>
      <c r="J842" s="2" t="s">
        <v>25</v>
      </c>
      <c r="K842">
        <v>6</v>
      </c>
      <c r="L842" t="s">
        <v>12</v>
      </c>
      <c r="M842" t="s">
        <v>126</v>
      </c>
      <c r="N842" t="str">
        <f>IF(K842="N/A","No", IF(K842&gt;=20,"Yes","No"))</f>
        <v>No</v>
      </c>
      <c r="O842" t="str">
        <f>IF(K842="Not","No",IF(K842="n/a","N/A",IF(K842&gt;=$Y$6,"Yes","No")))</f>
        <v>No</v>
      </c>
      <c r="U842" t="s">
        <v>101</v>
      </c>
      <c r="V842" t="s">
        <v>9</v>
      </c>
      <c r="W842" t="s">
        <v>9</v>
      </c>
      <c r="X842" t="str">
        <f>IF(V842="N/A","N/A",IF(W842="N/A", "N/A", IF(V842=W842, "Yes","No")))</f>
        <v>Yes</v>
      </c>
    </row>
    <row r="843" spans="1:32" x14ac:dyDescent="0.2">
      <c r="F843" s="2"/>
      <c r="J843" s="2" t="s">
        <v>29</v>
      </c>
      <c r="K843">
        <v>2.5</v>
      </c>
      <c r="L843" t="s">
        <v>12</v>
      </c>
      <c r="M843" t="s">
        <v>222</v>
      </c>
      <c r="N843" t="str">
        <f>IF(K843="N/A","No", IF(K843&gt;20,"Yes","No"))</f>
        <v>No</v>
      </c>
      <c r="O843" t="str">
        <f t="shared" ref="O843" si="406">IF(K843="Not","No",IF(K843="n/a","N/A",IF(K843&gt;$Y$6,"Yes","No")))</f>
        <v>No</v>
      </c>
      <c r="U843" t="s">
        <v>104</v>
      </c>
      <c r="V843" t="s">
        <v>120</v>
      </c>
      <c r="W843" t="str">
        <f>O844</f>
        <v>No</v>
      </c>
      <c r="X843" t="str">
        <f>IF(V843="N/A","N/A",IF(W843="N/A", "N/A", IF(V843=W843, "Yes","No")))</f>
        <v>N/A</v>
      </c>
    </row>
    <row r="844" spans="1:32" x14ac:dyDescent="0.2">
      <c r="F844" s="2"/>
      <c r="J844" s="2" t="s">
        <v>34</v>
      </c>
      <c r="K844">
        <v>2.5</v>
      </c>
      <c r="L844" t="s">
        <v>12</v>
      </c>
      <c r="M844" t="s">
        <v>210</v>
      </c>
      <c r="N844" t="str">
        <f>IF(K844="N/A","No", IF(K844&gt;230,"Yes","No"))</f>
        <v>No</v>
      </c>
      <c r="O844" t="str">
        <f>IF(K844="Not","No",IF(K844="n/a","N/A",IF(K844&gt;$Y$5,"Yes","No")))</f>
        <v>No</v>
      </c>
      <c r="U844" t="s">
        <v>106</v>
      </c>
      <c r="V844" t="str">
        <f>R839</f>
        <v>No</v>
      </c>
      <c r="W844" t="str">
        <f>S839</f>
        <v>No</v>
      </c>
      <c r="X844" t="str">
        <f>IF(V844="N/A","N/A",IF(W844="N/A", "N/A", IF(V844=W844, "Yes","No")))</f>
        <v>Yes</v>
      </c>
    </row>
    <row r="845" spans="1:32" x14ac:dyDescent="0.2">
      <c r="J845" s="2" t="s">
        <v>208</v>
      </c>
      <c r="K845">
        <v>20.6</v>
      </c>
      <c r="L845" t="s">
        <v>12</v>
      </c>
      <c r="M845" t="s">
        <v>223</v>
      </c>
      <c r="N845" t="str">
        <f>IF(K845="N/A","No", IF(K845&gt;20,"Yes","No"))</f>
        <v>Yes</v>
      </c>
      <c r="O845" t="str">
        <f>IF(K845="Not","No",IF(K845="n/a","N/A",IF(K845&gt;$Y$7,"Yes","No")))</f>
        <v>No</v>
      </c>
      <c r="U845" t="s">
        <v>121</v>
      </c>
      <c r="V845" t="str">
        <f>R840</f>
        <v>No</v>
      </c>
      <c r="W845" t="str">
        <f>S840</f>
        <v>No</v>
      </c>
      <c r="X845" t="str">
        <f>IF(V845="N/A","N/A",IF(W845="N/A", "N/A", IF(V845=W845, "Yes","No")))</f>
        <v>Yes</v>
      </c>
    </row>
    <row r="847" spans="1:32" x14ac:dyDescent="0.2">
      <c r="A847" s="1">
        <f>VLOOKUP(C847,'Grid - LRA Samples'!$A$2:$B$108, 2,FALSE)</f>
        <v>1517</v>
      </c>
      <c r="B847" t="s">
        <v>111</v>
      </c>
      <c r="C847">
        <v>88</v>
      </c>
    </row>
    <row r="848" spans="1:32" x14ac:dyDescent="0.2">
      <c r="A848" s="5" t="s">
        <v>0</v>
      </c>
      <c r="E848" s="2" t="s">
        <v>274</v>
      </c>
      <c r="F848" s="2" t="s">
        <v>275</v>
      </c>
      <c r="G848" t="s">
        <v>119</v>
      </c>
      <c r="J848" s="5" t="s">
        <v>1</v>
      </c>
      <c r="N848" s="2" t="s">
        <v>277</v>
      </c>
      <c r="O848" t="s">
        <v>278</v>
      </c>
      <c r="Q848" s="5" t="s">
        <v>115</v>
      </c>
      <c r="R848" s="5" t="s">
        <v>0</v>
      </c>
      <c r="S848" s="5" t="s">
        <v>1</v>
      </c>
      <c r="U848" s="5" t="s">
        <v>115</v>
      </c>
      <c r="V848" s="5" t="s">
        <v>0</v>
      </c>
      <c r="W848" s="5" t="s">
        <v>1</v>
      </c>
      <c r="X848" s="5" t="s">
        <v>122</v>
      </c>
      <c r="AA848" t="str">
        <f>IF(R849="Yes","LRA-Soil","")</f>
        <v/>
      </c>
      <c r="AB848" t="str">
        <f>IF(R850="Yes","LRA-Paint","")</f>
        <v/>
      </c>
      <c r="AC848" t="str">
        <f>IF(R851="Yes","LRA-Dust","")</f>
        <v/>
      </c>
      <c r="AD848" t="str">
        <f>IF(S849="Yes","LSK-Soil","")</f>
        <v/>
      </c>
      <c r="AE848" t="str">
        <f>IF(S850="Yes","LSK-Paint","")</f>
        <v/>
      </c>
      <c r="AF848" t="str">
        <f>IF(S851="Yes","LSK-Dust","")</f>
        <v/>
      </c>
    </row>
    <row r="849" spans="1:32" x14ac:dyDescent="0.2">
      <c r="A849" t="s">
        <v>235</v>
      </c>
      <c r="B849" t="s">
        <v>221</v>
      </c>
      <c r="C849">
        <v>1.5</v>
      </c>
      <c r="D849" t="s">
        <v>4</v>
      </c>
      <c r="E849" t="s">
        <v>5</v>
      </c>
      <c r="F849" s="2" t="str">
        <f t="shared" ref="F849" si="407">IF(C849&gt;=$W$2,"Yes","No")</f>
        <v>Yes</v>
      </c>
      <c r="G849" t="s">
        <v>9</v>
      </c>
      <c r="H849" t="s">
        <v>46</v>
      </c>
      <c r="J849" s="2" t="s">
        <v>6</v>
      </c>
      <c r="K849">
        <v>36.700000000000003</v>
      </c>
      <c r="L849" t="s">
        <v>12</v>
      </c>
      <c r="M849" t="s">
        <v>114</v>
      </c>
      <c r="N849" t="str">
        <f>IF(K849="N/A","No", IF(K849&gt;1200,"Yes","No"))</f>
        <v>No</v>
      </c>
      <c r="O849" t="str">
        <f>IF(K849="Not","No",IF(K849="n/a","N/A",IF(K849&gt;=$Y$3,"Yes","No")))</f>
        <v>No</v>
      </c>
      <c r="Q849" s="2" t="s">
        <v>116</v>
      </c>
      <c r="R849" t="str">
        <f>_xlfn.XLOOKUP("ppm",D849:D853,F849:F853,"N/A")</f>
        <v>No</v>
      </c>
      <c r="S849" t="str">
        <f>IF(COUNTIF(O849:O851,"Yes"),"Yes","No")</f>
        <v>No</v>
      </c>
      <c r="U849" t="s">
        <v>92</v>
      </c>
      <c r="V849" t="s">
        <v>120</v>
      </c>
      <c r="W849" t="s">
        <v>120</v>
      </c>
      <c r="X849" t="str">
        <f>IF(V849="N/A","N/A",IF(W849="N/A", "N/A", IF(V849=W849, "Yes","No")))</f>
        <v>N/A</v>
      </c>
      <c r="AF849" t="str">
        <f>IF(S839="Yes","LSK-Dust","")</f>
        <v/>
      </c>
    </row>
    <row r="850" spans="1:32" x14ac:dyDescent="0.2">
      <c r="A850" t="s">
        <v>187</v>
      </c>
      <c r="B850" t="s">
        <v>294</v>
      </c>
      <c r="C850">
        <v>93</v>
      </c>
      <c r="D850" t="s">
        <v>12</v>
      </c>
      <c r="E850" t="s">
        <v>9</v>
      </c>
      <c r="F850" s="2" t="str">
        <f t="shared" ref="F850" si="408">IF(C850&gt;$W$3,"Yes","No")</f>
        <v>No</v>
      </c>
      <c r="G850" s="2" t="s">
        <v>9</v>
      </c>
      <c r="J850" s="2" t="s">
        <v>11</v>
      </c>
      <c r="K850">
        <v>21.2</v>
      </c>
      <c r="L850" t="s">
        <v>12</v>
      </c>
      <c r="M850" t="s">
        <v>67</v>
      </c>
      <c r="N850" t="str">
        <f t="shared" ref="N850:N851" si="409">IF(K850="N/A","No", IF(K850&gt;1200,"Yes","No"))</f>
        <v>No</v>
      </c>
      <c r="O850" t="str">
        <f t="shared" ref="O850:O851" si="410">IF(K850="Not","No",IF(K850="n/a","N/A",IF(K850&gt;$Y$3,"Yes","No")))</f>
        <v>No</v>
      </c>
      <c r="Q850" s="2" t="s">
        <v>98</v>
      </c>
      <c r="R850" t="str">
        <f>_xlfn.XLOOKUP("mg/cm2",D849:D853,G849:G853,"N/A",1,-1)</f>
        <v>No</v>
      </c>
      <c r="S850" t="str">
        <f>IF(COUNTIF(O852:O853,"Yes"),"Yes","No")</f>
        <v>No</v>
      </c>
      <c r="U850" t="s">
        <v>95</v>
      </c>
      <c r="V850" t="str">
        <f>R849</f>
        <v>No</v>
      </c>
      <c r="W850" t="str">
        <f>S849</f>
        <v>No</v>
      </c>
      <c r="X850" t="str">
        <f t="shared" ref="X850:X853" si="411">IF(V850="N/A","N/A",IF(W850="N/A", "N/A", IF(V850=W850, "Yes","No")))</f>
        <v>Yes</v>
      </c>
    </row>
    <row r="851" spans="1:32" x14ac:dyDescent="0.2">
      <c r="A851" t="s">
        <v>287</v>
      </c>
      <c r="B851" t="s">
        <v>236</v>
      </c>
      <c r="C851">
        <v>1.2</v>
      </c>
      <c r="D851" t="s">
        <v>4</v>
      </c>
      <c r="E851" t="s">
        <v>5</v>
      </c>
      <c r="F851" s="2" t="str">
        <f t="shared" ref="F851:F852" si="412">IF(C851&gt;=$W$2,"Yes","No")</f>
        <v>Yes</v>
      </c>
      <c r="G851" t="s">
        <v>5</v>
      </c>
      <c r="H851" t="s">
        <v>43</v>
      </c>
      <c r="J851" s="2" t="s">
        <v>15</v>
      </c>
      <c r="K851">
        <v>85</v>
      </c>
      <c r="L851" t="s">
        <v>12</v>
      </c>
      <c r="M851" t="s">
        <v>112</v>
      </c>
      <c r="N851" t="str">
        <f t="shared" si="409"/>
        <v>No</v>
      </c>
      <c r="O851" t="str">
        <f t="shared" si="410"/>
        <v>No</v>
      </c>
      <c r="Q851" s="2" t="s">
        <v>117</v>
      </c>
      <c r="R851" t="str">
        <f>_xlfn.XLOOKUP("ug/ft2",D849:D853,F849:F853,"N/A")</f>
        <v>No</v>
      </c>
      <c r="S851" t="str">
        <f>IF(COUNTIF(O854:O857,"Yes"),"Yes","No")</f>
        <v>No</v>
      </c>
      <c r="U851" t="s">
        <v>163</v>
      </c>
      <c r="V851" t="s">
        <v>5</v>
      </c>
      <c r="W851" t="str">
        <f>O853</f>
        <v>No</v>
      </c>
      <c r="X851" t="str">
        <f t="shared" si="411"/>
        <v>No</v>
      </c>
    </row>
    <row r="852" spans="1:32" x14ac:dyDescent="0.2">
      <c r="A852" t="s">
        <v>201</v>
      </c>
      <c r="B852" t="s">
        <v>189</v>
      </c>
      <c r="C852">
        <v>0.02</v>
      </c>
      <c r="D852" t="s">
        <v>4</v>
      </c>
      <c r="E852" t="s">
        <v>9</v>
      </c>
      <c r="F852" s="2" t="str">
        <f t="shared" si="412"/>
        <v>No</v>
      </c>
      <c r="G852" t="s">
        <v>9</v>
      </c>
      <c r="J852" s="2" t="s">
        <v>19</v>
      </c>
      <c r="K852">
        <v>2.5</v>
      </c>
      <c r="L852" t="s">
        <v>12</v>
      </c>
      <c r="M852" t="s">
        <v>46</v>
      </c>
      <c r="N852" t="str">
        <f>IF(K852="N/A","No", IF(K852&gt;5000,"Yes","No"))</f>
        <v>No</v>
      </c>
      <c r="O852" t="str">
        <f>IF(K852="Not","No",IF(K852="n/a","N/A",IF(K852&gt;$Y$2,"Yes","No")))</f>
        <v>No</v>
      </c>
      <c r="Q852" s="2" t="s">
        <v>118</v>
      </c>
      <c r="R852" t="str">
        <f>IF(COUNTIF(R849:R851,"Yes"),"Yes","No")</f>
        <v>No</v>
      </c>
      <c r="S852" t="str">
        <f>IF(COUNTIF(S849:S851,"Yes"),"Yes","No")</f>
        <v>No</v>
      </c>
      <c r="U852" t="s">
        <v>164</v>
      </c>
      <c r="V852" t="s">
        <v>9</v>
      </c>
      <c r="W852" t="str">
        <f>O852</f>
        <v>No</v>
      </c>
      <c r="X852" t="str">
        <f t="shared" si="411"/>
        <v>Yes</v>
      </c>
    </row>
    <row r="853" spans="1:32" x14ac:dyDescent="0.2">
      <c r="A853" t="s">
        <v>293</v>
      </c>
      <c r="B853" t="s">
        <v>214</v>
      </c>
      <c r="C853">
        <v>9.5</v>
      </c>
      <c r="D853" t="s">
        <v>33</v>
      </c>
      <c r="E853" t="s">
        <v>310</v>
      </c>
      <c r="F853" s="2" t="str">
        <f t="shared" ref="F853" si="413">IF(C853&gt;$W$6,"Yes","No")</f>
        <v>No</v>
      </c>
      <c r="G853" s="14" t="s">
        <v>5</v>
      </c>
      <c r="J853" s="2" t="s">
        <v>22</v>
      </c>
      <c r="K853">
        <v>139</v>
      </c>
      <c r="L853" t="s">
        <v>12</v>
      </c>
      <c r="M853" t="s">
        <v>43</v>
      </c>
      <c r="N853" t="str">
        <f>IF(K853="N/A","No", IF(K853&gt;5000,"Yes","No"))</f>
        <v>No</v>
      </c>
      <c r="O853" t="str">
        <f>IF(K853="Not","No",IF(K853="n/a","N/A",IF(K853&gt;$Y$2,"Yes","No")))</f>
        <v>No</v>
      </c>
      <c r="U853" t="s">
        <v>162</v>
      </c>
      <c r="V853" t="str">
        <f>R850</f>
        <v>No</v>
      </c>
      <c r="W853" t="str">
        <f>S850</f>
        <v>No</v>
      </c>
      <c r="X853" t="str">
        <f t="shared" si="411"/>
        <v>Yes</v>
      </c>
    </row>
    <row r="854" spans="1:32" x14ac:dyDescent="0.2">
      <c r="F854" s="2"/>
      <c r="J854" s="2" t="s">
        <v>25</v>
      </c>
      <c r="K854">
        <v>2.5</v>
      </c>
      <c r="L854" t="s">
        <v>12</v>
      </c>
      <c r="M854" t="s">
        <v>126</v>
      </c>
      <c r="N854" t="str">
        <f>IF(K854="N/A","No", IF(K854&gt;=20,"Yes","No"))</f>
        <v>No</v>
      </c>
      <c r="O854" t="str">
        <f>IF(K854="Not","No",IF(K854="n/a","N/A",IF(K854&gt;=$Y$6,"Yes","No")))</f>
        <v>No</v>
      </c>
      <c r="U854" t="s">
        <v>101</v>
      </c>
      <c r="V854" t="s">
        <v>9</v>
      </c>
      <c r="W854" t="s">
        <v>9</v>
      </c>
      <c r="X854" t="str">
        <f>IF(V854="N/A","N/A",IF(W854="N/A", "N/A", IF(V854=W854, "Yes","No")))</f>
        <v>Yes</v>
      </c>
    </row>
    <row r="855" spans="1:32" x14ac:dyDescent="0.2">
      <c r="F855" s="2"/>
      <c r="J855" s="2" t="s">
        <v>29</v>
      </c>
      <c r="K855">
        <v>2.5</v>
      </c>
      <c r="L855" t="s">
        <v>12</v>
      </c>
      <c r="M855" t="s">
        <v>222</v>
      </c>
      <c r="N855" t="str">
        <f>IF(K855="N/A","No", IF(K855&gt;20,"Yes","No"))</f>
        <v>No</v>
      </c>
      <c r="O855" t="str">
        <f t="shared" ref="O855" si="414">IF(K855="Not","No",IF(K855="n/a","N/A",IF(K855&gt;$Y$6,"Yes","No")))</f>
        <v>No</v>
      </c>
      <c r="U855" t="s">
        <v>104</v>
      </c>
      <c r="V855" t="s">
        <v>120</v>
      </c>
      <c r="W855" t="str">
        <f>O856</f>
        <v>No</v>
      </c>
      <c r="X855" t="str">
        <f>IF(V855="N/A","N/A",IF(W855="N/A", "N/A", IF(V855=W855, "Yes","No")))</f>
        <v>N/A</v>
      </c>
    </row>
    <row r="856" spans="1:32" x14ac:dyDescent="0.2">
      <c r="F856" s="2"/>
      <c r="J856" s="2" t="s">
        <v>34</v>
      </c>
      <c r="K856">
        <v>2.5</v>
      </c>
      <c r="L856" t="s">
        <v>12</v>
      </c>
      <c r="M856" t="s">
        <v>210</v>
      </c>
      <c r="N856" t="str">
        <f>IF(K856="N/A","No", IF(K856&gt;230,"Yes","No"))</f>
        <v>No</v>
      </c>
      <c r="O856" t="str">
        <f>IF(K856="Not","No",IF(K856="n/a","N/A",IF(K856&gt;$Y$5,"Yes","No")))</f>
        <v>No</v>
      </c>
      <c r="U856" t="s">
        <v>106</v>
      </c>
      <c r="V856" t="str">
        <f>R851</f>
        <v>No</v>
      </c>
      <c r="W856" t="str">
        <f>S851</f>
        <v>No</v>
      </c>
      <c r="X856" t="str">
        <f>IF(V856="N/A","N/A",IF(W856="N/A", "N/A", IF(V856=W856, "Yes","No")))</f>
        <v>Yes</v>
      </c>
    </row>
    <row r="857" spans="1:32" x14ac:dyDescent="0.2">
      <c r="J857" s="2" t="s">
        <v>208</v>
      </c>
      <c r="K857">
        <v>34</v>
      </c>
      <c r="L857" t="s">
        <v>12</v>
      </c>
      <c r="M857" t="s">
        <v>223</v>
      </c>
      <c r="N857" t="str">
        <f>IF(K857="N/A","No", IF(K857&gt;20,"Yes","No"))</f>
        <v>Yes</v>
      </c>
      <c r="O857" t="str">
        <f>IF(K857="Not","No",IF(K857="n/a","N/A",IF(K857&gt;$Y$7,"Yes","No")))</f>
        <v>No</v>
      </c>
      <c r="U857" t="s">
        <v>121</v>
      </c>
      <c r="V857" t="str">
        <f>R852</f>
        <v>No</v>
      </c>
      <c r="W857" t="str">
        <f>S852</f>
        <v>No</v>
      </c>
      <c r="X857" t="str">
        <f>IF(V857="N/A","N/A",IF(W857="N/A", "N/A", IF(V857=W857, "Yes","No")))</f>
        <v>Yes</v>
      </c>
    </row>
    <row r="859" spans="1:32" x14ac:dyDescent="0.2">
      <c r="A859" s="1">
        <f>VLOOKUP(C859,'Grid - LRA Samples'!$A$2:$B$108, 2,FALSE)</f>
        <v>1519</v>
      </c>
      <c r="B859" t="s">
        <v>111</v>
      </c>
      <c r="C859">
        <v>89</v>
      </c>
    </row>
    <row r="860" spans="1:32" x14ac:dyDescent="0.2">
      <c r="A860" s="5" t="s">
        <v>0</v>
      </c>
      <c r="E860" s="2" t="s">
        <v>274</v>
      </c>
      <c r="F860" s="2" t="s">
        <v>275</v>
      </c>
      <c r="G860" t="s">
        <v>119</v>
      </c>
      <c r="J860" s="5" t="s">
        <v>1</v>
      </c>
      <c r="N860" s="2" t="s">
        <v>277</v>
      </c>
      <c r="O860" t="s">
        <v>278</v>
      </c>
      <c r="Q860" s="5" t="s">
        <v>115</v>
      </c>
      <c r="R860" s="5" t="s">
        <v>0</v>
      </c>
      <c r="S860" s="5" t="s">
        <v>1</v>
      </c>
      <c r="U860" s="5" t="s">
        <v>115</v>
      </c>
      <c r="V860" s="5" t="s">
        <v>0</v>
      </c>
      <c r="W860" s="5" t="s">
        <v>1</v>
      </c>
      <c r="X860" s="5" t="s">
        <v>122</v>
      </c>
      <c r="AA860" t="str">
        <f>IF(R861="Yes","LRA-Soil","")</f>
        <v/>
      </c>
      <c r="AB860" t="str">
        <f>IF(R862="Yes","LRA-Paint","")</f>
        <v/>
      </c>
      <c r="AC860" t="str">
        <f>IF(R863="Yes","LRA-Dust","")</f>
        <v/>
      </c>
      <c r="AD860" t="str">
        <f>IF(S861="Yes","LSK-Soil","")</f>
        <v/>
      </c>
      <c r="AE860" t="str">
        <f>IF(S862="Yes","LSK-Paint","")</f>
        <v/>
      </c>
      <c r="AF860" t="str">
        <f>IF(S863="Yes","LSK-Dust","")</f>
        <v/>
      </c>
    </row>
    <row r="861" spans="1:32" x14ac:dyDescent="0.2">
      <c r="A861" t="s">
        <v>63</v>
      </c>
      <c r="B861" t="s">
        <v>3</v>
      </c>
      <c r="C861">
        <v>0</v>
      </c>
      <c r="D861" t="s">
        <v>4</v>
      </c>
      <c r="F861" s="2" t="str">
        <f t="shared" ref="F861" si="415">IF(C861&gt;=$W$2,"Yes","No")</f>
        <v>No</v>
      </c>
      <c r="G861" t="s">
        <v>9</v>
      </c>
      <c r="H861" t="s">
        <v>46</v>
      </c>
      <c r="J861" s="2" t="s">
        <v>6</v>
      </c>
      <c r="K861">
        <v>24.9</v>
      </c>
      <c r="L861" t="s">
        <v>12</v>
      </c>
      <c r="M861" t="s">
        <v>114</v>
      </c>
      <c r="N861" t="str">
        <f>IF(K861="N/A","No", IF(K861&gt;1200,"Yes","No"))</f>
        <v>No</v>
      </c>
      <c r="O861" t="str">
        <f>IF(K861="Not","No",IF(K861="n/a","N/A",IF(K861&gt;=$Y$3,"Yes","No")))</f>
        <v>No</v>
      </c>
      <c r="Q861" s="2" t="s">
        <v>116</v>
      </c>
      <c r="R861" t="str">
        <f>_xlfn.XLOOKUP("ppm",D861:D865,F861:F865,"N/A")</f>
        <v>No</v>
      </c>
      <c r="S861" t="str">
        <f>IF(COUNTIF(O861:O863,"Yes"),"Yes","No")</f>
        <v>No</v>
      </c>
      <c r="U861" t="s">
        <v>92</v>
      </c>
      <c r="V861" t="s">
        <v>120</v>
      </c>
      <c r="W861" t="s">
        <v>120</v>
      </c>
      <c r="X861" t="str">
        <f>IF(V861="N/A","N/A",IF(W861="N/A", "N/A", IF(V861=W861, "Yes","No")))</f>
        <v>N/A</v>
      </c>
      <c r="AF861" t="str">
        <f>IF(S851="Yes","LSK-Dust","")</f>
        <v/>
      </c>
    </row>
    <row r="862" spans="1:32" x14ac:dyDescent="0.2">
      <c r="A862" t="s">
        <v>83</v>
      </c>
      <c r="B862" t="s">
        <v>69</v>
      </c>
      <c r="C862" t="s">
        <v>397</v>
      </c>
      <c r="D862" t="s">
        <v>12</v>
      </c>
      <c r="F862" s="29" t="s">
        <v>9</v>
      </c>
      <c r="G862" s="2" t="s">
        <v>9</v>
      </c>
      <c r="J862" s="2" t="s">
        <v>11</v>
      </c>
      <c r="K862">
        <v>25.6</v>
      </c>
      <c r="L862" t="s">
        <v>12</v>
      </c>
      <c r="M862" t="s">
        <v>67</v>
      </c>
      <c r="N862" t="str">
        <f t="shared" ref="N862:N863" si="416">IF(K862="N/A","No", IF(K862&gt;1200,"Yes","No"))</f>
        <v>No</v>
      </c>
      <c r="O862" t="str">
        <f t="shared" ref="O862:O863" si="417">IF(K862="Not","No",IF(K862="n/a","N/A",IF(K862&gt;$Y$3,"Yes","No")))</f>
        <v>No</v>
      </c>
      <c r="Q862" s="2" t="s">
        <v>98</v>
      </c>
      <c r="R862" t="str">
        <f>_xlfn.XLOOKUP("mg/cm2",D861:D865,G861:G865,"N/A",1,-1)</f>
        <v>No</v>
      </c>
      <c r="S862" t="str">
        <f>IF(COUNTIF(O864:O865,"Yes"),"Yes","No")</f>
        <v>No</v>
      </c>
      <c r="U862" t="s">
        <v>95</v>
      </c>
      <c r="V862" t="str">
        <f>R861</f>
        <v>No</v>
      </c>
      <c r="W862" t="str">
        <f>S861</f>
        <v>No</v>
      </c>
      <c r="X862" t="str">
        <f t="shared" ref="X862:X865" si="418">IF(V862="N/A","N/A",IF(W862="N/A", "N/A", IF(V862=W862, "Yes","No")))</f>
        <v>Yes</v>
      </c>
    </row>
    <row r="863" spans="1:32" x14ac:dyDescent="0.2">
      <c r="A863" t="s">
        <v>71</v>
      </c>
      <c r="B863" t="s">
        <v>40</v>
      </c>
      <c r="C863">
        <v>0</v>
      </c>
      <c r="D863" t="s">
        <v>4</v>
      </c>
      <c r="F863" s="2" t="str">
        <f t="shared" ref="F863" si="419">IF(C863&gt;=$W$2,"Yes","No")</f>
        <v>No</v>
      </c>
      <c r="G863" t="s">
        <v>9</v>
      </c>
      <c r="H863" t="s">
        <v>43</v>
      </c>
      <c r="J863" s="2" t="s">
        <v>15</v>
      </c>
      <c r="K863">
        <v>17.7</v>
      </c>
      <c r="L863" t="s">
        <v>12</v>
      </c>
      <c r="M863" t="s">
        <v>112</v>
      </c>
      <c r="N863" t="str">
        <f t="shared" si="416"/>
        <v>No</v>
      </c>
      <c r="O863" t="str">
        <f t="shared" si="417"/>
        <v>No</v>
      </c>
      <c r="Q863" s="2" t="s">
        <v>117</v>
      </c>
      <c r="R863" t="str">
        <f>_xlfn.XLOOKUP("ug/ft2",D861:D865,F861:F865,"N/A")</f>
        <v>No</v>
      </c>
      <c r="S863" t="str">
        <f>IF(COUNTIF(O866:O869,"Yes"),"Yes","No")</f>
        <v>No</v>
      </c>
      <c r="U863" t="s">
        <v>163</v>
      </c>
      <c r="V863" t="s">
        <v>9</v>
      </c>
      <c r="W863" t="str">
        <f>O865</f>
        <v>No</v>
      </c>
      <c r="X863" t="str">
        <f t="shared" si="418"/>
        <v>Yes</v>
      </c>
    </row>
    <row r="864" spans="1:32" x14ac:dyDescent="0.2">
      <c r="A864" t="s">
        <v>71</v>
      </c>
      <c r="B864" t="s">
        <v>32</v>
      </c>
      <c r="C864">
        <v>3</v>
      </c>
      <c r="D864" t="s">
        <v>33</v>
      </c>
      <c r="F864" s="2" t="str">
        <f t="shared" ref="F864" si="420">IF(C864&gt;$W$6,"Yes","No")</f>
        <v>No</v>
      </c>
      <c r="G864" t="s">
        <v>9</v>
      </c>
      <c r="J864" s="2" t="s">
        <v>19</v>
      </c>
      <c r="K864">
        <v>2.5</v>
      </c>
      <c r="L864" t="s">
        <v>12</v>
      </c>
      <c r="M864" t="s">
        <v>46</v>
      </c>
      <c r="N864" t="str">
        <f>IF(K864="N/A","No", IF(K864&gt;5000,"Yes","No"))</f>
        <v>No</v>
      </c>
      <c r="O864" t="str">
        <f>IF(K864="Not","No",IF(K864="n/a","N/A",IF(K864&gt;$Y$2,"Yes","No")))</f>
        <v>No</v>
      </c>
      <c r="Q864" s="2" t="s">
        <v>118</v>
      </c>
      <c r="R864" t="str">
        <f>IF(COUNTIF(R861:R863,"Yes"),"Yes","No")</f>
        <v>No</v>
      </c>
      <c r="S864" t="str">
        <f>IF(COUNTIF(S861:S863,"Yes"),"Yes","No")</f>
        <v>No</v>
      </c>
      <c r="U864" t="s">
        <v>164</v>
      </c>
      <c r="V864" t="s">
        <v>9</v>
      </c>
      <c r="W864" t="str">
        <f>O864</f>
        <v>No</v>
      </c>
      <c r="X864" t="str">
        <f t="shared" si="418"/>
        <v>Yes</v>
      </c>
    </row>
    <row r="865" spans="1:32" x14ac:dyDescent="0.2">
      <c r="A865" t="s">
        <v>73</v>
      </c>
      <c r="B865" t="s">
        <v>56</v>
      </c>
      <c r="C865">
        <v>0.01</v>
      </c>
      <c r="D865" t="s">
        <v>4</v>
      </c>
      <c r="F865" s="2" t="str">
        <f t="shared" ref="F865" si="421">IF(C865&gt;=$W$2,"Yes","No")</f>
        <v>No</v>
      </c>
      <c r="G865" t="s">
        <v>9</v>
      </c>
      <c r="J865" s="2" t="s">
        <v>22</v>
      </c>
      <c r="K865">
        <v>2.5</v>
      </c>
      <c r="L865" t="s">
        <v>12</v>
      </c>
      <c r="M865" t="s">
        <v>43</v>
      </c>
      <c r="N865" t="str">
        <f>IF(K865="N/A","No", IF(K865&gt;5000,"Yes","No"))</f>
        <v>No</v>
      </c>
      <c r="O865" t="str">
        <f>IF(K865="Not","No",IF(K865="n/a","N/A",IF(K865&gt;$Y$2,"Yes","No")))</f>
        <v>No</v>
      </c>
      <c r="U865" t="s">
        <v>162</v>
      </c>
      <c r="V865" t="str">
        <f>R862</f>
        <v>No</v>
      </c>
      <c r="W865" t="str">
        <f>S862</f>
        <v>No</v>
      </c>
      <c r="X865" t="str">
        <f t="shared" si="418"/>
        <v>Yes</v>
      </c>
    </row>
    <row r="866" spans="1:32" x14ac:dyDescent="0.2">
      <c r="F866" s="2"/>
      <c r="J866" s="2" t="s">
        <v>25</v>
      </c>
      <c r="K866">
        <v>2.5</v>
      </c>
      <c r="L866" t="s">
        <v>12</v>
      </c>
      <c r="M866" t="s">
        <v>126</v>
      </c>
      <c r="N866" t="str">
        <f>IF(K866="N/A","No", IF(K866&gt;=20,"Yes","No"))</f>
        <v>No</v>
      </c>
      <c r="O866" t="str">
        <f>IF(K866="Not","No",IF(K866="n/a","N/A",IF(K866&gt;=$Y$6,"Yes","No")))</f>
        <v>No</v>
      </c>
      <c r="U866" t="s">
        <v>101</v>
      </c>
      <c r="V866" t="s">
        <v>9</v>
      </c>
      <c r="W866" t="s">
        <v>9</v>
      </c>
      <c r="X866" t="str">
        <f>IF(V866="N/A","N/A",IF(W866="N/A", "N/A", IF(V866=W866, "Yes","No")))</f>
        <v>Yes</v>
      </c>
    </row>
    <row r="867" spans="1:32" x14ac:dyDescent="0.2">
      <c r="F867" s="2"/>
      <c r="J867" s="2" t="s">
        <v>29</v>
      </c>
      <c r="K867">
        <v>5</v>
      </c>
      <c r="L867" t="s">
        <v>12</v>
      </c>
      <c r="M867" t="s">
        <v>222</v>
      </c>
      <c r="N867" t="str">
        <f>IF(K867="N/A","No", IF(K867&gt;20,"Yes","No"))</f>
        <v>No</v>
      </c>
      <c r="O867" t="str">
        <f t="shared" ref="O867" si="422">IF(K867="Not","No",IF(K867="n/a","N/A",IF(K867&gt;$Y$6,"Yes","No")))</f>
        <v>No</v>
      </c>
      <c r="U867" t="s">
        <v>104</v>
      </c>
      <c r="V867" t="s">
        <v>120</v>
      </c>
      <c r="W867" t="str">
        <f>O868</f>
        <v>No</v>
      </c>
      <c r="X867" t="str">
        <f>IF(V867="N/A","N/A",IF(W867="N/A", "N/A", IF(V867=W867, "Yes","No")))</f>
        <v>N/A</v>
      </c>
    </row>
    <row r="868" spans="1:32" x14ac:dyDescent="0.2">
      <c r="F868" s="2"/>
      <c r="J868" s="2" t="s">
        <v>34</v>
      </c>
      <c r="K868">
        <v>2.5</v>
      </c>
      <c r="L868" t="s">
        <v>12</v>
      </c>
      <c r="M868" t="s">
        <v>210</v>
      </c>
      <c r="N868" t="str">
        <f>IF(K868="N/A","No", IF(K868&gt;230,"Yes","No"))</f>
        <v>No</v>
      </c>
      <c r="O868" t="str">
        <f>IF(K868="Not","No",IF(K868="n/a","N/A",IF(K868&gt;$Y$5,"Yes","No")))</f>
        <v>No</v>
      </c>
      <c r="U868" t="s">
        <v>106</v>
      </c>
      <c r="V868" t="str">
        <f>R863</f>
        <v>No</v>
      </c>
      <c r="W868" t="str">
        <f>S863</f>
        <v>No</v>
      </c>
      <c r="X868" t="str">
        <f>IF(V868="N/A","N/A",IF(W868="N/A", "N/A", IF(V868=W868, "Yes","No")))</f>
        <v>Yes</v>
      </c>
    </row>
    <row r="869" spans="1:32" x14ac:dyDescent="0.2">
      <c r="J869" s="2" t="s">
        <v>208</v>
      </c>
      <c r="K869">
        <v>32</v>
      </c>
      <c r="L869" t="s">
        <v>12</v>
      </c>
      <c r="M869" t="s">
        <v>223</v>
      </c>
      <c r="N869" t="str">
        <f>IF(K869="N/A","No", IF(K869&gt;20,"Yes","No"))</f>
        <v>Yes</v>
      </c>
      <c r="O869" t="str">
        <f>IF(K869="Not","No",IF(K869="n/a","N/A",IF(K869&gt;$Y$7,"Yes","No")))</f>
        <v>No</v>
      </c>
      <c r="U869" t="s">
        <v>121</v>
      </c>
      <c r="V869" t="str">
        <f>R864</f>
        <v>No</v>
      </c>
      <c r="W869" t="str">
        <f>S864</f>
        <v>No</v>
      </c>
      <c r="X869" t="str">
        <f>IF(V869="N/A","N/A",IF(W869="N/A", "N/A", IF(V869=W869, "Yes","No")))</f>
        <v>Yes</v>
      </c>
    </row>
    <row r="871" spans="1:32" x14ac:dyDescent="0.2">
      <c r="A871" s="1">
        <f>VLOOKUP(C871,'Grid - LRA Samples'!$A$2:$B$108, 2,FALSE)</f>
        <v>1520</v>
      </c>
      <c r="B871" t="s">
        <v>111</v>
      </c>
      <c r="C871">
        <v>90</v>
      </c>
    </row>
    <row r="872" spans="1:32" x14ac:dyDescent="0.2">
      <c r="A872" s="5" t="s">
        <v>0</v>
      </c>
      <c r="E872" s="2" t="s">
        <v>274</v>
      </c>
      <c r="F872" s="2" t="s">
        <v>275</v>
      </c>
      <c r="G872" t="s">
        <v>119</v>
      </c>
      <c r="J872" s="5" t="s">
        <v>1</v>
      </c>
      <c r="N872" s="2" t="s">
        <v>277</v>
      </c>
      <c r="O872" t="s">
        <v>278</v>
      </c>
      <c r="Q872" s="5" t="s">
        <v>115</v>
      </c>
      <c r="R872" s="5" t="s">
        <v>0</v>
      </c>
      <c r="S872" s="5" t="s">
        <v>1</v>
      </c>
      <c r="U872" s="5" t="s">
        <v>115</v>
      </c>
      <c r="V872" s="5" t="s">
        <v>0</v>
      </c>
      <c r="W872" s="5" t="s">
        <v>1</v>
      </c>
      <c r="X872" s="5" t="s">
        <v>122</v>
      </c>
      <c r="AA872" t="str">
        <f>IF(R873="Yes","LRA-Soil","")</f>
        <v>LRA-Soil</v>
      </c>
      <c r="AB872" t="str">
        <f>IF(R874="Yes","LRA-Paint","")</f>
        <v>LRA-Paint</v>
      </c>
      <c r="AC872" t="str">
        <f>IF(R875="Yes","LRA-Dust","")</f>
        <v/>
      </c>
      <c r="AD872" t="str">
        <f>IF(S873="Yes","LSK-Soil","")</f>
        <v>LSK-Soil</v>
      </c>
      <c r="AE872" t="str">
        <f>IF(S874="Yes","LSK-Paint","")</f>
        <v>LSK-Paint</v>
      </c>
      <c r="AF872" t="str">
        <f>IF(S875="Yes","LSK-Dust","")</f>
        <v>LSK-Dust</v>
      </c>
    </row>
    <row r="873" spans="1:32" x14ac:dyDescent="0.2">
      <c r="A873" t="s">
        <v>63</v>
      </c>
      <c r="B873" t="s">
        <v>203</v>
      </c>
      <c r="C873">
        <v>2.1</v>
      </c>
      <c r="D873" t="s">
        <v>4</v>
      </c>
      <c r="F873" s="2" t="str">
        <f t="shared" ref="F873:F890" si="423">IF(C873&gt;=$W$2,"Yes","No")</f>
        <v>Yes</v>
      </c>
      <c r="G873" t="s">
        <v>5</v>
      </c>
      <c r="H873" t="s">
        <v>46</v>
      </c>
      <c r="J873" s="2" t="s">
        <v>6</v>
      </c>
      <c r="K873">
        <v>252</v>
      </c>
      <c r="L873" t="s">
        <v>12</v>
      </c>
      <c r="M873" t="s">
        <v>114</v>
      </c>
      <c r="N873" t="str">
        <f>IF(K873="N/A","No", IF(K873&gt;1200,"Yes","No"))</f>
        <v>No</v>
      </c>
      <c r="O873" t="str">
        <f>IF(K873="Not","No",IF(K873="n/a","N/A",IF(K873&gt;=$Y$3,"Yes","No")))</f>
        <v>No</v>
      </c>
      <c r="Q873" s="2" t="s">
        <v>116</v>
      </c>
      <c r="R873" t="str">
        <f>_xlfn.XLOOKUP("ppm",D873:D892,F873:F892,"N/A")</f>
        <v>Yes</v>
      </c>
      <c r="S873" t="str">
        <f>IF(COUNTIF(O873:O875,"Yes"),"Yes","No")</f>
        <v>Yes</v>
      </c>
      <c r="U873" t="s">
        <v>92</v>
      </c>
      <c r="V873" t="s">
        <v>120</v>
      </c>
      <c r="W873" t="s">
        <v>120</v>
      </c>
      <c r="X873" t="str">
        <f>IF(V873="N/A","N/A",IF(W873="N/A", "N/A", IF(V873=W873, "Yes","No")))</f>
        <v>N/A</v>
      </c>
    </row>
    <row r="874" spans="1:32" x14ac:dyDescent="0.2">
      <c r="A874" t="s">
        <v>63</v>
      </c>
      <c r="B874" t="s">
        <v>24</v>
      </c>
      <c r="C874">
        <v>1.1000000000000001</v>
      </c>
      <c r="D874" t="s">
        <v>4</v>
      </c>
      <c r="F874" s="2" t="str">
        <f t="shared" si="423"/>
        <v>Yes</v>
      </c>
      <c r="G874" s="2" t="s">
        <v>5</v>
      </c>
      <c r="H874" t="s">
        <v>46</v>
      </c>
      <c r="J874" s="2" t="s">
        <v>11</v>
      </c>
      <c r="K874">
        <v>238</v>
      </c>
      <c r="L874" t="s">
        <v>12</v>
      </c>
      <c r="M874" t="s">
        <v>67</v>
      </c>
      <c r="N874" t="str">
        <f t="shared" ref="N874:N875" si="424">IF(K874="N/A","No", IF(K874&gt;1200,"Yes","No"))</f>
        <v>No</v>
      </c>
      <c r="O874" t="str">
        <f t="shared" ref="O874:O875" si="425">IF(K874="Not","No",IF(K874="n/a","N/A",IF(K874&gt;$Y$3,"Yes","No")))</f>
        <v>No</v>
      </c>
      <c r="Q874" s="2" t="s">
        <v>98</v>
      </c>
      <c r="R874" t="str">
        <f>_xlfn.XLOOKUP("mg/cm2",D873:D892,G873:G892,"N/A",1,-1)</f>
        <v>Yes</v>
      </c>
      <c r="S874" t="str">
        <f>IF(COUNTIF(O876:O877,"Yes"),"Yes","No")</f>
        <v>Yes</v>
      </c>
      <c r="U874" t="s">
        <v>95</v>
      </c>
      <c r="V874" t="str">
        <f>R873</f>
        <v>Yes</v>
      </c>
      <c r="W874" t="str">
        <f>S873</f>
        <v>Yes</v>
      </c>
      <c r="X874" t="str">
        <f t="shared" ref="X874:X877" si="426">IF(V874="N/A","N/A",IF(W874="N/A", "N/A", IF(V874=W874, "Yes","No")))</f>
        <v>Yes</v>
      </c>
    </row>
    <row r="875" spans="1:32" x14ac:dyDescent="0.2">
      <c r="A875" t="s">
        <v>63</v>
      </c>
      <c r="B875" t="s">
        <v>24</v>
      </c>
      <c r="C875">
        <v>15.2</v>
      </c>
      <c r="D875" t="s">
        <v>4</v>
      </c>
      <c r="F875" s="2" t="str">
        <f t="shared" si="423"/>
        <v>Yes</v>
      </c>
      <c r="G875" t="s">
        <v>5</v>
      </c>
      <c r="H875" t="s">
        <v>46</v>
      </c>
      <c r="J875" s="2" t="s">
        <v>15</v>
      </c>
      <c r="K875">
        <v>10773</v>
      </c>
      <c r="L875" t="s">
        <v>12</v>
      </c>
      <c r="M875" t="s">
        <v>112</v>
      </c>
      <c r="N875" t="str">
        <f t="shared" si="424"/>
        <v>Yes</v>
      </c>
      <c r="O875" t="str">
        <f t="shared" si="425"/>
        <v>Yes</v>
      </c>
      <c r="Q875" s="2" t="s">
        <v>117</v>
      </c>
      <c r="R875" t="str">
        <f>_xlfn.XLOOKUP("ug/ft2",D873:D892,F873:F892,"N/A")</f>
        <v>No</v>
      </c>
      <c r="S875" t="str">
        <f>IF(COUNTIF(O878:O881,"Yes"),"Yes","No")</f>
        <v>Yes</v>
      </c>
      <c r="U875" t="s">
        <v>163</v>
      </c>
      <c r="V875" t="s">
        <v>5</v>
      </c>
      <c r="W875" t="str">
        <f>O877</f>
        <v>No</v>
      </c>
      <c r="X875" t="str">
        <f t="shared" si="426"/>
        <v>No</v>
      </c>
    </row>
    <row r="876" spans="1:32" x14ac:dyDescent="0.2">
      <c r="A876" t="s">
        <v>83</v>
      </c>
      <c r="B876" t="s">
        <v>69</v>
      </c>
      <c r="C876">
        <v>660</v>
      </c>
      <c r="D876" t="s">
        <v>12</v>
      </c>
      <c r="F876" s="2" t="str">
        <f t="shared" ref="F876:F878" si="427">IF(C876&gt;$W$3,"Yes","No")</f>
        <v>Yes</v>
      </c>
      <c r="G876" t="s">
        <v>9</v>
      </c>
      <c r="J876" s="2" t="s">
        <v>19</v>
      </c>
      <c r="K876">
        <v>17462</v>
      </c>
      <c r="L876" t="s">
        <v>12</v>
      </c>
      <c r="M876" t="s">
        <v>46</v>
      </c>
      <c r="N876" t="str">
        <f>IF(K876="N/A","No", IF(K876&gt;5000,"Yes","No"))</f>
        <v>Yes</v>
      </c>
      <c r="O876" t="str">
        <f>IF(K876="Not","No",IF(K876="n/a","N/A",IF(K876&gt;$Y$2,"Yes","No")))</f>
        <v>Yes</v>
      </c>
      <c r="Q876" s="2" t="s">
        <v>118</v>
      </c>
      <c r="R876" t="str">
        <f>IF(COUNTIF(R873:R875,"Yes"),"Yes","No")</f>
        <v>Yes</v>
      </c>
      <c r="S876" t="str">
        <f>IF(COUNTIF(S873:S875,"Yes"),"Yes","No")</f>
        <v>Yes</v>
      </c>
      <c r="U876" t="s">
        <v>164</v>
      </c>
      <c r="V876" t="s">
        <v>5</v>
      </c>
      <c r="W876" t="str">
        <f>O876</f>
        <v>Yes</v>
      </c>
      <c r="X876" t="str">
        <f t="shared" si="426"/>
        <v>Yes</v>
      </c>
    </row>
    <row r="877" spans="1:32" x14ac:dyDescent="0.2">
      <c r="A877" t="s">
        <v>75</v>
      </c>
      <c r="B877" t="s">
        <v>28</v>
      </c>
      <c r="C877">
        <v>260</v>
      </c>
      <c r="D877" t="s">
        <v>12</v>
      </c>
      <c r="F877" s="2" t="str">
        <f t="shared" si="427"/>
        <v>No</v>
      </c>
      <c r="G877" t="s">
        <v>9</v>
      </c>
      <c r="J877" s="2" t="s">
        <v>22</v>
      </c>
      <c r="K877">
        <v>99</v>
      </c>
      <c r="L877" t="s">
        <v>12</v>
      </c>
      <c r="M877" t="s">
        <v>43</v>
      </c>
      <c r="N877" t="str">
        <f>IF(K877="N/A","No", IF(K877&gt;5000,"Yes","No"))</f>
        <v>No</v>
      </c>
      <c r="O877" t="str">
        <f>IF(K877="Not","No",IF(K877="n/a","N/A",IF(K877&gt;$Y$2,"Yes","No")))</f>
        <v>No</v>
      </c>
      <c r="U877" t="s">
        <v>162</v>
      </c>
      <c r="V877" t="str">
        <f>R874</f>
        <v>Yes</v>
      </c>
      <c r="W877" t="str">
        <f>S874</f>
        <v>Yes</v>
      </c>
      <c r="X877" t="str">
        <f t="shared" si="426"/>
        <v>Yes</v>
      </c>
    </row>
    <row r="878" spans="1:32" x14ac:dyDescent="0.2">
      <c r="A878" t="s">
        <v>75</v>
      </c>
      <c r="B878" t="s">
        <v>301</v>
      </c>
      <c r="C878">
        <v>4300</v>
      </c>
      <c r="D878" t="s">
        <v>12</v>
      </c>
      <c r="F878" s="2" t="str">
        <f t="shared" si="427"/>
        <v>Yes</v>
      </c>
      <c r="G878" t="s">
        <v>5</v>
      </c>
      <c r="J878" s="2" t="s">
        <v>25</v>
      </c>
      <c r="K878">
        <v>813</v>
      </c>
      <c r="L878" t="s">
        <v>12</v>
      </c>
      <c r="M878" t="s">
        <v>126</v>
      </c>
      <c r="N878" t="str">
        <f>IF(K878="N/A","No", IF(K878&gt;=20,"Yes","No"))</f>
        <v>Yes</v>
      </c>
      <c r="O878" t="str">
        <f>IF(K878="Not","No",IF(K878="n/a","N/A",IF(K878&gt;=$Y$6,"Yes","No")))</f>
        <v>Yes</v>
      </c>
      <c r="U878" t="s">
        <v>101</v>
      </c>
      <c r="V878" t="s">
        <v>9</v>
      </c>
      <c r="W878" t="s">
        <v>5</v>
      </c>
      <c r="X878" t="str">
        <f>IF(V878="N/A","N/A",IF(W878="N/A", "N/A", IF(V878=W878, "Yes","No")))</f>
        <v>No</v>
      </c>
    </row>
    <row r="879" spans="1:32" x14ac:dyDescent="0.2">
      <c r="A879" t="s">
        <v>113</v>
      </c>
      <c r="B879" t="s">
        <v>10</v>
      </c>
      <c r="C879">
        <v>7.6</v>
      </c>
      <c r="D879" t="s">
        <v>4</v>
      </c>
      <c r="F879" s="2" t="str">
        <f t="shared" si="423"/>
        <v>Yes</v>
      </c>
      <c r="G879" t="s">
        <v>5</v>
      </c>
      <c r="H879" t="s">
        <v>43</v>
      </c>
      <c r="J879" s="2" t="s">
        <v>29</v>
      </c>
      <c r="K879">
        <v>456</v>
      </c>
      <c r="L879" t="s">
        <v>12</v>
      </c>
      <c r="M879" t="s">
        <v>222</v>
      </c>
      <c r="N879" t="str">
        <f>IF(K879="N/A","No", IF(K879&gt;20,"Yes","No"))</f>
        <v>Yes</v>
      </c>
      <c r="O879" t="str">
        <f t="shared" ref="O879" si="428">IF(K879="Not","No",IF(K879="n/a","N/A",IF(K879&gt;$Y$6,"Yes","No")))</f>
        <v>Yes</v>
      </c>
      <c r="U879" t="s">
        <v>104</v>
      </c>
      <c r="V879" t="s">
        <v>9</v>
      </c>
      <c r="W879" t="str">
        <f>O880</f>
        <v>No</v>
      </c>
      <c r="X879" t="str">
        <f>IF(V879="N/A","N/A",IF(W879="N/A", "N/A", IF(V879=W879, "Yes","No")))</f>
        <v>Yes</v>
      </c>
    </row>
    <row r="880" spans="1:32" x14ac:dyDescent="0.2">
      <c r="A880" t="s">
        <v>113</v>
      </c>
      <c r="B880" t="s">
        <v>40</v>
      </c>
      <c r="C880">
        <v>27.2</v>
      </c>
      <c r="D880" t="s">
        <v>4</v>
      </c>
      <c r="F880" s="2" t="str">
        <f t="shared" si="423"/>
        <v>Yes</v>
      </c>
      <c r="G880" t="s">
        <v>5</v>
      </c>
      <c r="H880" t="s">
        <v>43</v>
      </c>
      <c r="J880" s="2" t="s">
        <v>34</v>
      </c>
      <c r="K880">
        <v>21</v>
      </c>
      <c r="L880" t="s">
        <v>12</v>
      </c>
      <c r="M880" t="s">
        <v>210</v>
      </c>
      <c r="N880" t="str">
        <f>IF(K880="N/A","No", IF(K880&gt;230,"Yes","No"))</f>
        <v>No</v>
      </c>
      <c r="O880" t="str">
        <f>IF(K880="Not","No",IF(K880="n/a","N/A",IF(K880&gt;$Y$5,"Yes","No")))</f>
        <v>No</v>
      </c>
      <c r="U880" t="s">
        <v>106</v>
      </c>
      <c r="V880" t="str">
        <f>R875</f>
        <v>No</v>
      </c>
      <c r="W880" t="str">
        <f>S875</f>
        <v>Yes</v>
      </c>
      <c r="X880" t="str">
        <f>IF(V880="N/A","N/A",IF(W880="N/A", "N/A", IF(V880=W880, "Yes","No")))</f>
        <v>No</v>
      </c>
    </row>
    <row r="881" spans="1:32" x14ac:dyDescent="0.2">
      <c r="A881" t="s">
        <v>113</v>
      </c>
      <c r="B881" t="s">
        <v>40</v>
      </c>
      <c r="C881">
        <v>30.1</v>
      </c>
      <c r="D881" t="s">
        <v>4</v>
      </c>
      <c r="F881" s="2" t="str">
        <f t="shared" si="423"/>
        <v>Yes</v>
      </c>
      <c r="G881" t="s">
        <v>5</v>
      </c>
      <c r="H881" t="s">
        <v>43</v>
      </c>
      <c r="J881" s="2" t="s">
        <v>208</v>
      </c>
      <c r="K881">
        <v>61</v>
      </c>
      <c r="L881" t="s">
        <v>12</v>
      </c>
      <c r="M881" t="s">
        <v>223</v>
      </c>
      <c r="N881" t="str">
        <f>IF(K881="N/A","No", IF(K881&gt;20,"Yes","No"))</f>
        <v>Yes</v>
      </c>
      <c r="O881" t="str">
        <f>IF(K881="Not","No",IF(K881="n/a","N/A",IF(K881&gt;$Y$7,"Yes","No")))</f>
        <v>No</v>
      </c>
      <c r="U881" t="s">
        <v>121</v>
      </c>
      <c r="V881" t="str">
        <f>R876</f>
        <v>Yes</v>
      </c>
      <c r="W881" t="str">
        <f>S876</f>
        <v>Yes</v>
      </c>
      <c r="X881" t="str">
        <f>IF(V881="N/A","N/A",IF(W881="N/A", "N/A", IF(V881=W881, "Yes","No")))</f>
        <v>Yes</v>
      </c>
    </row>
    <row r="882" spans="1:32" x14ac:dyDescent="0.2">
      <c r="A882" t="s">
        <v>113</v>
      </c>
      <c r="B882" t="s">
        <v>40</v>
      </c>
      <c r="C882">
        <v>25.1</v>
      </c>
      <c r="D882" t="s">
        <v>4</v>
      </c>
      <c r="F882" s="2" t="str">
        <f t="shared" si="423"/>
        <v>Yes</v>
      </c>
      <c r="G882" t="s">
        <v>5</v>
      </c>
      <c r="H882" t="s">
        <v>43</v>
      </c>
    </row>
    <row r="883" spans="1:32" x14ac:dyDescent="0.2">
      <c r="A883" t="s">
        <v>113</v>
      </c>
      <c r="B883" t="s">
        <v>24</v>
      </c>
      <c r="C883">
        <v>8.4</v>
      </c>
      <c r="D883" t="s">
        <v>4</v>
      </c>
      <c r="F883" s="2" t="str">
        <f t="shared" si="423"/>
        <v>Yes</v>
      </c>
      <c r="G883" t="s">
        <v>5</v>
      </c>
      <c r="H883" t="s">
        <v>43</v>
      </c>
    </row>
    <row r="884" spans="1:32" x14ac:dyDescent="0.2">
      <c r="A884" t="s">
        <v>113</v>
      </c>
      <c r="B884" t="s">
        <v>24</v>
      </c>
      <c r="C884">
        <v>8.6999999999999993</v>
      </c>
      <c r="D884" t="s">
        <v>4</v>
      </c>
      <c r="F884" s="2" t="str">
        <f t="shared" si="423"/>
        <v>Yes</v>
      </c>
      <c r="G884" t="s">
        <v>5</v>
      </c>
      <c r="H884" t="s">
        <v>43</v>
      </c>
    </row>
    <row r="885" spans="1:32" x14ac:dyDescent="0.2">
      <c r="A885" t="s">
        <v>113</v>
      </c>
      <c r="B885" t="s">
        <v>24</v>
      </c>
      <c r="C885">
        <v>6.9</v>
      </c>
      <c r="D885" t="s">
        <v>4</v>
      </c>
      <c r="F885" s="2" t="str">
        <f t="shared" si="423"/>
        <v>Yes</v>
      </c>
      <c r="G885" t="s">
        <v>5</v>
      </c>
      <c r="H885" t="s">
        <v>43</v>
      </c>
    </row>
    <row r="886" spans="1:32" x14ac:dyDescent="0.2">
      <c r="A886" t="s">
        <v>70</v>
      </c>
      <c r="B886" t="s">
        <v>40</v>
      </c>
      <c r="C886">
        <v>4.3</v>
      </c>
      <c r="D886" t="s">
        <v>4</v>
      </c>
      <c r="F886" s="2" t="str">
        <f t="shared" si="423"/>
        <v>Yes</v>
      </c>
      <c r="G886" t="s">
        <v>5</v>
      </c>
      <c r="H886" t="s">
        <v>43</v>
      </c>
    </row>
    <row r="887" spans="1:32" x14ac:dyDescent="0.2">
      <c r="A887" t="s">
        <v>70</v>
      </c>
      <c r="B887" t="s">
        <v>40</v>
      </c>
      <c r="C887">
        <v>4.9000000000000004</v>
      </c>
      <c r="D887" t="s">
        <v>4</v>
      </c>
      <c r="F887" s="2" t="str">
        <f t="shared" si="423"/>
        <v>Yes</v>
      </c>
      <c r="G887" t="s">
        <v>5</v>
      </c>
      <c r="H887" t="s">
        <v>43</v>
      </c>
    </row>
    <row r="888" spans="1:32" x14ac:dyDescent="0.2">
      <c r="A888" t="s">
        <v>64</v>
      </c>
      <c r="B888" t="s">
        <v>40</v>
      </c>
      <c r="C888">
        <v>13.2</v>
      </c>
      <c r="D888" t="s">
        <v>4</v>
      </c>
      <c r="F888" s="2" t="str">
        <f t="shared" si="423"/>
        <v>Yes</v>
      </c>
      <c r="G888" t="s">
        <v>5</v>
      </c>
      <c r="H888" t="s">
        <v>43</v>
      </c>
    </row>
    <row r="889" spans="1:32" x14ac:dyDescent="0.2">
      <c r="A889" t="s">
        <v>64</v>
      </c>
      <c r="B889" t="s">
        <v>40</v>
      </c>
      <c r="C889">
        <v>16.2</v>
      </c>
      <c r="D889" t="s">
        <v>4</v>
      </c>
      <c r="F889" s="2" t="str">
        <f t="shared" si="423"/>
        <v>Yes</v>
      </c>
      <c r="G889" t="s">
        <v>5</v>
      </c>
      <c r="H889" t="s">
        <v>43</v>
      </c>
    </row>
    <row r="890" spans="1:32" x14ac:dyDescent="0.2">
      <c r="A890" t="s">
        <v>64</v>
      </c>
      <c r="B890" t="s">
        <v>40</v>
      </c>
      <c r="C890">
        <v>20.2</v>
      </c>
      <c r="D890" t="s">
        <v>4</v>
      </c>
      <c r="F890" s="2" t="str">
        <f t="shared" si="423"/>
        <v>Yes</v>
      </c>
      <c r="G890" t="s">
        <v>5</v>
      </c>
      <c r="H890" t="s">
        <v>43</v>
      </c>
    </row>
    <row r="891" spans="1:32" x14ac:dyDescent="0.2">
      <c r="A891" t="s">
        <v>307</v>
      </c>
      <c r="B891" t="s">
        <v>54</v>
      </c>
      <c r="C891">
        <v>48</v>
      </c>
      <c r="D891" t="s">
        <v>33</v>
      </c>
      <c r="F891" s="2" t="str">
        <f t="shared" ref="F891" si="429">IF(C891&gt;$W$5,"Yes","No")</f>
        <v>No</v>
      </c>
      <c r="G891" t="s">
        <v>9</v>
      </c>
    </row>
    <row r="892" spans="1:32" x14ac:dyDescent="0.2">
      <c r="A892" t="s">
        <v>71</v>
      </c>
      <c r="B892" t="s">
        <v>32</v>
      </c>
      <c r="C892">
        <v>6.2</v>
      </c>
      <c r="D892" t="s">
        <v>33</v>
      </c>
      <c r="F892" s="2" t="str">
        <f t="shared" ref="F892" si="430">IF(C892&gt;$W$6,"Yes","No")</f>
        <v>No</v>
      </c>
      <c r="G892" t="s">
        <v>9</v>
      </c>
    </row>
    <row r="894" spans="1:32" x14ac:dyDescent="0.2">
      <c r="A894" s="1">
        <f>VLOOKUP(C894,'Grid - LRA Samples'!$A$2:$B$108, 2,FALSE)</f>
        <v>1547</v>
      </c>
      <c r="B894" t="s">
        <v>111</v>
      </c>
      <c r="C894">
        <v>91</v>
      </c>
    </row>
    <row r="895" spans="1:32" x14ac:dyDescent="0.2">
      <c r="A895" s="5" t="s">
        <v>0</v>
      </c>
      <c r="E895" s="2" t="s">
        <v>274</v>
      </c>
      <c r="F895" s="2" t="s">
        <v>275</v>
      </c>
      <c r="G895" t="s">
        <v>119</v>
      </c>
      <c r="J895" s="5" t="s">
        <v>1</v>
      </c>
      <c r="N895" s="2" t="s">
        <v>277</v>
      </c>
      <c r="O895" t="s">
        <v>278</v>
      </c>
      <c r="Q895" s="5" t="s">
        <v>115</v>
      </c>
      <c r="R895" s="5" t="s">
        <v>0</v>
      </c>
      <c r="S895" s="5" t="s">
        <v>1</v>
      </c>
      <c r="U895" s="5" t="s">
        <v>115</v>
      </c>
      <c r="V895" s="5" t="s">
        <v>0</v>
      </c>
      <c r="W895" s="5" t="s">
        <v>1</v>
      </c>
      <c r="X895" s="5" t="s">
        <v>122</v>
      </c>
      <c r="AA895" t="str">
        <f>IF(R896="Yes","LRA-Soil","")</f>
        <v/>
      </c>
      <c r="AB895" t="str">
        <f>IF(R897="Yes","LRA-Paint","")</f>
        <v/>
      </c>
      <c r="AC895" t="str">
        <f>IF(R898="Yes","LRA-Dust","")</f>
        <v/>
      </c>
      <c r="AD895" t="str">
        <f>IF(S896="Yes","LSK-Soil","")</f>
        <v/>
      </c>
      <c r="AE895" t="str">
        <f>IF(S897="Yes","LSK-Paint","")</f>
        <v/>
      </c>
      <c r="AF895" t="str">
        <f>IF(S898="Yes","LSK-Dust","")</f>
        <v/>
      </c>
    </row>
    <row r="896" spans="1:32" x14ac:dyDescent="0.2">
      <c r="A896" t="s">
        <v>185</v>
      </c>
      <c r="B896" t="s">
        <v>217</v>
      </c>
      <c r="C896">
        <v>0</v>
      </c>
      <c r="D896" t="s">
        <v>4</v>
      </c>
      <c r="E896" t="s">
        <v>9</v>
      </c>
      <c r="F896" s="2" t="str">
        <f t="shared" ref="F896" si="431">IF(C896&gt;=$W$2,"Yes","No")</f>
        <v>No</v>
      </c>
      <c r="G896" t="s">
        <v>9</v>
      </c>
      <c r="H896" t="s">
        <v>46</v>
      </c>
      <c r="J896" s="2" t="s">
        <v>6</v>
      </c>
      <c r="K896">
        <v>10.4</v>
      </c>
      <c r="L896" t="s">
        <v>12</v>
      </c>
      <c r="M896" t="s">
        <v>114</v>
      </c>
      <c r="N896" t="str">
        <f>IF(K896="N/A","No", IF(K896&gt;1200,"Yes","No"))</f>
        <v>No</v>
      </c>
      <c r="O896" t="str">
        <f>IF(K896="Not","No",IF(K896="n/a","N/A",IF(K896&gt;=$Y$3,"Yes","No")))</f>
        <v>No</v>
      </c>
      <c r="Q896" s="2" t="s">
        <v>116</v>
      </c>
      <c r="R896" t="str">
        <f>_xlfn.XLOOKUP("ppm",D896:D899,F896:F899,"N/A")</f>
        <v>No</v>
      </c>
      <c r="S896" t="str">
        <f>IF(COUNTIF(O896:O898,"Yes"),"Yes","No")</f>
        <v>No</v>
      </c>
      <c r="U896" t="s">
        <v>92</v>
      </c>
      <c r="V896" t="s">
        <v>120</v>
      </c>
      <c r="W896" t="s">
        <v>120</v>
      </c>
      <c r="X896" t="str">
        <f>IF(V896="N/A","N/A",IF(W896="N/A", "N/A", IF(V896=W896, "Yes","No")))</f>
        <v>N/A</v>
      </c>
    </row>
    <row r="897" spans="1:24" x14ac:dyDescent="0.2">
      <c r="A897" t="s">
        <v>187</v>
      </c>
      <c r="B897" t="s">
        <v>290</v>
      </c>
      <c r="C897">
        <v>13</v>
      </c>
      <c r="D897" t="s">
        <v>12</v>
      </c>
      <c r="E897" t="s">
        <v>9</v>
      </c>
      <c r="F897" s="2" t="str">
        <f t="shared" ref="F897" si="432">IF(C897&gt;$W$3,"Yes","No")</f>
        <v>No</v>
      </c>
      <c r="G897" s="2" t="s">
        <v>9</v>
      </c>
      <c r="J897" s="2" t="s">
        <v>11</v>
      </c>
      <c r="K897">
        <v>12.5</v>
      </c>
      <c r="L897" t="s">
        <v>12</v>
      </c>
      <c r="M897" t="s">
        <v>67</v>
      </c>
      <c r="N897" t="str">
        <f t="shared" ref="N897:N898" si="433">IF(K897="N/A","No", IF(K897&gt;1200,"Yes","No"))</f>
        <v>No</v>
      </c>
      <c r="O897" t="str">
        <f t="shared" ref="O897:O898" si="434">IF(K897="Not","No",IF(K897="n/a","N/A",IF(K897&gt;$Y$3,"Yes","No")))</f>
        <v>No</v>
      </c>
      <c r="Q897" s="2" t="s">
        <v>98</v>
      </c>
      <c r="R897" t="str">
        <f>_xlfn.XLOOKUP("mg/cm2",D896:D899,G896:G899,"N/A",1,-1)</f>
        <v>No</v>
      </c>
      <c r="S897" t="str">
        <f>IF(COUNTIF(O899:O900,"Yes"),"Yes","No")</f>
        <v>No</v>
      </c>
      <c r="U897" t="s">
        <v>95</v>
      </c>
      <c r="V897" t="str">
        <f>R896</f>
        <v>No</v>
      </c>
      <c r="W897" t="str">
        <f>S896</f>
        <v>No</v>
      </c>
      <c r="X897" t="str">
        <f t="shared" ref="X897:X900" si="435">IF(V897="N/A","N/A",IF(W897="N/A", "N/A", IF(V897=W897, "Yes","No")))</f>
        <v>Yes</v>
      </c>
    </row>
    <row r="898" spans="1:24" x14ac:dyDescent="0.2">
      <c r="A898" t="s">
        <v>191</v>
      </c>
      <c r="B898" t="s">
        <v>189</v>
      </c>
      <c r="C898">
        <v>0</v>
      </c>
      <c r="D898" t="s">
        <v>4</v>
      </c>
      <c r="E898" t="s">
        <v>9</v>
      </c>
      <c r="F898" s="2" t="str">
        <f t="shared" ref="F898" si="436">IF(C898&gt;=$W$2,"Yes","No")</f>
        <v>No</v>
      </c>
      <c r="G898" t="s">
        <v>9</v>
      </c>
      <c r="H898" t="s">
        <v>43</v>
      </c>
      <c r="J898" s="2" t="s">
        <v>15</v>
      </c>
      <c r="K898">
        <v>11.3</v>
      </c>
      <c r="L898" t="s">
        <v>12</v>
      </c>
      <c r="M898" t="s">
        <v>112</v>
      </c>
      <c r="N898" t="str">
        <f t="shared" si="433"/>
        <v>No</v>
      </c>
      <c r="O898" t="str">
        <f t="shared" si="434"/>
        <v>No</v>
      </c>
      <c r="Q898" s="2" t="s">
        <v>117</v>
      </c>
      <c r="R898" t="str">
        <f>_xlfn.XLOOKUP("ug/ft2",D896:D899,F896:F899,"N/A")</f>
        <v>No</v>
      </c>
      <c r="S898" t="str">
        <f>IF(COUNTIF(O901:O904,"Yes"),"Yes","No")</f>
        <v>No</v>
      </c>
      <c r="U898" t="s">
        <v>163</v>
      </c>
      <c r="V898" t="s">
        <v>9</v>
      </c>
      <c r="W898" t="str">
        <f>O900</f>
        <v>No</v>
      </c>
      <c r="X898" t="str">
        <f t="shared" si="435"/>
        <v>Yes</v>
      </c>
    </row>
    <row r="899" spans="1:24" x14ac:dyDescent="0.2">
      <c r="A899" t="s">
        <v>201</v>
      </c>
      <c r="B899" t="s">
        <v>214</v>
      </c>
      <c r="C899">
        <v>8.3000000000000007</v>
      </c>
      <c r="D899" t="s">
        <v>33</v>
      </c>
      <c r="E899" t="s">
        <v>9</v>
      </c>
      <c r="F899" s="2" t="str">
        <f t="shared" ref="F899" si="437">IF(C899&gt;$W$6,"Yes","No")</f>
        <v>No</v>
      </c>
      <c r="G899" t="s">
        <v>9</v>
      </c>
      <c r="J899" s="2" t="s">
        <v>19</v>
      </c>
      <c r="K899">
        <v>2.5</v>
      </c>
      <c r="L899" t="s">
        <v>12</v>
      </c>
      <c r="M899" t="s">
        <v>46</v>
      </c>
      <c r="N899" t="str">
        <f>IF(K899="N/A","No", IF(K899&gt;5000,"Yes","No"))</f>
        <v>No</v>
      </c>
      <c r="O899" t="str">
        <f>IF(K899="Not","No",IF(K899="n/a","N/A",IF(K899&gt;$Y$2,"Yes","No")))</f>
        <v>No</v>
      </c>
      <c r="Q899" s="2" t="s">
        <v>118</v>
      </c>
      <c r="R899" t="str">
        <f>IF(COUNTIF(R896:R898,"Yes"),"Yes","No")</f>
        <v>No</v>
      </c>
      <c r="S899" t="str">
        <f>IF(COUNTIF(S896:S898,"Yes"),"Yes","No")</f>
        <v>No</v>
      </c>
      <c r="U899" t="s">
        <v>164</v>
      </c>
      <c r="V899" t="s">
        <v>9</v>
      </c>
      <c r="W899" t="str">
        <f>O899</f>
        <v>No</v>
      </c>
      <c r="X899" t="str">
        <f t="shared" si="435"/>
        <v>Yes</v>
      </c>
    </row>
    <row r="900" spans="1:24" x14ac:dyDescent="0.2">
      <c r="F900" s="2"/>
      <c r="J900" s="2" t="s">
        <v>22</v>
      </c>
      <c r="K900">
        <v>2.5</v>
      </c>
      <c r="L900" t="s">
        <v>12</v>
      </c>
      <c r="M900" t="s">
        <v>43</v>
      </c>
      <c r="N900" t="str">
        <f>IF(K900="N/A","No", IF(K900&gt;5000,"Yes","No"))</f>
        <v>No</v>
      </c>
      <c r="O900" t="str">
        <f>IF(K900="Not","No",IF(K900="n/a","N/A",IF(K900&gt;$Y$2,"Yes","No")))</f>
        <v>No</v>
      </c>
      <c r="U900" t="s">
        <v>162</v>
      </c>
      <c r="V900" t="str">
        <f>R897</f>
        <v>No</v>
      </c>
      <c r="W900" t="str">
        <f>S897</f>
        <v>No</v>
      </c>
      <c r="X900" t="str">
        <f t="shared" si="435"/>
        <v>Yes</v>
      </c>
    </row>
    <row r="901" spans="1:24" x14ac:dyDescent="0.2">
      <c r="F901" s="2"/>
      <c r="J901" s="2" t="s">
        <v>25</v>
      </c>
      <c r="K901">
        <v>2.5</v>
      </c>
      <c r="L901" t="s">
        <v>12</v>
      </c>
      <c r="M901" t="s">
        <v>126</v>
      </c>
      <c r="N901" t="str">
        <f>IF(K901="N/A","No", IF(K901&gt;=20,"Yes","No"))</f>
        <v>No</v>
      </c>
      <c r="O901" t="str">
        <f>IF(K901="Not","No",IF(K901="n/a","N/A",IF(K901&gt;=$Y$6,"Yes","No")))</f>
        <v>No</v>
      </c>
      <c r="U901" t="s">
        <v>101</v>
      </c>
      <c r="V901" t="s">
        <v>9</v>
      </c>
      <c r="W901" t="s">
        <v>9</v>
      </c>
      <c r="X901" t="str">
        <f>IF(V901="N/A","N/A",IF(W901="N/A", "N/A", IF(V901=W901, "Yes","No")))</f>
        <v>Yes</v>
      </c>
    </row>
    <row r="902" spans="1:24" x14ac:dyDescent="0.2">
      <c r="F902" s="2"/>
      <c r="J902" s="2" t="s">
        <v>29</v>
      </c>
      <c r="K902">
        <v>2.5</v>
      </c>
      <c r="L902" t="s">
        <v>12</v>
      </c>
      <c r="M902" t="s">
        <v>222</v>
      </c>
      <c r="N902" t="str">
        <f>IF(K902="N/A","No", IF(K902&gt;20,"Yes","No"))</f>
        <v>No</v>
      </c>
      <c r="O902" t="str">
        <f t="shared" ref="O902" si="438">IF(K902="Not","No",IF(K902="n/a","N/A",IF(K902&gt;$Y$6,"Yes","No")))</f>
        <v>No</v>
      </c>
      <c r="U902" t="s">
        <v>104</v>
      </c>
      <c r="V902" t="s">
        <v>120</v>
      </c>
      <c r="W902" t="str">
        <f>O903</f>
        <v>No</v>
      </c>
      <c r="X902" t="str">
        <f>IF(V902="N/A","N/A",IF(W902="N/A", "N/A", IF(V902=W902, "Yes","No")))</f>
        <v>N/A</v>
      </c>
    </row>
    <row r="903" spans="1:24" x14ac:dyDescent="0.2">
      <c r="F903" s="2"/>
      <c r="J903" s="2" t="s">
        <v>34</v>
      </c>
      <c r="K903">
        <v>6</v>
      </c>
      <c r="L903" t="s">
        <v>12</v>
      </c>
      <c r="M903" t="s">
        <v>210</v>
      </c>
      <c r="N903" t="str">
        <f>IF(K903="N/A","No", IF(K903&gt;230,"Yes","No"))</f>
        <v>No</v>
      </c>
      <c r="O903" t="str">
        <f>IF(K903="Not","No",IF(K903="n/a","N/A",IF(K903&gt;$Y$5,"Yes","No")))</f>
        <v>No</v>
      </c>
      <c r="U903" t="s">
        <v>106</v>
      </c>
      <c r="V903" t="str">
        <f>R898</f>
        <v>No</v>
      </c>
      <c r="W903" t="str">
        <f>S898</f>
        <v>No</v>
      </c>
      <c r="X903" t="str">
        <f>IF(V903="N/A","N/A",IF(W903="N/A", "N/A", IF(V903=W903, "Yes","No")))</f>
        <v>Yes</v>
      </c>
    </row>
    <row r="904" spans="1:24" x14ac:dyDescent="0.2">
      <c r="J904" s="2" t="s">
        <v>208</v>
      </c>
      <c r="K904">
        <v>5.7</v>
      </c>
      <c r="L904" t="s">
        <v>12</v>
      </c>
      <c r="M904" t="s">
        <v>223</v>
      </c>
      <c r="N904" t="str">
        <f>IF(K904="N/A","No", IF(K904&gt;20,"Yes","No"))</f>
        <v>No</v>
      </c>
      <c r="O904" t="str">
        <f>IF(K904="Not","No",IF(K904="n/a","N/A",IF(K904&gt;$Y$7,"Yes","No")))</f>
        <v>No</v>
      </c>
      <c r="U904" t="s">
        <v>121</v>
      </c>
      <c r="V904" t="str">
        <f>R899</f>
        <v>No</v>
      </c>
      <c r="W904" t="str">
        <f>S899</f>
        <v>No</v>
      </c>
      <c r="X904" t="str">
        <f>IF(V904="N/A","N/A",IF(W904="N/A", "N/A", IF(V904=W904, "Yes","No")))</f>
        <v>Yes</v>
      </c>
    </row>
    <row r="908" spans="1:24" x14ac:dyDescent="0.2">
      <c r="A908" s="1">
        <f>VLOOKUP(C908,'Grid - LRA Samples'!$A$2:$B$108, 2,FALSE)</f>
        <v>9445</v>
      </c>
      <c r="B908" t="s">
        <v>111</v>
      </c>
      <c r="C908">
        <v>107</v>
      </c>
    </row>
    <row r="909" spans="1:24" x14ac:dyDescent="0.2">
      <c r="A909" s="5" t="s">
        <v>0</v>
      </c>
      <c r="E909" s="2" t="s">
        <v>274</v>
      </c>
      <c r="F909" s="2" t="s">
        <v>275</v>
      </c>
      <c r="G909" t="s">
        <v>119</v>
      </c>
      <c r="J909" s="5" t="s">
        <v>1</v>
      </c>
      <c r="N909" s="2" t="s">
        <v>277</v>
      </c>
      <c r="O909" t="s">
        <v>278</v>
      </c>
      <c r="Q909" s="5" t="s">
        <v>115</v>
      </c>
      <c r="R909" s="5" t="s">
        <v>0</v>
      </c>
      <c r="S909" s="5" t="s">
        <v>1</v>
      </c>
      <c r="U909" s="5" t="s">
        <v>115</v>
      </c>
      <c r="V909" s="5" t="s">
        <v>0</v>
      </c>
      <c r="W909" s="5" t="s">
        <v>1</v>
      </c>
      <c r="X909" s="5" t="s">
        <v>122</v>
      </c>
    </row>
    <row r="910" spans="1:24" x14ac:dyDescent="0.2">
      <c r="A910" t="s">
        <v>63</v>
      </c>
      <c r="B910" t="s">
        <v>18</v>
      </c>
      <c r="C910">
        <v>0</v>
      </c>
      <c r="D910" t="s">
        <v>4</v>
      </c>
      <c r="F910" s="2" t="str">
        <f t="shared" ref="F910:F912" si="439">IF(C910&gt;=$W$2,"Yes","No")</f>
        <v>No</v>
      </c>
      <c r="G910" t="s">
        <v>9</v>
      </c>
      <c r="H910" t="s">
        <v>46</v>
      </c>
      <c r="J910" s="2" t="s">
        <v>6</v>
      </c>
      <c r="K910">
        <v>15.9</v>
      </c>
      <c r="L910" t="s">
        <v>12</v>
      </c>
      <c r="M910" t="s">
        <v>114</v>
      </c>
      <c r="N910" t="str">
        <f>IF(K910="N/A","No", IF(K910&gt;1200,"Yes","No"))</f>
        <v>No</v>
      </c>
      <c r="O910" t="str">
        <f>IF(K910="Not","No",IF(K910="n/a","N/A",IF(K910&gt;=$Y$3,"Yes","No")))</f>
        <v>No</v>
      </c>
      <c r="Q910" s="2" t="s">
        <v>116</v>
      </c>
      <c r="R910" t="str">
        <f>_xlfn.XLOOKUP("ppm",D910:D920,F910:F920,"N/A")</f>
        <v>No</v>
      </c>
      <c r="S910" t="str">
        <f>IF(COUNTIF(O910:O912,"Yes"),"Yes","No")</f>
        <v>No</v>
      </c>
      <c r="U910" t="s">
        <v>92</v>
      </c>
      <c r="V910" t="s">
        <v>9</v>
      </c>
      <c r="W910" t="s">
        <v>120</v>
      </c>
      <c r="X910" t="str">
        <f>IF(V910="N/A","N/A",IF(W910="N/A", "N/A", IF(V910=W910, "Yes","No")))</f>
        <v>N/A</v>
      </c>
    </row>
    <row r="911" spans="1:24" x14ac:dyDescent="0.2">
      <c r="A911" t="s">
        <v>161</v>
      </c>
      <c r="B911" t="s">
        <v>28</v>
      </c>
      <c r="C911">
        <v>39</v>
      </c>
      <c r="D911" t="s">
        <v>12</v>
      </c>
      <c r="F911" s="2" t="str">
        <f t="shared" ref="F911" si="440">IF(C911&gt;=$W$3,"Yes","No")</f>
        <v>No</v>
      </c>
      <c r="G911" t="s">
        <v>9</v>
      </c>
      <c r="J911" s="2" t="s">
        <v>11</v>
      </c>
      <c r="K911">
        <v>17.3</v>
      </c>
      <c r="L911" t="s">
        <v>12</v>
      </c>
      <c r="M911" t="s">
        <v>67</v>
      </c>
      <c r="N911" t="str">
        <f t="shared" ref="N911:N912" si="441">IF(K911="N/A","No", IF(K911&gt;1200,"Yes","No"))</f>
        <v>No</v>
      </c>
      <c r="O911" t="str">
        <f t="shared" ref="O911:O912" si="442">IF(K911="Not","No",IF(K911="n/a","N/A",IF(K911&gt;$Y$3,"Yes","No")))</f>
        <v>No</v>
      </c>
      <c r="Q911" s="2" t="s">
        <v>98</v>
      </c>
      <c r="R911" t="str">
        <f>IF(COUNTIFS(D910:D921,"mg/cm2",G910:G921,"Yes")&gt;=1, "Yes","No")</f>
        <v>No</v>
      </c>
      <c r="S911" t="str">
        <f>IF(COUNTIF(O913:O914,"Yes"),"Yes","No")</f>
        <v>No</v>
      </c>
      <c r="U911" t="s">
        <v>95</v>
      </c>
      <c r="V911" t="str">
        <f>R910</f>
        <v>No</v>
      </c>
      <c r="W911" t="str">
        <f>S910</f>
        <v>No</v>
      </c>
      <c r="X911" t="str">
        <f t="shared" ref="X911:X914" si="443">IF(V911="N/A","N/A",IF(W911="N/A", "N/A", IF(V911=W911, "Yes","No")))</f>
        <v>Yes</v>
      </c>
    </row>
    <row r="912" spans="1:24" x14ac:dyDescent="0.2">
      <c r="A912" t="s">
        <v>158</v>
      </c>
      <c r="B912" t="s">
        <v>40</v>
      </c>
      <c r="C912">
        <v>0</v>
      </c>
      <c r="D912" t="s">
        <v>4</v>
      </c>
      <c r="F912" s="2" t="str">
        <f t="shared" si="439"/>
        <v>No</v>
      </c>
      <c r="G912" t="s">
        <v>9</v>
      </c>
      <c r="H912" t="s">
        <v>43</v>
      </c>
      <c r="J912" s="2" t="s">
        <v>15</v>
      </c>
      <c r="K912">
        <v>61</v>
      </c>
      <c r="L912" t="s">
        <v>12</v>
      </c>
      <c r="M912" t="s">
        <v>112</v>
      </c>
      <c r="N912" t="str">
        <f t="shared" si="441"/>
        <v>No</v>
      </c>
      <c r="O912" t="str">
        <f t="shared" si="442"/>
        <v>No</v>
      </c>
      <c r="Q912" s="2" t="s">
        <v>117</v>
      </c>
      <c r="R912" t="str">
        <f>_xlfn.XLOOKUP("ug/ft2",D910:D920,F910:F920,"N/A")</f>
        <v>No</v>
      </c>
      <c r="S912" t="str">
        <f>IF(COUNTIF(O915:O918,"Yes"),"Yes","No")</f>
        <v>No</v>
      </c>
      <c r="U912" t="s">
        <v>163</v>
      </c>
      <c r="V912" t="s">
        <v>9</v>
      </c>
      <c r="W912" t="str">
        <f>O914</f>
        <v>No</v>
      </c>
      <c r="X912" t="str">
        <f t="shared" si="443"/>
        <v>Yes</v>
      </c>
    </row>
    <row r="913" spans="1:24" x14ac:dyDescent="0.2">
      <c r="A913" t="s">
        <v>64</v>
      </c>
      <c r="B913" t="s">
        <v>32</v>
      </c>
      <c r="C913">
        <v>3</v>
      </c>
      <c r="D913" t="s">
        <v>33</v>
      </c>
      <c r="F913" s="2" t="str">
        <f>IF(C913&gt;$W$6,"Yes","No")</f>
        <v>No</v>
      </c>
      <c r="G913" t="s">
        <v>9</v>
      </c>
      <c r="J913" s="2" t="s">
        <v>19</v>
      </c>
      <c r="K913">
        <v>2.5</v>
      </c>
      <c r="L913" t="s">
        <v>12</v>
      </c>
      <c r="M913" t="s">
        <v>46</v>
      </c>
      <c r="N913" t="str">
        <f>IF(K913="N/A","No", IF(K913&gt;5000,"Yes","No"))</f>
        <v>No</v>
      </c>
      <c r="O913" t="str">
        <f>IF(K913="Not","No",IF(K913="n/a","N/A",IF(K913&gt;$Y$2,"Yes","No")))</f>
        <v>No</v>
      </c>
      <c r="Q913" s="2" t="s">
        <v>118</v>
      </c>
      <c r="R913" t="str">
        <f>IF(COUNTIF(R910:R912,"Yes"),"Yes","No")</f>
        <v>No</v>
      </c>
      <c r="S913" t="str">
        <f>IF(COUNTIF(S910:S912,"Yes"),"Yes","No")</f>
        <v>No</v>
      </c>
      <c r="U913" t="s">
        <v>164</v>
      </c>
      <c r="V913" t="s">
        <v>9</v>
      </c>
      <c r="W913" t="str">
        <f>O913</f>
        <v>No</v>
      </c>
      <c r="X913" t="str">
        <f t="shared" si="443"/>
        <v>Yes</v>
      </c>
    </row>
    <row r="914" spans="1:24" x14ac:dyDescent="0.2">
      <c r="A914" t="s">
        <v>64</v>
      </c>
      <c r="B914" t="s">
        <v>210</v>
      </c>
      <c r="C914">
        <v>21</v>
      </c>
      <c r="D914" t="s">
        <v>33</v>
      </c>
      <c r="F914" s="2" t="str">
        <f>IF(C914&gt;$W$5,"Yes","No")</f>
        <v>No</v>
      </c>
      <c r="G914" t="s">
        <v>9</v>
      </c>
      <c r="J914" s="2" t="s">
        <v>22</v>
      </c>
      <c r="K914">
        <v>2.5</v>
      </c>
      <c r="L914" t="s">
        <v>12</v>
      </c>
      <c r="M914" t="s">
        <v>43</v>
      </c>
      <c r="N914" t="str">
        <f>IF(K914="N/A","No", IF(K914&gt;5000,"Yes","No"))</f>
        <v>No</v>
      </c>
      <c r="O914" t="str">
        <f>IF(K914="Not","No",IF(K914="n/a","N/A",IF(K914&gt;$Y$2,"Yes","No")))</f>
        <v>No</v>
      </c>
      <c r="U914" t="s">
        <v>162</v>
      </c>
      <c r="V914" t="str">
        <f>R911</f>
        <v>No</v>
      </c>
      <c r="W914" t="str">
        <f>S911</f>
        <v>No</v>
      </c>
      <c r="X914" t="str">
        <f t="shared" si="443"/>
        <v>Yes</v>
      </c>
    </row>
    <row r="915" spans="1:24" x14ac:dyDescent="0.2">
      <c r="F915" s="2"/>
      <c r="J915" s="2" t="s">
        <v>25</v>
      </c>
      <c r="K915">
        <v>2.5</v>
      </c>
      <c r="L915" t="s">
        <v>12</v>
      </c>
      <c r="M915" t="s">
        <v>126</v>
      </c>
      <c r="N915" t="str">
        <f>IF(K915="N/A","No", IF(K915&gt;20,"Yes","No"))</f>
        <v>No</v>
      </c>
      <c r="O915" t="str">
        <f t="shared" ref="O915:O916" si="444">IF(K915="Not","No",IF(K915="n/a","N/A",IF(K915&gt;$Y$6,"Yes","No")))</f>
        <v>No</v>
      </c>
      <c r="U915" t="s">
        <v>101</v>
      </c>
      <c r="V915" t="s">
        <v>9</v>
      </c>
      <c r="W915" t="s">
        <v>9</v>
      </c>
      <c r="X915" t="str">
        <f>IF(V915="N/A","N/A",IF(W915="N/A", "N/A", IF(V915=W915, "Yes","No")))</f>
        <v>Yes</v>
      </c>
    </row>
    <row r="916" spans="1:24" x14ac:dyDescent="0.2">
      <c r="F916" s="2"/>
      <c r="J916" s="2" t="s">
        <v>29</v>
      </c>
      <c r="K916">
        <v>2.5</v>
      </c>
      <c r="L916" t="s">
        <v>12</v>
      </c>
      <c r="M916" t="s">
        <v>222</v>
      </c>
      <c r="N916" t="str">
        <f>IF(K916="N/A","No", IF(K916&gt;20,"Yes","No"))</f>
        <v>No</v>
      </c>
      <c r="O916" t="str">
        <f t="shared" si="444"/>
        <v>No</v>
      </c>
      <c r="U916" t="s">
        <v>104</v>
      </c>
      <c r="V916" t="s">
        <v>9</v>
      </c>
      <c r="W916" t="str">
        <f>O917</f>
        <v>No</v>
      </c>
      <c r="X916" t="str">
        <f>IF(V916="N/A","N/A",IF(W916="N/A", "N/A", IF(V916=W916, "Yes","No")))</f>
        <v>Yes</v>
      </c>
    </row>
    <row r="917" spans="1:24" x14ac:dyDescent="0.2">
      <c r="F917" s="2"/>
      <c r="J917" s="2" t="s">
        <v>34</v>
      </c>
      <c r="K917">
        <v>2.5</v>
      </c>
      <c r="L917" t="s">
        <v>12</v>
      </c>
      <c r="M917" t="s">
        <v>210</v>
      </c>
      <c r="N917" t="str">
        <f>IF(K917="N/A","No", IF(K917&gt;230,"Yes","No"))</f>
        <v>No</v>
      </c>
      <c r="O917" t="str">
        <f>IF(K917="Not","No",IF(K917="n/a","N/A",IF(K917&gt;$Y$5,"Yes","No")))</f>
        <v>No</v>
      </c>
      <c r="U917" t="s">
        <v>106</v>
      </c>
      <c r="V917" t="str">
        <f>R912</f>
        <v>No</v>
      </c>
      <c r="W917" t="str">
        <f>S912</f>
        <v>No</v>
      </c>
      <c r="X917" t="str">
        <f>IF(V917="N/A","N/A",IF(W917="N/A", "N/A", IF(V917=W917, "Yes","No")))</f>
        <v>Yes</v>
      </c>
    </row>
    <row r="918" spans="1:24" x14ac:dyDescent="0.2">
      <c r="F918" s="2"/>
      <c r="J918" s="2" t="s">
        <v>208</v>
      </c>
      <c r="K918">
        <v>2.5</v>
      </c>
      <c r="L918" t="s">
        <v>12</v>
      </c>
      <c r="M918" t="s">
        <v>223</v>
      </c>
      <c r="N918" t="str">
        <f>IF(K918="N/A","No", IF(K918&gt;20,"Yes","No"))</f>
        <v>No</v>
      </c>
      <c r="O918" t="str">
        <f>IF(K918="Not","No",IF(K918="n/a","N/A",IF(K918&gt;$Y$7,"Yes","No")))</f>
        <v>No</v>
      </c>
      <c r="U918" t="s">
        <v>121</v>
      </c>
      <c r="V918" t="str">
        <f>R913</f>
        <v>No</v>
      </c>
      <c r="W918" t="str">
        <f>S913</f>
        <v>No</v>
      </c>
      <c r="X918" t="str">
        <f>IF(V918="N/A","N/A",IF(W918="N/A", "N/A", IF(V918=W918, "Yes","No")))</f>
        <v>Yes</v>
      </c>
    </row>
    <row r="919" spans="1:24" x14ac:dyDescent="0.2">
      <c r="F919" s="2"/>
    </row>
    <row r="920" spans="1:24" x14ac:dyDescent="0.2">
      <c r="F920" s="2"/>
    </row>
    <row r="921" spans="1:24" x14ac:dyDescent="0.2">
      <c r="F921" s="2"/>
    </row>
  </sheetData>
  <mergeCells count="2">
    <mergeCell ref="B2:D2"/>
    <mergeCell ref="H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0E0-ACD8-824C-88B7-73E4E4E0BCC6}">
  <sheetPr codeName="Sheet5"/>
  <dimension ref="A1:BI764"/>
  <sheetViews>
    <sheetView topLeftCell="A11" workbookViewId="0">
      <selection activeCell="A747" sqref="A747"/>
    </sheetView>
  </sheetViews>
  <sheetFormatPr baseColWidth="10" defaultRowHeight="16" x14ac:dyDescent="0.2"/>
  <cols>
    <col min="1" max="1" width="28.83203125" bestFit="1" customWidth="1"/>
    <col min="2" max="2" width="23.33203125" bestFit="1" customWidth="1"/>
    <col min="13" max="13" width="34.33203125" bestFit="1" customWidth="1"/>
    <col min="21" max="21" width="23.83203125" bestFit="1" customWidth="1"/>
    <col min="22" max="22" width="17.5" bestFit="1" customWidth="1"/>
    <col min="24" max="24" width="13.1640625" customWidth="1"/>
    <col min="34" max="34" width="17.5" bestFit="1" customWidth="1"/>
    <col min="37" max="37" width="16.5" customWidth="1"/>
    <col min="45" max="45" width="11.83203125" customWidth="1"/>
  </cols>
  <sheetData>
    <row r="1" spans="1:47" x14ac:dyDescent="0.2">
      <c r="A1" t="s">
        <v>252</v>
      </c>
      <c r="W1" t="s">
        <v>0</v>
      </c>
      <c r="Y1" t="s">
        <v>1</v>
      </c>
    </row>
    <row r="2" spans="1:47" x14ac:dyDescent="0.2">
      <c r="B2" s="45" t="s">
        <v>260</v>
      </c>
      <c r="C2" s="45"/>
      <c r="D2" s="45"/>
      <c r="E2" s="20"/>
      <c r="F2" s="20"/>
      <c r="G2" s="20"/>
      <c r="H2" s="45" t="s">
        <v>261</v>
      </c>
      <c r="I2" s="45"/>
      <c r="J2" s="45"/>
      <c r="K2" t="s">
        <v>120</v>
      </c>
      <c r="M2" t="s">
        <v>265</v>
      </c>
      <c r="N2" t="s">
        <v>267</v>
      </c>
      <c r="P2" t="s">
        <v>266</v>
      </c>
      <c r="V2" t="s">
        <v>98</v>
      </c>
      <c r="W2">
        <v>1</v>
      </c>
      <c r="X2" t="s">
        <v>4</v>
      </c>
      <c r="Y2">
        <v>5000</v>
      </c>
      <c r="Z2" t="s">
        <v>12</v>
      </c>
    </row>
    <row r="3" spans="1:47" x14ac:dyDescent="0.2">
      <c r="B3" s="20" t="s">
        <v>255</v>
      </c>
      <c r="C3" s="20" t="s">
        <v>256</v>
      </c>
      <c r="D3" s="20" t="s">
        <v>257</v>
      </c>
      <c r="E3" s="20"/>
      <c r="F3" s="20"/>
      <c r="G3" s="20"/>
      <c r="H3" s="20" t="s">
        <v>258</v>
      </c>
      <c r="I3" s="20" t="s">
        <v>259</v>
      </c>
      <c r="J3" s="20" t="s">
        <v>257</v>
      </c>
      <c r="M3" s="20"/>
      <c r="V3" t="s">
        <v>92</v>
      </c>
      <c r="W3">
        <v>400</v>
      </c>
      <c r="X3" t="s">
        <v>12</v>
      </c>
      <c r="Y3">
        <v>400</v>
      </c>
      <c r="Z3" t="s">
        <v>12</v>
      </c>
    </row>
    <row r="4" spans="1:47" x14ac:dyDescent="0.2">
      <c r="A4" t="s">
        <v>92</v>
      </c>
      <c r="B4">
        <f>COUNTIFS($U$44:$U$9121,"Soil - Play Area",$V$44:$V$9121, "Yes",$W$44:$W$9121, "Yes")</f>
        <v>0</v>
      </c>
      <c r="C4">
        <f>COUNTIFS($U$44:$U$44021,"Soil - Play Area",$V$44:$V$44021, "No",$W$44:$W$44021, "No")</f>
        <v>1</v>
      </c>
      <c r="D4">
        <f>COUNTIFS($U$44:$U$44021,"Soil - Play Area",$X$44:$X$44021, "Yes")</f>
        <v>1</v>
      </c>
      <c r="H4">
        <f>COUNTIFS($U$44:$U$44021,"Soil - Play Area",$V$44:$V$44021, "Yes",$W$44:$W$44021, "No")</f>
        <v>1</v>
      </c>
      <c r="I4">
        <f>COUNTIFS($U$44:$U$44021,"Soil - Play Area",$V$44:$V$44021, "No",$W$44:$W$44021, "Yes")</f>
        <v>0</v>
      </c>
      <c r="J4">
        <f>COUNTIFS($U$44:$U$44021,"Soil - Play Area",$X$44:$X$44021, "No")</f>
        <v>1</v>
      </c>
      <c r="K4">
        <f>COUNTIFS($U$44:$U$44021,"Soil - Play Area",$X$44:$X$44021, "N/A")</f>
        <v>40</v>
      </c>
      <c r="M4">
        <f t="shared" ref="M4:M11" si="0">D4+J4+K4</f>
        <v>42</v>
      </c>
      <c r="N4">
        <f t="shared" ref="N4:N11" si="1">D4+J4</f>
        <v>2</v>
      </c>
      <c r="P4" t="s">
        <v>120</v>
      </c>
      <c r="V4" t="s">
        <v>226</v>
      </c>
      <c r="W4">
        <v>1200</v>
      </c>
      <c r="X4" t="s">
        <v>12</v>
      </c>
      <c r="Y4">
        <v>1200</v>
      </c>
      <c r="Z4" t="s">
        <v>12</v>
      </c>
    </row>
    <row r="5" spans="1:47" x14ac:dyDescent="0.2">
      <c r="A5" t="s">
        <v>95</v>
      </c>
      <c r="B5">
        <f>COUNTIFS($U$44:$U$44021,"Soil - Overall",$V$44:$V$44021, "Yes",$W$44:$W$44021, "Yes")</f>
        <v>7</v>
      </c>
      <c r="C5">
        <f>COUNTIFS($U$44:$U$44021,"Soil - Overall",$V$44:$V$44021, "No",$W$44:$W$44021, "No")</f>
        <v>26</v>
      </c>
      <c r="D5">
        <f>COUNTIFS($U$44:$U$44021,"Soil - Overall",$X$44:$X$44021, "Yes")</f>
        <v>33</v>
      </c>
      <c r="H5">
        <f>COUNTIFS($U$44:$U$44021,"Soil - Overall",$V$44:$V$44021, "Yes",$W$44:$W$44021, "No")</f>
        <v>1</v>
      </c>
      <c r="I5">
        <f>COUNTIFS($U$44:$U$44021,"Soil - Overall",$V$44:$V$44021, "No",$W$44:$W$44021, "Yes")</f>
        <v>2</v>
      </c>
      <c r="J5">
        <f>COUNTIFS($U$44:$U$44021,"Soil - Overall",$X$44:$X$44021, "No")</f>
        <v>3</v>
      </c>
      <c r="K5">
        <f>COUNTIFS($U$44:$U$44021,"Soil - Overall",$X$44:$X$44021, "N/A")</f>
        <v>6</v>
      </c>
      <c r="M5">
        <f t="shared" si="0"/>
        <v>42</v>
      </c>
      <c r="N5">
        <f t="shared" si="1"/>
        <v>36</v>
      </c>
      <c r="P5" s="15">
        <f t="shared" ref="P5:P11" si="2">D5/N5</f>
        <v>0.91666666666666663</v>
      </c>
      <c r="V5" t="s">
        <v>228</v>
      </c>
      <c r="W5">
        <v>100</v>
      </c>
      <c r="X5" t="s">
        <v>33</v>
      </c>
      <c r="Y5">
        <v>230</v>
      </c>
      <c r="Z5" t="s">
        <v>12</v>
      </c>
    </row>
    <row r="6" spans="1:47" x14ac:dyDescent="0.2">
      <c r="A6" t="s">
        <v>163</v>
      </c>
      <c r="B6">
        <f>COUNTIFS($U$44:$U$44021,"Paint - Interior",$V$44:$V$44021, "Yes",$W$44:$W$44021, "Yes")</f>
        <v>2</v>
      </c>
      <c r="C6">
        <f>COUNTIFS($U$44:$U$44021,"Paint - Interior",$V$44:$V$44021, "No",$W$44:$W$44021, "No")</f>
        <v>11</v>
      </c>
      <c r="D6">
        <f>COUNTIFS($U$44:$U$44021,"Paint - Interior",$X$44:$X$44021, "Yes")</f>
        <v>13</v>
      </c>
      <c r="H6">
        <f>COUNTIFS($U$44:$U$44021,"Paint - Interior",$V$44:$V$44021, "Yes",$W$44:$W$44021, "No")</f>
        <v>18</v>
      </c>
      <c r="I6">
        <f>COUNTIFS($U$44:$U$44021,"Paint - Interior",$V$44:$V$44021, "No",$W$44:$W$44021, "Yes")</f>
        <v>0</v>
      </c>
      <c r="J6">
        <f>COUNTIFS($U$44:$U$44021,"Paint - Interior",$X$44:$X$44021, "No")</f>
        <v>18</v>
      </c>
      <c r="K6">
        <f>COUNTIFS($U$44:$U$44021,"Paint - Interior",$X$44:$X$44021, "N/A")</f>
        <v>11</v>
      </c>
      <c r="M6">
        <f t="shared" si="0"/>
        <v>42</v>
      </c>
      <c r="N6">
        <f t="shared" si="1"/>
        <v>31</v>
      </c>
      <c r="P6" s="15">
        <f t="shared" si="2"/>
        <v>0.41935483870967744</v>
      </c>
      <c r="V6" t="s">
        <v>234</v>
      </c>
      <c r="W6">
        <v>10</v>
      </c>
      <c r="X6" t="s">
        <v>33</v>
      </c>
      <c r="Y6">
        <v>20</v>
      </c>
      <c r="Z6" t="s">
        <v>12</v>
      </c>
    </row>
    <row r="7" spans="1:47" x14ac:dyDescent="0.2">
      <c r="A7" t="s">
        <v>164</v>
      </c>
      <c r="B7">
        <f>COUNTIFS($U$44:$U$44021,"Paint - Exterior",$V$44:$V$44021, "Yes",$W$44:$W$44021, "Yes")</f>
        <v>8</v>
      </c>
      <c r="C7">
        <f>COUNTIFS($U$44:$U$44021,"Paint - Exterior",$V$44:$V$44021, "No",$W$44:$W$44021, "No")</f>
        <v>13</v>
      </c>
      <c r="D7">
        <f>COUNTIFS($U$44:$U$44021,"Paint - Exterior",$X$44:$X$44021, "Yes")</f>
        <v>20</v>
      </c>
      <c r="H7">
        <f>COUNTIFS($U$44:$U$44021,"Paint - Exterior",$V$44:$V$44021, "Yes",$W$44:$W$44021, "No")</f>
        <v>11</v>
      </c>
      <c r="I7">
        <f>COUNTIFS($U$44:$U$44021,"Paint - Exterior",$V$44:$V$44021, "No",$W$44:$W$44021, "Yes")</f>
        <v>0</v>
      </c>
      <c r="J7">
        <f>COUNTIFS($U$44:$U$44021,"Paint - Exterior",$X$44:$X$44021, "No")</f>
        <v>12</v>
      </c>
      <c r="K7">
        <f>COUNTIFS($U$44:$U$44021,"Paint - Exterior",$X$44:$X$44021, "N/A")</f>
        <v>10</v>
      </c>
      <c r="M7">
        <f t="shared" si="0"/>
        <v>42</v>
      </c>
      <c r="N7">
        <f t="shared" si="1"/>
        <v>32</v>
      </c>
      <c r="P7" s="15">
        <f t="shared" si="2"/>
        <v>0.625</v>
      </c>
      <c r="V7" t="s">
        <v>223</v>
      </c>
      <c r="Y7">
        <v>800</v>
      </c>
      <c r="Z7" t="s">
        <v>12</v>
      </c>
    </row>
    <row r="8" spans="1:47" x14ac:dyDescent="0.2">
      <c r="A8" t="s">
        <v>162</v>
      </c>
      <c r="B8">
        <f>COUNTIFS($U$44:$U$44021,"Paint - Overall",$V$44:$V$44021, "Yes",$W$44:$W$44021, "Yes")</f>
        <v>10</v>
      </c>
      <c r="C8">
        <f>COUNTIFS($U$44:$U$44021,"Paint - Overall",$V$44:$V$44021, "No",$W$44:$W$44021, "No")</f>
        <v>13</v>
      </c>
      <c r="D8">
        <f>COUNTIFS($U$44:$U$44021,"Paint - Overall",$X$44:$X$44021, "Yes")</f>
        <v>23</v>
      </c>
      <c r="H8">
        <f>COUNTIFS($U$44:$U$44021,"Paint - Overall",$V$44:$V$44021, "Yes",$W$44:$W$44021, "No")</f>
        <v>16</v>
      </c>
      <c r="I8">
        <f>COUNTIFS($U$44:$U$44021,"Paint - Overall",$V$44:$V$44021, "No",$W$44:$W$44021, "Yes")</f>
        <v>0</v>
      </c>
      <c r="J8">
        <f>COUNTIFS($U$44:$U$44021,"Paint - Overall",$X$44:$X$44021, "No")</f>
        <v>16</v>
      </c>
      <c r="K8">
        <f>COUNTIFS($U$44:$U$44021,"Paint - Overall",$X$44:$X$44021, "N/A")</f>
        <v>3</v>
      </c>
      <c r="M8">
        <f t="shared" si="0"/>
        <v>42</v>
      </c>
      <c r="N8">
        <f t="shared" si="1"/>
        <v>39</v>
      </c>
      <c r="P8" s="15">
        <f t="shared" si="2"/>
        <v>0.58974358974358976</v>
      </c>
    </row>
    <row r="9" spans="1:47" x14ac:dyDescent="0.2">
      <c r="A9" t="s">
        <v>101</v>
      </c>
      <c r="B9">
        <f>COUNTIFS($U$44:$U$44021,"Dust - Floor",$V$44:$V$44021, "Yes",$W$44:$W$44021, "Yes")</f>
        <v>7</v>
      </c>
      <c r="C9">
        <f>COUNTIFS($U$44:$U$44021,"Dust - Floor",$V$44:$V$44021, "No",$W$44:$W$44021, "No")</f>
        <v>9</v>
      </c>
      <c r="D9">
        <f>COUNTIFS($U$44:$U$44021,"Dust - Floor",$X$44:$X$44021, "Yes")</f>
        <v>16</v>
      </c>
      <c r="H9">
        <f>COUNTIFS($U$44:$U$44021,"Dust - Floor",$V$44:$V$44021, "Yes",$W$44:$W$44021, "No")</f>
        <v>4</v>
      </c>
      <c r="I9">
        <f>COUNTIFS($U$44:$U$44021,"Dust - Floor",$V$44:$V$44021, "No",$W$44:$W$44021, "Yes")</f>
        <v>7</v>
      </c>
      <c r="J9">
        <f>COUNTIFS($U$44:$U$44021,"Dust - Floor",$X$44:$X$44021, "No")</f>
        <v>12</v>
      </c>
      <c r="K9">
        <f>COUNTIFS($U$44:$U$44021,"Dust - Floor",$X$44:$X$44021, "N/A")</f>
        <v>14</v>
      </c>
      <c r="M9">
        <f t="shared" si="0"/>
        <v>42</v>
      </c>
      <c r="N9">
        <f t="shared" si="1"/>
        <v>28</v>
      </c>
      <c r="P9" s="15">
        <f t="shared" si="2"/>
        <v>0.5714285714285714</v>
      </c>
    </row>
    <row r="10" spans="1:47" x14ac:dyDescent="0.2">
      <c r="A10" t="s">
        <v>104</v>
      </c>
      <c r="B10">
        <f>COUNTIFS($U$44:$U$44021,"Dust - Window Sill",$V$44:$V$44021, "Yes",$W$44:$W$44021, "Yes")</f>
        <v>1</v>
      </c>
      <c r="C10">
        <f>COUNTIFS($U$44:$U$44021,"Dust - Window Sill",$V$44:$V$44021, "No",$W$44:$W$44021, "No")</f>
        <v>16</v>
      </c>
      <c r="D10">
        <f>COUNTIFS($U$44:$U$44021,"Dust - Window Sill",$X$44:$X$44021, "Yes")</f>
        <v>17</v>
      </c>
      <c r="H10">
        <f>COUNTIFS($U$44:$U$44021,"Dust - Window Sill",$V$44:$V$44021, "Yes",$W$44:$W$44021, "No")</f>
        <v>4</v>
      </c>
      <c r="I10">
        <f>COUNTIFS($U$44:$U$44021,"Dust - Window Sill",$V$44:$V$44021, "No",$W$44:$W$44021, "Yes")</f>
        <v>0</v>
      </c>
      <c r="J10">
        <f>COUNTIFS($U$44:$U$44021,"Dust - Window Sill",$X$44:$X$44021, "No")</f>
        <v>4</v>
      </c>
      <c r="K10">
        <f>COUNTIFS($U$44:$U$44021,"Dust - Window Sill",$X$44:$X$44021, "N/A")</f>
        <v>21</v>
      </c>
      <c r="M10">
        <f t="shared" si="0"/>
        <v>42</v>
      </c>
      <c r="N10">
        <f t="shared" si="1"/>
        <v>21</v>
      </c>
      <c r="P10" s="15">
        <f t="shared" si="2"/>
        <v>0.80952380952380953</v>
      </c>
    </row>
    <row r="11" spans="1:47" x14ac:dyDescent="0.2">
      <c r="A11" t="s">
        <v>106</v>
      </c>
      <c r="B11">
        <f>COUNTIFS($U$44:$U$44021,"Dust - Overall",$V$44:$V$44021, "Yes",$W$44:$W$44021, "Yes")</f>
        <v>10</v>
      </c>
      <c r="C11">
        <f>COUNTIFS($U$44:$U$44021,"Dust - Overall",$V$44:$V$44021, "No",$W$44:$W$44021, "No")</f>
        <v>14</v>
      </c>
      <c r="D11">
        <f>COUNTIFS($U$44:$U$44021,"Dust - Overall",$X$44:$X$44021, "Yes")</f>
        <v>24</v>
      </c>
      <c r="H11">
        <f>COUNTIFS($U$44:$U$44021,"Dust - Overall",$V$44:$V$44021, "Yes",$W$44:$W$44021, "No")</f>
        <v>6</v>
      </c>
      <c r="I11">
        <f>COUNTIFS($U$44:$U$44021,"Dust - Overall",$V$44:$V$44021, "No",$W$44:$W$44021, "Yes")</f>
        <v>8</v>
      </c>
      <c r="J11">
        <f>COUNTIFS($U$44:$U$44021,"Dust - Overall",$X$44:$X$44021, "No")</f>
        <v>14</v>
      </c>
      <c r="K11">
        <f>COUNTIFS($U$44:$U$44021,"Dust - Overall",$X$44:$X$44021, "N/A")</f>
        <v>4</v>
      </c>
      <c r="M11">
        <f t="shared" si="0"/>
        <v>42</v>
      </c>
      <c r="N11">
        <f t="shared" si="1"/>
        <v>38</v>
      </c>
      <c r="P11" s="15">
        <f t="shared" si="2"/>
        <v>0.63157894736842102</v>
      </c>
    </row>
    <row r="12" spans="1:47" x14ac:dyDescent="0.2">
      <c r="P12" s="15"/>
    </row>
    <row r="13" spans="1:47" x14ac:dyDescent="0.2">
      <c r="P13" s="15"/>
    </row>
    <row r="14" spans="1:47" x14ac:dyDescent="0.2">
      <c r="A14" s="16" t="s">
        <v>268</v>
      </c>
      <c r="B14" s="16">
        <f>COUNTIFS($U$44:$U$44021,"Overall Lead",$V$44:$V$44021, "Yes",$W$44:$W$44021, "Yes")</f>
        <v>24</v>
      </c>
      <c r="C14" s="16">
        <f>COUNTIFS($U$44:$U$44021,"Overall Lead",$V$44:$V$44021, "No",$W$44:$W$44021, "No")</f>
        <v>7</v>
      </c>
      <c r="D14" s="16">
        <f>COUNTIFS($U$44:$U$44021,"Overall Lead",$X$44:$X$44021, "Yes")</f>
        <v>31</v>
      </c>
      <c r="E14" s="16"/>
      <c r="F14" s="16"/>
      <c r="G14" s="16"/>
      <c r="H14" s="16">
        <f>COUNTIFS($U$44:$U$44021,"Overall Lead",$V$44:$V$44021, "Yes",$W$44:$W$44021, "No")</f>
        <v>9</v>
      </c>
      <c r="I14" s="16">
        <f>COUNTIFS($U$44:$U$44021,"Overall Lead",$V$44:$V$44021, "No",$W$44:$W$44021, "Yes")</f>
        <v>2</v>
      </c>
      <c r="J14" s="16">
        <f>COUNTIFS($U$44:$U$44021,"Overall Lead",$X$44:$X$44021, "No")</f>
        <v>11</v>
      </c>
      <c r="K14" s="16">
        <f>COUNTIFS($U$44:$U$44021,"Overall Lead",$X$44:$X$44021, "N/A")</f>
        <v>0</v>
      </c>
      <c r="L14" s="16"/>
      <c r="M14" s="16">
        <f>D14+J14+K14</f>
        <v>42</v>
      </c>
      <c r="N14" s="16">
        <f>D14+J14</f>
        <v>42</v>
      </c>
      <c r="O14" s="16"/>
      <c r="P14" s="17">
        <f>D14/N14</f>
        <v>0.73809523809523814</v>
      </c>
    </row>
    <row r="15" spans="1:47" x14ac:dyDescent="0.2">
      <c r="V15" t="s">
        <v>341</v>
      </c>
      <c r="Y15">
        <f>COUNTIF(AA43:AA14000,"LRA-Soil")</f>
        <v>8</v>
      </c>
      <c r="AB15" t="s">
        <v>346</v>
      </c>
      <c r="AF15">
        <f>COUNTIF(AD43:AD13127,"LSK-Soil")</f>
        <v>10</v>
      </c>
      <c r="AH15" t="s">
        <v>349</v>
      </c>
      <c r="AL15" s="14">
        <f>COUNTIFS(AA43:AA13127,"LRA-Soil",AD43:AD13127,"LSK-Soil")</f>
        <v>7</v>
      </c>
      <c r="AM15" s="28">
        <f>AL15/Y15</f>
        <v>0.875</v>
      </c>
      <c r="AO15" t="s">
        <v>370</v>
      </c>
      <c r="AT15">
        <f>COUNTIFS(AD43:AD13127,"LSK-Soil",AA43:AA13127,"LRA-Soil")</f>
        <v>7</v>
      </c>
      <c r="AU15">
        <v>8</v>
      </c>
    </row>
    <row r="16" spans="1:47" x14ac:dyDescent="0.2">
      <c r="A16" t="s">
        <v>253</v>
      </c>
      <c r="V16" t="s">
        <v>334</v>
      </c>
      <c r="Y16">
        <f>COUNTIFS(AA43:AA14000,"LRA-Soil",AB43:AB14000,"LRA-Paint")</f>
        <v>7</v>
      </c>
      <c r="AB16" t="s">
        <v>334</v>
      </c>
      <c r="AF16">
        <f>COUNTIFS(AD43:AD13127,"LSK-Soil",AE43:AE13127,"LSK-Paint")</f>
        <v>3</v>
      </c>
      <c r="AH16" t="s">
        <v>350</v>
      </c>
      <c r="AL16" s="14">
        <f>COUNTIFS(AB43:AB13127,"LRA-Paint",AE43:AE13127,"LSK-Paint")</f>
        <v>10</v>
      </c>
      <c r="AM16" s="28">
        <f>AL16/Y20</f>
        <v>0.35714285714285715</v>
      </c>
      <c r="AO16" t="s">
        <v>371</v>
      </c>
      <c r="AT16">
        <f>COUNTIFS(AE43:AE13127,"LSK-Paint",AB43:AB13127,"LRA-Paint")</f>
        <v>10</v>
      </c>
    </row>
    <row r="17" spans="1:61" x14ac:dyDescent="0.2">
      <c r="B17" t="s">
        <v>5</v>
      </c>
      <c r="C17" t="s">
        <v>9</v>
      </c>
      <c r="D17" t="s">
        <v>120</v>
      </c>
      <c r="M17" t="s">
        <v>265</v>
      </c>
      <c r="V17" t="s">
        <v>335</v>
      </c>
      <c r="Y17">
        <f>COUNTIFS(AA43:AA14000,"LRA-Soil",AC43:AC14000,"LRA-Dust")</f>
        <v>7</v>
      </c>
      <c r="AB17" t="s">
        <v>335</v>
      </c>
      <c r="AF17">
        <f>COUNTIFS(AD43:AD13127,"LSK-Soil",AF43:AF13127,"LSK-Dust")</f>
        <v>7</v>
      </c>
      <c r="AH17" t="s">
        <v>351</v>
      </c>
      <c r="AL17" s="14">
        <f>COUNTIFS(AC43:AC13127,"LRA-Dust",AF43:AF13127,"LSK-Dust")</f>
        <v>10</v>
      </c>
      <c r="AM17" s="28">
        <f>AL17/Y25</f>
        <v>0.625</v>
      </c>
      <c r="AO17" t="s">
        <v>372</v>
      </c>
      <c r="AT17">
        <f>COUNTIFS(AF43:AF13127,"LSK-Dust",AC43:AC13127,"LRA-Dust")</f>
        <v>10</v>
      </c>
    </row>
    <row r="18" spans="1:61" x14ac:dyDescent="0.2">
      <c r="A18" t="s">
        <v>92</v>
      </c>
      <c r="B18">
        <f>COUNTIFS($U$44:$U$44021,"Soil - Play Area",$V$44:$V$44021, "Yes")</f>
        <v>2</v>
      </c>
      <c r="C18">
        <f>COUNTIFS($U$44:$U$44021,"Soil - Play Area",$V$44:$V$44021, "No")</f>
        <v>4</v>
      </c>
      <c r="D18">
        <f>COUNTIFS($U$44:$U$44021,"Soil - Play Area",$V$44:$V$44021, "N/A")</f>
        <v>36</v>
      </c>
      <c r="M18">
        <f t="shared" ref="M18:M26" si="3">B18+C18+D18</f>
        <v>42</v>
      </c>
      <c r="N18">
        <f t="shared" ref="N18:N26" si="4">B18+C18</f>
        <v>6</v>
      </c>
      <c r="V18" t="s">
        <v>336</v>
      </c>
      <c r="Y18">
        <f>COUNTIFS(AA43:AA14000,"LRA-Soil",AB43:AB14000,"LRA-Paint",AC43:AC14000,"LRA-Dust")</f>
        <v>7</v>
      </c>
      <c r="AB18" t="s">
        <v>336</v>
      </c>
      <c r="AF18">
        <f>COUNTIFS(AD43:AD13127,"LSK-Soil",AE43:AE13127,"LSK-Paint",AF43:AF13127,"LSK-Dust")</f>
        <v>2</v>
      </c>
      <c r="AH18" s="21"/>
      <c r="AO18" s="21"/>
      <c r="BA18" t="s">
        <v>465</v>
      </c>
      <c r="BB18" t="s">
        <v>466</v>
      </c>
      <c r="BC18" t="s">
        <v>467</v>
      </c>
      <c r="BD18" t="s">
        <v>468</v>
      </c>
    </row>
    <row r="19" spans="1:61" x14ac:dyDescent="0.2">
      <c r="A19" t="s">
        <v>95</v>
      </c>
      <c r="B19">
        <f>COUNTIFS($U$44:$U$44021,"Soil - Overall",$V$44:$V$44021, "Yes")</f>
        <v>8</v>
      </c>
      <c r="C19">
        <f>COUNTIFS($U$44:$U$44021,"Soil - Overall",$V$44:$V$44021, "No")</f>
        <v>28</v>
      </c>
      <c r="D19">
        <f>COUNTIFS($U$44:$U$44021,"Soil - Overall",$V$44:$V$44021, "N/A")</f>
        <v>6</v>
      </c>
      <c r="M19">
        <f t="shared" si="3"/>
        <v>42</v>
      </c>
      <c r="N19">
        <f t="shared" si="4"/>
        <v>36</v>
      </c>
      <c r="AH19" t="s">
        <v>352</v>
      </c>
      <c r="AL19">
        <f>COUNTIFS(AA43:AA13127,"LRA-Soil",AE43:AE13127,"LSK-Paint")</f>
        <v>2</v>
      </c>
      <c r="AM19" s="15">
        <f>AL19/$Y$15</f>
        <v>0.25</v>
      </c>
      <c r="AO19" t="s">
        <v>373</v>
      </c>
      <c r="AT19">
        <f>COUNTIFS(AD43:AD13127,"LSK-Soil",AB43:AB13127,"LRA-Paint")</f>
        <v>9</v>
      </c>
      <c r="AU19" s="15">
        <f>AT19/$AF$15</f>
        <v>0.9</v>
      </c>
    </row>
    <row r="20" spans="1:61" x14ac:dyDescent="0.2">
      <c r="A20" t="s">
        <v>163</v>
      </c>
      <c r="B20">
        <f>COUNTIFS($U$44:$U$44021,"Paint - Interior",$V$44:$V$44021, "Yes")</f>
        <v>25</v>
      </c>
      <c r="C20">
        <f>COUNTIFS($U$44:$U$44021,"Paint - Interior",$V$44:$V$44021, "No")</f>
        <v>15</v>
      </c>
      <c r="D20">
        <f>COUNTIFS($U$44:$U$44021,"Paint - Interior",$V$44:$V$44021, "N/A")</f>
        <v>2</v>
      </c>
      <c r="M20">
        <f t="shared" si="3"/>
        <v>42</v>
      </c>
      <c r="N20">
        <f t="shared" si="4"/>
        <v>40</v>
      </c>
      <c r="V20" t="s">
        <v>342</v>
      </c>
      <c r="Y20">
        <f>COUNTIF(AB43:AB14000,"LRA-Paint")</f>
        <v>28</v>
      </c>
      <c r="AB20" t="s">
        <v>347</v>
      </c>
      <c r="AF20">
        <f>COUNTIF(AE43:AE13127,"LSK-Paint")</f>
        <v>10</v>
      </c>
      <c r="AH20" t="s">
        <v>353</v>
      </c>
      <c r="AL20">
        <f>COUNTIFS(AA43:AA13127,"LRA-Soil",AF43:AF13127,"LSK-Dust")</f>
        <v>6</v>
      </c>
      <c r="AM20" s="15">
        <f t="shared" ref="AM20:AM24" si="5">AL20/$Y$15</f>
        <v>0.75</v>
      </c>
      <c r="AO20" t="s">
        <v>374</v>
      </c>
      <c r="AT20">
        <f>COUNTIFS(AD43:AD13127,"LSK-Soil",AC43:AC13127,"LRA-Dust")</f>
        <v>6</v>
      </c>
      <c r="AU20" s="15">
        <f t="shared" ref="AU20:AU24" si="6">AT20/$AF$15</f>
        <v>0.6</v>
      </c>
    </row>
    <row r="21" spans="1:61" x14ac:dyDescent="0.2">
      <c r="A21" t="s">
        <v>164</v>
      </c>
      <c r="B21">
        <f>COUNTIFS($U$44:$U$44021,"Paint - Exterior",$V$44:$V$44021, "Yes")</f>
        <v>25</v>
      </c>
      <c r="C21">
        <f>COUNTIFS($U$44:$U$44021,"Paint - Exterior",$V$44:$V$44021, "No")</f>
        <v>14</v>
      </c>
      <c r="D21">
        <f>COUNTIFS($U$44:$U$44021,"Paint - Exterior",$V$44:$V$44021, "N/A")</f>
        <v>3</v>
      </c>
      <c r="M21">
        <f t="shared" si="3"/>
        <v>42</v>
      </c>
      <c r="N21">
        <f t="shared" si="4"/>
        <v>39</v>
      </c>
      <c r="V21" t="s">
        <v>337</v>
      </c>
      <c r="Y21">
        <f>COUNTIFS(AB43:AB14000,"LRA-Paint",AA43:AA14000,"LRA-Soil")</f>
        <v>7</v>
      </c>
      <c r="AB21" t="s">
        <v>337</v>
      </c>
      <c r="AF21">
        <f>COUNTIFS(AE43:AE13127,"LSK-Paint",AD43:AD13127,"LSK-Soil")</f>
        <v>3</v>
      </c>
      <c r="AH21" t="s">
        <v>354</v>
      </c>
      <c r="AL21">
        <f>COUNTIFS(AA43:AA13127,"LRA-Soil",AD43:AD13127,"LSK-Soil",AE43:AE13127,"LSK-Paint")</f>
        <v>2</v>
      </c>
      <c r="AM21" s="15">
        <f t="shared" si="5"/>
        <v>0.25</v>
      </c>
      <c r="AO21" t="s">
        <v>375</v>
      </c>
      <c r="AT21">
        <f>COUNTIFS(AD43:AD13127,"LSK-Soil",AA43:AA13127,"LRA-Soil",AB43:AB13127,"LRA-Paint")</f>
        <v>6</v>
      </c>
      <c r="AU21" s="15">
        <f t="shared" si="6"/>
        <v>0.6</v>
      </c>
    </row>
    <row r="22" spans="1:61" x14ac:dyDescent="0.2">
      <c r="A22" t="s">
        <v>162</v>
      </c>
      <c r="B22">
        <f>COUNTIFS($U$44:$U$44021,"Paint - Overall",$V$44:$V$44021, "Yes")</f>
        <v>28</v>
      </c>
      <c r="C22">
        <f>COUNTIFS($U$44:$U$44021,"Paint - Overall",$V$44:$V$44021, "No")</f>
        <v>13</v>
      </c>
      <c r="D22">
        <f>COUNTIFS($U$44:$U$44021,"Paint - Overall",$V$44:$V$44021, "N/A")</f>
        <v>1</v>
      </c>
      <c r="M22">
        <f t="shared" si="3"/>
        <v>42</v>
      </c>
      <c r="N22">
        <f t="shared" si="4"/>
        <v>41</v>
      </c>
      <c r="V22" t="s">
        <v>338</v>
      </c>
      <c r="Y22">
        <f>COUNTIFS(AB43:AB14000,"LRA-Paint",AC43:AC14000,"LRA-Dust")</f>
        <v>12</v>
      </c>
      <c r="AB22" t="s">
        <v>338</v>
      </c>
      <c r="AF22">
        <f>COUNTIFS(AE43:AE13127,"LSK-Paint",AF43:AF13127,"LSK-Dust")</f>
        <v>5</v>
      </c>
      <c r="AH22" t="s">
        <v>355</v>
      </c>
      <c r="AL22">
        <f>COUNTIFS(AA43:AA13127,"LRA-Soil",AD43:AD13127,"LSK-Soil",AF43:AF13127,"LSK-Dust")</f>
        <v>5</v>
      </c>
      <c r="AM22" s="15">
        <f t="shared" si="5"/>
        <v>0.625</v>
      </c>
      <c r="AO22" t="s">
        <v>376</v>
      </c>
      <c r="AT22">
        <f>COUNTIFS(AD43:AD13127,"LSK-Soil",AA43:AA13127,"LRA-Soil",AC43:AC13127,"LRA-Dust")</f>
        <v>6</v>
      </c>
      <c r="AU22" s="15">
        <f t="shared" si="6"/>
        <v>0.6</v>
      </c>
    </row>
    <row r="23" spans="1:61" x14ac:dyDescent="0.2">
      <c r="A23" t="s">
        <v>101</v>
      </c>
      <c r="B23">
        <f>COUNTIFS($U$44:$U$44021,"Dust - Floor",$V$44:$V$44021, "Yes")</f>
        <v>16</v>
      </c>
      <c r="C23">
        <f>COUNTIFS($U$44:$U$44021,"Dust - Floor",$V$44:$V$44021, "No")</f>
        <v>18</v>
      </c>
      <c r="D23">
        <f>COUNTIFS($U$44:$U$44021,"Dust - Floor",$V$44:$V$44021, "N/A")</f>
        <v>8</v>
      </c>
      <c r="M23">
        <f t="shared" si="3"/>
        <v>42</v>
      </c>
      <c r="N23">
        <f t="shared" si="4"/>
        <v>34</v>
      </c>
      <c r="V23" t="s">
        <v>339</v>
      </c>
      <c r="Y23">
        <f>COUNTIFS(AB43:AB14000,"LRA-Paint", AA43:AA14000,"LRA-Soil", AC43:AC14000,"LRA-Dust")</f>
        <v>7</v>
      </c>
      <c r="AB23" t="s">
        <v>339</v>
      </c>
      <c r="AF23">
        <f>COUNTIFS(AE43:AE13127,"LSK-Paint", AD43:AD13127,"LSK-Soil", AF43:AF13127,"LSK-Dust")</f>
        <v>2</v>
      </c>
      <c r="AH23" t="s">
        <v>356</v>
      </c>
      <c r="AL23">
        <f>COUNTIFS(AA43:AA13127,"LRA-Soil",AF43:AF13127,"LSK-Dust",AE43:AE13127,"LSK-Paint")</f>
        <v>1</v>
      </c>
      <c r="AM23" s="15">
        <f t="shared" si="5"/>
        <v>0.125</v>
      </c>
      <c r="AO23" t="s">
        <v>377</v>
      </c>
      <c r="AT23">
        <f>COUNTIFS(AD43:AD13127,"LSK-Soil",AB43:AB13127,"LRA-Paint",AC43:AC13127,"LRA-Dust")</f>
        <v>6</v>
      </c>
      <c r="AU23" s="15">
        <f t="shared" si="6"/>
        <v>0.6</v>
      </c>
      <c r="AZ23" t="s">
        <v>346</v>
      </c>
      <c r="BD23">
        <f>COUNTIF(AD43:AD14021,"LSK-Soil")</f>
        <v>10</v>
      </c>
      <c r="BE23" s="33">
        <f>BD23/BI23</f>
        <v>0.26315789473684209</v>
      </c>
      <c r="BG23" t="s">
        <v>469</v>
      </c>
      <c r="BI23">
        <f>COUNTIFS(Q41:Q14000, "=Soil", S41:S14000, "&lt;&gt;N/A")</f>
        <v>38</v>
      </c>
    </row>
    <row r="24" spans="1:61" x14ac:dyDescent="0.2">
      <c r="A24" t="s">
        <v>104</v>
      </c>
      <c r="B24">
        <f>COUNTIFS($U$44:$U$44021,"Dust - Window Sill",$V$44:$V$44021, "Yes")</f>
        <v>8</v>
      </c>
      <c r="C24">
        <f>COUNTIFS($U$44:$U$44021,"Dust - Window Sill",$V$44:$V$44021, "No")</f>
        <v>16</v>
      </c>
      <c r="D24">
        <f>COUNTIFS($U$44:$U$44021,"Dust - Window Sill",$V$44:$V$44021, "N/A")</f>
        <v>18</v>
      </c>
      <c r="M24">
        <f t="shared" si="3"/>
        <v>42</v>
      </c>
      <c r="N24">
        <f t="shared" si="4"/>
        <v>24</v>
      </c>
      <c r="AH24" t="s">
        <v>357</v>
      </c>
      <c r="AL24">
        <f>COUNTIFS(AA43:AA13127,"LRA-Soil",AD43:AD13127,"LSK-Soil",AE43:AE13127,"LSK-Paint", AF43:AF13127, "LSK-Dust")</f>
        <v>1</v>
      </c>
      <c r="AM24" s="15">
        <f t="shared" si="5"/>
        <v>0.125</v>
      </c>
      <c r="AO24" t="s">
        <v>378</v>
      </c>
      <c r="AT24">
        <f>COUNTIFS(AD43:AD13127,"LSK-Soil",AA43:AA13127,"LRA-Soil",AB43:AB13127,"LRA-Paint",AC43:AC13127,"LRA-Dust")</f>
        <v>6</v>
      </c>
      <c r="AU24" s="15">
        <f t="shared" si="6"/>
        <v>0.6</v>
      </c>
      <c r="AZ24" t="s">
        <v>334</v>
      </c>
      <c r="BD24">
        <f>COUNTIFS(AD43:AD14021,"LSK-Soil",AE43:AE14021,"LSK-Paint")</f>
        <v>3</v>
      </c>
      <c r="BE24" s="15">
        <f>BD24/BD23</f>
        <v>0.3</v>
      </c>
    </row>
    <row r="25" spans="1:61" x14ac:dyDescent="0.2">
      <c r="A25" t="s">
        <v>106</v>
      </c>
      <c r="B25">
        <f>COUNTIFS($U$44:$U$44021,"Dust - Overall",$V$44:$V$44021, "Yes")</f>
        <v>16</v>
      </c>
      <c r="C25">
        <f>COUNTIFS($U$44:$U$44021,"Dust - Overall",$V$44:$V$44021, "No")</f>
        <v>23</v>
      </c>
      <c r="D25">
        <f>COUNTIFS($U$44:$U$44021,"Dust - Overall",$V$44:$V$44021, "N/A")</f>
        <v>3</v>
      </c>
      <c r="M25">
        <f t="shared" si="3"/>
        <v>42</v>
      </c>
      <c r="N25">
        <f t="shared" si="4"/>
        <v>39</v>
      </c>
      <c r="V25" t="s">
        <v>343</v>
      </c>
      <c r="Y25">
        <f>COUNTIF(AC43:AC14000,"LRA-Dust")</f>
        <v>16</v>
      </c>
      <c r="AB25" t="s">
        <v>348</v>
      </c>
      <c r="AF25">
        <f>COUNTIF(AF43:AF13127,"LSK-Dust")</f>
        <v>19</v>
      </c>
      <c r="AZ25" t="s">
        <v>335</v>
      </c>
      <c r="BD25">
        <f>COUNTIFS(AD43:AD14021,"LSK-Soil",AF43:AF14021,"LSK-Dust")</f>
        <v>7</v>
      </c>
      <c r="BE25" s="15">
        <f>BD25/BD23</f>
        <v>0.7</v>
      </c>
    </row>
    <row r="26" spans="1:61" x14ac:dyDescent="0.2">
      <c r="A26" t="s">
        <v>121</v>
      </c>
      <c r="B26">
        <f>COUNTIFS($U$44:$U$44021,"Overall Lead",$V$44:$V$44021, "Yes")</f>
        <v>33</v>
      </c>
      <c r="C26">
        <f>COUNTIFS($U$44:$U$44021,"Overall Lead",$V$44:$V$44021, "No")</f>
        <v>9</v>
      </c>
      <c r="D26">
        <f>COUNTIFS($U$44:$U$44021,"Overall Lead",$V$44:$V$44021, "N/A")</f>
        <v>0</v>
      </c>
      <c r="M26">
        <f t="shared" si="3"/>
        <v>42</v>
      </c>
      <c r="N26">
        <f t="shared" si="4"/>
        <v>42</v>
      </c>
      <c r="V26" t="s">
        <v>340</v>
      </c>
      <c r="Y26">
        <f>COUNTIFS(AC43:AC14000,"LRA-Dust",AA43:AA14000,"LRA-Soil")</f>
        <v>7</v>
      </c>
      <c r="AB26" t="s">
        <v>340</v>
      </c>
      <c r="AF26">
        <f>COUNTIFS(AF43:AF13127,"LSK-Dust",AD43:AD13127,"LSK-Soil")</f>
        <v>7</v>
      </c>
      <c r="AH26" t="s">
        <v>358</v>
      </c>
      <c r="AL26">
        <f>COUNTIFS(AB43:AB13127,"LRA-Paint",AD43:AD13127,"LSK-Soil")</f>
        <v>9</v>
      </c>
      <c r="AM26" s="15">
        <f>AL26/$Y$20</f>
        <v>0.32142857142857145</v>
      </c>
      <c r="AO26" t="s">
        <v>379</v>
      </c>
      <c r="AT26">
        <f>COUNTIFS(AE43:AE13127,"LSK-Paint",AA43:AA13127,"LRA-Soil")</f>
        <v>2</v>
      </c>
      <c r="AU26" s="15">
        <f>AT26/$AF$20</f>
        <v>0.2</v>
      </c>
      <c r="AZ26" t="s">
        <v>336</v>
      </c>
      <c r="BD26">
        <f>COUNTIFS(AD43:AD14021,"LSK-Soil",AE43:AE14021,"LSK-Paint",AF43:AF14021,"LSK-Dust")</f>
        <v>2</v>
      </c>
      <c r="BE26" s="15">
        <f>BD26/BD23</f>
        <v>0.2</v>
      </c>
      <c r="BG26" s="15"/>
    </row>
    <row r="27" spans="1:61" x14ac:dyDescent="0.2">
      <c r="V27" t="s">
        <v>344</v>
      </c>
      <c r="Y27">
        <f>COUNTIFS(AC43:AC14000,"LRA-Dust",AB43:AB14000,"LRA-Paint")</f>
        <v>12</v>
      </c>
      <c r="AB27" t="s">
        <v>344</v>
      </c>
      <c r="AF27">
        <f>COUNTIFS(AF43:AF13127,"LSK-Dust",AE43:AE13127,"LSK-Paint")</f>
        <v>5</v>
      </c>
      <c r="AH27" t="s">
        <v>359</v>
      </c>
      <c r="AL27">
        <f>COUNTIFS(AB43:AB13127,"LRA-Paint",AF43:AF13127,"LSK-Dust")</f>
        <v>14</v>
      </c>
      <c r="AM27" s="15">
        <f t="shared" ref="AM27:AM31" si="7">AL27/$Y$20</f>
        <v>0.5</v>
      </c>
      <c r="AO27" t="s">
        <v>380</v>
      </c>
      <c r="AT27">
        <f>COUNTIFS(AE43:AE13127,"LSK-Paint",AC43:AC13127,"LRA-Dust")</f>
        <v>5</v>
      </c>
      <c r="AU27" s="15">
        <f t="shared" ref="AU27:AU31" si="8">AT27/$AF$20</f>
        <v>0.5</v>
      </c>
      <c r="BE27" s="15"/>
      <c r="BG27" s="15"/>
    </row>
    <row r="28" spans="1:61" x14ac:dyDescent="0.2">
      <c r="A28" t="s">
        <v>254</v>
      </c>
      <c r="V28" t="s">
        <v>345</v>
      </c>
      <c r="Y28">
        <f>COUNTIFS(AC43:AC14000,"LRA-Dust", AA43:AA14000,"LRA-Soil", AB43:AB14000,"LRA-Paint" )</f>
        <v>7</v>
      </c>
      <c r="AB28" t="s">
        <v>345</v>
      </c>
      <c r="AF28">
        <f>COUNTIFS(AF43:AF13127,"LSK-Dust", AD43:AD13127,"LSK-Soil", AE43:AE13127,"LSK-Paint" )</f>
        <v>2</v>
      </c>
      <c r="AH28" t="s">
        <v>361</v>
      </c>
      <c r="AL28">
        <f>COUNTIFS(AB43:AB13127,"LRA-Paint",AD43:AD13127,"LSK-Soil",AE43:AE13127,"LSK-Paint")</f>
        <v>3</v>
      </c>
      <c r="AM28" s="15">
        <f t="shared" si="7"/>
        <v>0.10714285714285714</v>
      </c>
      <c r="AO28" t="s">
        <v>381</v>
      </c>
      <c r="AT28">
        <f>COUNTIFS(AE43:AE13127,"LSK-Paint",AA43:AA13127,"LRA-Soil", AB43:AB13127,"LRA-Paint")</f>
        <v>2</v>
      </c>
      <c r="AU28" s="15">
        <f t="shared" si="8"/>
        <v>0.2</v>
      </c>
      <c r="AZ28" t="s">
        <v>347</v>
      </c>
      <c r="BD28">
        <f>COUNTIF(AE43:AE14021,"LSK-Paint")</f>
        <v>10</v>
      </c>
      <c r="BE28" s="33">
        <f>BD28/BI28</f>
        <v>0.24390243902439024</v>
      </c>
      <c r="BG28" s="15" t="s">
        <v>470</v>
      </c>
      <c r="BI28">
        <f>COUNTIFS(Q41:Q14000, "=Paint", S41:S14000, "&lt;&gt;N/A")</f>
        <v>41</v>
      </c>
    </row>
    <row r="29" spans="1:61" x14ac:dyDescent="0.2">
      <c r="B29" t="s">
        <v>5</v>
      </c>
      <c r="C29" t="s">
        <v>9</v>
      </c>
      <c r="D29" t="s">
        <v>120</v>
      </c>
      <c r="AH29" t="s">
        <v>360</v>
      </c>
      <c r="AL29">
        <f>COUNTIFS(AB43:AB13127,"LRA-Paint",AD43:AD13127,"LSK-Soil",AF43:AF13127,"LSK-Dust")</f>
        <v>7</v>
      </c>
      <c r="AM29" s="15">
        <f t="shared" si="7"/>
        <v>0.25</v>
      </c>
      <c r="AO29" t="s">
        <v>382</v>
      </c>
      <c r="AT29">
        <f>COUNTIFS(AE43:AE13127,"LSK-Paint",AA43:AA13127,"LRA-Soil", AC43:AC13127,"LRA-Dust")</f>
        <v>2</v>
      </c>
      <c r="AU29" s="15">
        <f t="shared" si="8"/>
        <v>0.2</v>
      </c>
      <c r="AZ29" t="s">
        <v>337</v>
      </c>
      <c r="BD29">
        <f>COUNTIFS(AE43:AE14021,"LSK-Paint",AD43:AD14021,"LSK-Soil")</f>
        <v>3</v>
      </c>
      <c r="BE29" s="15">
        <f>BD29/BD28</f>
        <v>0.3</v>
      </c>
      <c r="BG29" s="15"/>
    </row>
    <row r="30" spans="1:61" x14ac:dyDescent="0.2">
      <c r="A30" t="s">
        <v>92</v>
      </c>
      <c r="B30">
        <f>COUNTIFS($U$44:$U$44021,"Soil - Play Area",$W$44:$W$44021, "Yes")</f>
        <v>3</v>
      </c>
      <c r="C30">
        <f>COUNTIFS($U$44:$U$44021,"Soil - Play Area",$W$44:$W$44021, "No")</f>
        <v>6</v>
      </c>
      <c r="D30">
        <f>COUNTIFS($U$44:$U$44021,"Soil - Play Area",$W$44:$W$44021, "N/A")</f>
        <v>33</v>
      </c>
      <c r="M30">
        <f t="shared" ref="M30:M38" si="9">B30+C30+D30</f>
        <v>42</v>
      </c>
      <c r="N30">
        <f t="shared" ref="N30:N38" si="10">B30+C30</f>
        <v>9</v>
      </c>
      <c r="AH30" t="s">
        <v>362</v>
      </c>
      <c r="AL30">
        <f>COUNTIFS(AB43:AB13127,"LRA-Paint",AE43:AE13127,"LSK-Paint", AF43:AF13127,"LSK-Dust")</f>
        <v>5</v>
      </c>
      <c r="AM30" s="15">
        <f t="shared" si="7"/>
        <v>0.17857142857142858</v>
      </c>
      <c r="AO30" t="s">
        <v>383</v>
      </c>
      <c r="AT30">
        <f>COUNTIFS(AE43:AE13127,"LSK-Paint",AB43:AB13127,"LRA-Paint", AC43:AC13127,"LRA-Dust")</f>
        <v>5</v>
      </c>
      <c r="AU30" s="15">
        <f t="shared" si="8"/>
        <v>0.5</v>
      </c>
      <c r="AZ30" t="s">
        <v>338</v>
      </c>
      <c r="BD30">
        <f>COUNTIFS(AE43:AE14021,"LSK-Paint",AF43:AF14021,"LSK-Dust")</f>
        <v>5</v>
      </c>
      <c r="BE30" s="15">
        <f>BD30/BD28</f>
        <v>0.5</v>
      </c>
      <c r="BG30" s="15"/>
    </row>
    <row r="31" spans="1:61" x14ac:dyDescent="0.2">
      <c r="A31" t="s">
        <v>95</v>
      </c>
      <c r="B31">
        <f>COUNTIFS($U$44:$U$44021,"Soil - Overall",$W$44:$W$44021, "Yes")</f>
        <v>10</v>
      </c>
      <c r="C31">
        <f>COUNTIFS($U$44:$U$44021,"Soil - Overall",$W$44:$W$44021, "No")</f>
        <v>28</v>
      </c>
      <c r="D31">
        <f>COUNTIFS($U$44:$U$44021,"Soil - Overall",$W$44:$W$44021, "N/A")</f>
        <v>4</v>
      </c>
      <c r="M31">
        <f t="shared" si="9"/>
        <v>42</v>
      </c>
      <c r="N31">
        <f t="shared" si="10"/>
        <v>38</v>
      </c>
      <c r="AH31" t="s">
        <v>363</v>
      </c>
      <c r="AL31">
        <f>COUNTIFS(AB43:AB13127,"LRA-Paint",AD43:AD13127,"LSK-Soil",AE43:AE13127,"LSK-Paint", AF43:AF13127,"LSK-Dust")</f>
        <v>2</v>
      </c>
      <c r="AM31" s="15">
        <f t="shared" si="7"/>
        <v>7.1428571428571425E-2</v>
      </c>
      <c r="AO31" t="s">
        <v>384</v>
      </c>
      <c r="AT31">
        <f>COUNTIFS(AE43:AE13127,"LSK-Paint",AA43:AA13127,"LRA-Soil",AB43:AB13127,"LRA-Paint", AC43:AC13127,"LRA-Dust")</f>
        <v>2</v>
      </c>
      <c r="AU31" s="15">
        <f t="shared" si="8"/>
        <v>0.2</v>
      </c>
      <c r="AZ31" t="s">
        <v>339</v>
      </c>
      <c r="BD31">
        <f>COUNTIFS(AE43:AE14021,"LSK-Paint", AD43:AD14021,"LSK-Soil", AF43:AF14021,"LSK-Dust")</f>
        <v>2</v>
      </c>
      <c r="BE31" s="15">
        <f>BD31/BD28</f>
        <v>0.2</v>
      </c>
      <c r="BG31" s="15"/>
    </row>
    <row r="32" spans="1:61" x14ac:dyDescent="0.2">
      <c r="A32" t="s">
        <v>163</v>
      </c>
      <c r="B32">
        <f>COUNTIFS($U$44:$U$44021,"Paint - Interior",$W$44:$W$44021, "Yes")</f>
        <v>2</v>
      </c>
      <c r="C32">
        <f>COUNTIFS($U$44:$U$44021,"Paint - Interior",$W$44:$W$44021, "No")</f>
        <v>30</v>
      </c>
      <c r="D32">
        <f>COUNTIFS($U$44:$U$44021,"Paint - Interior",$W$44:$W$44021, "N/A")</f>
        <v>10</v>
      </c>
      <c r="M32">
        <f t="shared" si="9"/>
        <v>42</v>
      </c>
      <c r="N32">
        <f t="shared" si="10"/>
        <v>32</v>
      </c>
      <c r="BE32" s="15"/>
      <c r="BG32" s="15"/>
    </row>
    <row r="33" spans="1:61" x14ac:dyDescent="0.2">
      <c r="A33" t="s">
        <v>164</v>
      </c>
      <c r="B33">
        <f>COUNTIFS($U$44:$U$44021,"Paint - Exterior",$W$44:$W$44021, "Yes")</f>
        <v>8</v>
      </c>
      <c r="C33">
        <f>COUNTIFS($U$44:$U$44021,"Paint - Exterior",$W$44:$W$44021, "No")</f>
        <v>25</v>
      </c>
      <c r="D33">
        <f>COUNTIFS($U$44:$U$44021,"Paint - Exterior",$W$44:$W$44021, "N/A")</f>
        <v>9</v>
      </c>
      <c r="M33">
        <f t="shared" si="9"/>
        <v>42</v>
      </c>
      <c r="N33">
        <f t="shared" si="10"/>
        <v>33</v>
      </c>
      <c r="AH33" t="s">
        <v>364</v>
      </c>
      <c r="AL33">
        <f>COUNTIFS(AC43:AC13127,"LRA-Dust",AE43:AE13127,"LSK-Paint")</f>
        <v>5</v>
      </c>
      <c r="AM33" s="15">
        <f>AL33/$Y$25</f>
        <v>0.3125</v>
      </c>
      <c r="AO33" t="s">
        <v>385</v>
      </c>
      <c r="AT33">
        <f>COUNTIFS(AF43:AF13127,"LSK-Dust",AB43:AB13127,"LRA-Paint")</f>
        <v>14</v>
      </c>
      <c r="AU33" s="15">
        <f>AT33/$AF$25</f>
        <v>0.73684210526315785</v>
      </c>
      <c r="AZ33" t="s">
        <v>348</v>
      </c>
      <c r="BD33">
        <f>COUNTIF(AF43:AF14021,"LSK-Dust")</f>
        <v>19</v>
      </c>
      <c r="BE33" s="33">
        <f>BD33/BI33</f>
        <v>0.46341463414634149</v>
      </c>
      <c r="BG33" s="15" t="s">
        <v>471</v>
      </c>
      <c r="BI33">
        <f>COUNTIFS(Q41:Q14000, "=Dust", S41:S14000, "&lt;&gt;N/A")</f>
        <v>41</v>
      </c>
    </row>
    <row r="34" spans="1:61" x14ac:dyDescent="0.2">
      <c r="A34" t="s">
        <v>162</v>
      </c>
      <c r="B34">
        <f>COUNTIFS($U$44:$U$44021,"Paint - Overall",$W$44:$W$44021, "Yes")</f>
        <v>10</v>
      </c>
      <c r="C34">
        <f>COUNTIFS($U$44:$U$44021,"Paint - Overall",$W$44:$W$44021, "No")</f>
        <v>30</v>
      </c>
      <c r="D34">
        <f>COUNTIFS($U$44:$U$44021,"Paint - Overall",$W$44:$W$44021, "N/A")</f>
        <v>2</v>
      </c>
      <c r="M34">
        <f t="shared" si="9"/>
        <v>42</v>
      </c>
      <c r="N34">
        <f t="shared" si="10"/>
        <v>40</v>
      </c>
      <c r="AH34" t="s">
        <v>366</v>
      </c>
      <c r="AL34">
        <f>COUNTIFS(AC43:AC13127,"LRA-Dust",AD43:AD13127,"LSK-Soil")</f>
        <v>6</v>
      </c>
      <c r="AM34" s="15">
        <f t="shared" ref="AM34:AM38" si="11">AL34/$Y$25</f>
        <v>0.375</v>
      </c>
      <c r="AO34" t="s">
        <v>386</v>
      </c>
      <c r="AT34">
        <f>COUNTIFS(AF43:AF13127,"LSK-Dust",AA43:AA13127,"LRA-Soil")</f>
        <v>6</v>
      </c>
      <c r="AU34" s="15">
        <f t="shared" ref="AU34:AU38" si="12">AT34/$AF$25</f>
        <v>0.31578947368421051</v>
      </c>
      <c r="AZ34" t="s">
        <v>340</v>
      </c>
      <c r="BD34">
        <f>COUNTIFS(AF43:AF14021,"LSK-Dust",AD43:AD14021,"LSK-Soil")</f>
        <v>7</v>
      </c>
      <c r="BE34" s="15">
        <f>BD34/BD33</f>
        <v>0.36842105263157893</v>
      </c>
      <c r="BG34" s="15"/>
    </row>
    <row r="35" spans="1:61" x14ac:dyDescent="0.2">
      <c r="A35" t="s">
        <v>101</v>
      </c>
      <c r="B35">
        <f>COUNTIFS($U$44:$U$44021,"Dust - Floor",$W$44:$W$44021, "Yes")</f>
        <v>15</v>
      </c>
      <c r="C35">
        <f>COUNTIFS($U$44:$U$44021,"Dust - Floor",$W$44:$W$44021, "No")</f>
        <v>18</v>
      </c>
      <c r="D35">
        <f>COUNTIFS($U$44:$U$44021,"Dust - Floor",$W$44:$W$44021, "N/A")</f>
        <v>8</v>
      </c>
      <c r="M35">
        <f t="shared" si="9"/>
        <v>41</v>
      </c>
      <c r="N35">
        <f t="shared" si="10"/>
        <v>33</v>
      </c>
      <c r="AH35" t="s">
        <v>365</v>
      </c>
      <c r="AL35">
        <f>COUNTIFS(AC43:AC13127,"LRA-Dust",AD43:AD13127,"LSK-Soil",AE43:AE13127,"LSK-Paint")</f>
        <v>2</v>
      </c>
      <c r="AM35" s="15">
        <f t="shared" si="11"/>
        <v>0.125</v>
      </c>
      <c r="AO35" t="s">
        <v>387</v>
      </c>
      <c r="AT35">
        <f>COUNTIFS(AF43:AF13127,"LSK-Dust",AA43:AA13127,"LRA-Soil", AB43:AB13127,"LRA-Paint")</f>
        <v>6</v>
      </c>
      <c r="AU35" s="15">
        <f t="shared" si="12"/>
        <v>0.31578947368421051</v>
      </c>
      <c r="AZ35" t="s">
        <v>344</v>
      </c>
      <c r="BD35">
        <f>COUNTIFS(AF43:AF14021,"LSK-Dust",AE43:AE14021,"LSK-Paint")</f>
        <v>5</v>
      </c>
      <c r="BE35" s="31">
        <f>BD35/BD33</f>
        <v>0.26315789473684209</v>
      </c>
      <c r="BF35" s="17"/>
    </row>
    <row r="36" spans="1:61" x14ac:dyDescent="0.2">
      <c r="A36" t="s">
        <v>104</v>
      </c>
      <c r="B36">
        <f>COUNTIFS($U$44:$U$44021,"Dust - Window Sill",$W$44:$W$44021, "Yes")</f>
        <v>2</v>
      </c>
      <c r="C36">
        <f>COUNTIFS($U$44:$U$44021,"Dust - Window Sill",$W$44:$W$44021, "No")</f>
        <v>34</v>
      </c>
      <c r="D36">
        <f>COUNTIFS($U$44:$U$44021,"Dust - Window Sill",$W$44:$W$44021, "N/A")</f>
        <v>5</v>
      </c>
      <c r="M36">
        <f t="shared" si="9"/>
        <v>41</v>
      </c>
      <c r="N36">
        <f t="shared" si="10"/>
        <v>36</v>
      </c>
      <c r="AH36" t="s">
        <v>367</v>
      </c>
      <c r="AL36">
        <f>COUNTIFS(AC43:AC13127,"LRA-Dust",AD43:AD13127,"LSK-Soil",AF43:AF13127,"LSK-Dust")</f>
        <v>5</v>
      </c>
      <c r="AM36" s="15">
        <f t="shared" si="11"/>
        <v>0.3125</v>
      </c>
      <c r="AO36" t="s">
        <v>388</v>
      </c>
      <c r="AT36">
        <f>COUNTIFS(AF43:AF13127,"LSK-Dust",AA43:AA13127,"LRA-Soil", AC43:AC13127,"LRA-Dust")</f>
        <v>6</v>
      </c>
      <c r="AU36" s="15">
        <f t="shared" si="12"/>
        <v>0.31578947368421051</v>
      </c>
      <c r="AZ36" t="s">
        <v>345</v>
      </c>
      <c r="BD36">
        <f>COUNTIFS(AF43:AF14021,"LSK-Dust", AD43:AD14021,"LSK-Soil", AE43:AE14021,"LSK-Paint" )</f>
        <v>2</v>
      </c>
      <c r="BE36" s="15">
        <f>BD36/BD33</f>
        <v>0.10526315789473684</v>
      </c>
    </row>
    <row r="37" spans="1:61" x14ac:dyDescent="0.2">
      <c r="A37" t="s">
        <v>106</v>
      </c>
      <c r="B37">
        <f>COUNTIFS($U$44:$U$44021,"Dust - Overall",$W$44:$W$44021, "Yes")</f>
        <v>19</v>
      </c>
      <c r="C37">
        <f>COUNTIFS($U$44:$U$44021,"Dust - Overall",$W$44:$W$44021, "No")</f>
        <v>21</v>
      </c>
      <c r="D37">
        <f>COUNTIFS($U$44:$U$44021,"Dust - Overall",$W$44:$W$44021, "N/A")</f>
        <v>2</v>
      </c>
      <c r="M37">
        <f t="shared" si="9"/>
        <v>42</v>
      </c>
      <c r="N37">
        <f t="shared" si="10"/>
        <v>40</v>
      </c>
      <c r="AH37" t="s">
        <v>368</v>
      </c>
      <c r="AL37">
        <f>COUNTIFS(AC43:AC13127,"LRA-Dust",AE43:AE13127,"LSK-Paint",AF43:AF13127,"LSK-Dust")</f>
        <v>2</v>
      </c>
      <c r="AM37" s="15">
        <f t="shared" si="11"/>
        <v>0.125</v>
      </c>
      <c r="AO37" t="s">
        <v>389</v>
      </c>
      <c r="AT37">
        <f>COUNTIFS(AF43:AF13127,"LSK-Dust",AB43:AB13127,"LRA-Paint", AC43:AC13127,"LRA-Dust")</f>
        <v>7</v>
      </c>
      <c r="AU37" s="15">
        <f t="shared" si="12"/>
        <v>0.36842105263157893</v>
      </c>
    </row>
    <row r="38" spans="1:61" x14ac:dyDescent="0.2">
      <c r="A38" t="s">
        <v>121</v>
      </c>
      <c r="B38">
        <f>COUNTIFS($U$44:$U$44021,"Overall Lead",$W$44:$W$44021, "Yes")</f>
        <v>26</v>
      </c>
      <c r="C38">
        <f>COUNTIFS($U$44:$U$44021,"Overall Lead",$W$44:$W$44021, "No")</f>
        <v>16</v>
      </c>
      <c r="D38">
        <f>COUNTIFS($U$44:$U$44021,"Overall Lead",$W$44:$W$44021, "N/A")</f>
        <v>0</v>
      </c>
      <c r="M38">
        <f t="shared" si="9"/>
        <v>42</v>
      </c>
      <c r="N38">
        <f t="shared" si="10"/>
        <v>42</v>
      </c>
      <c r="AH38" t="s">
        <v>369</v>
      </c>
      <c r="AL38">
        <f>COUNTIFS(AC43:AC13127,"LRA-Dust",AD43:AD13127,"LSK-Soil",AE43:AE13127,"LSK-Paint", AF43:AF13127,"LSK-Dust")</f>
        <v>1</v>
      </c>
      <c r="AM38" s="15">
        <f t="shared" si="11"/>
        <v>6.25E-2</v>
      </c>
      <c r="AO38" t="s">
        <v>390</v>
      </c>
      <c r="AT38">
        <f>COUNTIFS(AF43:AF13127,"LSK-Dust",AA43:AA13127,"LRA-Soil",AB43:AB13127,"LRA-Paint", AC43:AC13127,"LRA-Dust")</f>
        <v>6</v>
      </c>
      <c r="AU38" s="15">
        <f t="shared" si="12"/>
        <v>0.31578947368421051</v>
      </c>
    </row>
    <row r="41" spans="1:61" x14ac:dyDescent="0.2">
      <c r="A41" s="1">
        <f>VLOOKUP(C41,'Grid - LRA Samples'!$A$2:$B$108, 2,FALSE)</f>
        <v>369</v>
      </c>
      <c r="B41" s="2" t="s">
        <v>152</v>
      </c>
      <c r="C41" s="2">
        <v>1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61" x14ac:dyDescent="0.2">
      <c r="A42" s="3" t="s">
        <v>0</v>
      </c>
      <c r="B42" s="2"/>
      <c r="C42" s="2"/>
      <c r="D42" s="2"/>
      <c r="E42" s="2" t="s">
        <v>274</v>
      </c>
      <c r="F42" s="2" t="s">
        <v>275</v>
      </c>
      <c r="G42" s="2" t="s">
        <v>119</v>
      </c>
      <c r="H42" s="2"/>
      <c r="I42" s="2"/>
      <c r="J42" s="3" t="s">
        <v>1</v>
      </c>
      <c r="K42" s="2"/>
      <c r="L42" s="2"/>
      <c r="M42" s="2"/>
      <c r="N42" s="2" t="s">
        <v>277</v>
      </c>
      <c r="O42" t="s">
        <v>278</v>
      </c>
    </row>
    <row r="43" spans="1:61" x14ac:dyDescent="0.2">
      <c r="A43" s="2" t="s">
        <v>2</v>
      </c>
      <c r="B43" s="2" t="s">
        <v>3</v>
      </c>
      <c r="C43" s="2">
        <v>11.6</v>
      </c>
      <c r="D43" s="2" t="s">
        <v>4</v>
      </c>
      <c r="E43" s="2" t="str">
        <f t="shared" ref="E43:F48" si="13">IF(B43&gt;=$W$2, "Yes","No")</f>
        <v>Yes</v>
      </c>
      <c r="F43" s="2" t="str">
        <f t="shared" si="13"/>
        <v>Yes</v>
      </c>
      <c r="G43" s="2" t="s">
        <v>5</v>
      </c>
      <c r="H43" s="2" t="s">
        <v>46</v>
      </c>
      <c r="I43" s="2"/>
      <c r="J43" s="2" t="s">
        <v>6</v>
      </c>
      <c r="K43" s="2">
        <v>410.8</v>
      </c>
      <c r="L43" s="2" t="s">
        <v>7</v>
      </c>
      <c r="M43" s="2" t="s">
        <v>8</v>
      </c>
      <c r="N43" s="2" t="s">
        <v>9</v>
      </c>
      <c r="O43" t="str">
        <f>IF(K43="Not","No",IF(K43="n/a","N/A",IF(K43&gt;$Y$3,"Yes","No")))</f>
        <v>Yes</v>
      </c>
      <c r="Q43" s="5" t="s">
        <v>115</v>
      </c>
      <c r="R43" s="5" t="s">
        <v>0</v>
      </c>
      <c r="S43" s="5" t="s">
        <v>1</v>
      </c>
      <c r="U43" s="5" t="s">
        <v>115</v>
      </c>
      <c r="V43" s="5" t="s">
        <v>0</v>
      </c>
      <c r="W43" s="5" t="s">
        <v>1</v>
      </c>
      <c r="X43" s="5" t="s">
        <v>122</v>
      </c>
      <c r="AA43" t="str">
        <f>IF(R44="Yes","LRA-Soil","")</f>
        <v/>
      </c>
      <c r="AB43" t="str">
        <f>IF(R45="Yes","LRA-Paint","")</f>
        <v>LRA-Paint</v>
      </c>
      <c r="AC43" t="str">
        <f>IF(R46="Yes","LRA-Dust","")</f>
        <v/>
      </c>
      <c r="AD43" t="str">
        <f>IF(S44="Yes","LSK-Soil","")</f>
        <v/>
      </c>
      <c r="AE43" t="str">
        <f>IF(S45="Yes","LSK-Paint","")</f>
        <v>LSK-Paint</v>
      </c>
      <c r="AF43" t="str">
        <f>IF(S46="Yes","LSK-Dust","")</f>
        <v>LSK-Dust</v>
      </c>
    </row>
    <row r="44" spans="1:61" x14ac:dyDescent="0.2">
      <c r="A44" s="2" t="s">
        <v>2</v>
      </c>
      <c r="B44" s="2" t="s">
        <v>10</v>
      </c>
      <c r="C44" s="2">
        <v>1.7</v>
      </c>
      <c r="D44" s="2" t="s">
        <v>4</v>
      </c>
      <c r="E44" s="2" t="str">
        <f t="shared" si="13"/>
        <v>Yes</v>
      </c>
      <c r="F44" s="2" t="str">
        <f t="shared" si="13"/>
        <v>Yes</v>
      </c>
      <c r="G44" s="2" t="s">
        <v>5</v>
      </c>
      <c r="H44" s="2" t="s">
        <v>46</v>
      </c>
      <c r="I44" s="2"/>
      <c r="J44" s="2" t="s">
        <v>11</v>
      </c>
      <c r="K44" s="2">
        <v>390.8</v>
      </c>
      <c r="L44" s="2" t="s">
        <v>12</v>
      </c>
      <c r="M44" s="2" t="s">
        <v>13</v>
      </c>
      <c r="N44" s="2" t="s">
        <v>9</v>
      </c>
      <c r="O44" t="str">
        <f t="shared" ref="O44:O45" si="14">IF(K44="Not","No",IF(K44="n/a","N/A",IF(K44&gt;$Y$3,"Yes","No")))</f>
        <v>No</v>
      </c>
      <c r="Q44" s="2" t="s">
        <v>116</v>
      </c>
      <c r="R44" t="str">
        <f>_xlfn.XLOOKUP("ppm",D43:D50,F43:F50,"N/A")</f>
        <v>No</v>
      </c>
      <c r="S44" t="str">
        <f>IF(COUNTIF(O44:O46,"Yes"),"Yes","No")</f>
        <v>No</v>
      </c>
      <c r="U44" t="s">
        <v>92</v>
      </c>
      <c r="V44" t="s">
        <v>9</v>
      </c>
      <c r="W44" t="s">
        <v>120</v>
      </c>
      <c r="X44" t="str">
        <f>IF(V44="N/A","N/A",IF(W44="N/A", "N/A", IF(V44=W44, "Yes","No")))</f>
        <v>N/A</v>
      </c>
    </row>
    <row r="45" spans="1:61" x14ac:dyDescent="0.2">
      <c r="A45" s="2" t="s">
        <v>2</v>
      </c>
      <c r="B45" s="2" t="s">
        <v>14</v>
      </c>
      <c r="C45" s="2">
        <v>3.7</v>
      </c>
      <c r="D45" s="2" t="s">
        <v>4</v>
      </c>
      <c r="E45" s="2" t="str">
        <f t="shared" si="13"/>
        <v>Yes</v>
      </c>
      <c r="F45" s="2" t="str">
        <f t="shared" si="13"/>
        <v>Yes</v>
      </c>
      <c r="G45" s="2" t="s">
        <v>5</v>
      </c>
      <c r="H45" s="2" t="s">
        <v>46</v>
      </c>
      <c r="I45" s="2"/>
      <c r="J45" s="2" t="s">
        <v>15</v>
      </c>
      <c r="K45" s="2">
        <v>66.7</v>
      </c>
      <c r="L45" s="2" t="s">
        <v>12</v>
      </c>
      <c r="M45" s="2" t="s">
        <v>16</v>
      </c>
      <c r="N45" s="2" t="s">
        <v>9</v>
      </c>
      <c r="O45" t="str">
        <f t="shared" si="14"/>
        <v>No</v>
      </c>
      <c r="Q45" s="2" t="s">
        <v>98</v>
      </c>
      <c r="R45" t="str">
        <f>_xlfn.XLOOKUP("mg/cm2",D43:D50,G43:G50,"N/A")</f>
        <v>Yes</v>
      </c>
      <c r="S45" t="str">
        <f>IF(COUNTIF(O46:O47,"Yes"),"Yes","No")</f>
        <v>Yes</v>
      </c>
      <c r="U45" t="s">
        <v>95</v>
      </c>
      <c r="V45" t="str">
        <f>R44</f>
        <v>No</v>
      </c>
      <c r="W45" t="str">
        <f>S44</f>
        <v>No</v>
      </c>
      <c r="X45" t="str">
        <f t="shared" ref="X45:X47" si="15">IF(V45="N/A","N/A",IF(W45="N/A", "N/A", IF(V45=W45, "Yes","No")))</f>
        <v>Yes</v>
      </c>
    </row>
    <row r="46" spans="1:61" x14ac:dyDescent="0.2">
      <c r="A46" s="2" t="s">
        <v>17</v>
      </c>
      <c r="B46" s="2" t="s">
        <v>18</v>
      </c>
      <c r="C46" s="2">
        <v>10.1</v>
      </c>
      <c r="D46" s="2" t="s">
        <v>4</v>
      </c>
      <c r="E46" s="2" t="str">
        <f t="shared" si="13"/>
        <v>Yes</v>
      </c>
      <c r="F46" s="2" t="str">
        <f t="shared" si="13"/>
        <v>Yes</v>
      </c>
      <c r="G46" s="2" t="s">
        <v>5</v>
      </c>
      <c r="H46" s="2" t="s">
        <v>46</v>
      </c>
      <c r="I46" s="2"/>
      <c r="J46" s="2" t="s">
        <v>19</v>
      </c>
      <c r="K46" s="2">
        <v>74.2</v>
      </c>
      <c r="L46" s="2" t="s">
        <v>12</v>
      </c>
      <c r="M46" s="2" t="s">
        <v>20</v>
      </c>
      <c r="N46" s="2" t="s">
        <v>9</v>
      </c>
      <c r="O46" t="str">
        <f t="shared" ref="O46:O47" si="16">IF(K46="Not","No",IF(K46="n/a","N/A",IF(K46&gt;$Y$2,"Yes","No")))</f>
        <v>No</v>
      </c>
      <c r="Q46" s="2" t="s">
        <v>117</v>
      </c>
      <c r="R46" t="str">
        <f>_xlfn.XLOOKUP("ug/ft2",D43:D50,F43:F50,"N/A")</f>
        <v>No</v>
      </c>
      <c r="S46" t="str">
        <f>IF(COUNTIF(O48:O50,"Yes"),"Yes","No")</f>
        <v>Yes</v>
      </c>
      <c r="U46" t="s">
        <v>163</v>
      </c>
      <c r="V46" t="s">
        <v>120</v>
      </c>
      <c r="W46" t="s">
        <v>9</v>
      </c>
      <c r="X46" t="str">
        <f t="shared" si="15"/>
        <v>N/A</v>
      </c>
    </row>
    <row r="47" spans="1:61" x14ac:dyDescent="0.2">
      <c r="A47" s="2" t="s">
        <v>21</v>
      </c>
      <c r="B47" s="2" t="s">
        <v>18</v>
      </c>
      <c r="C47" s="2">
        <v>2.2000000000000002</v>
      </c>
      <c r="D47" s="2" t="s">
        <v>4</v>
      </c>
      <c r="E47" s="2" t="str">
        <f t="shared" si="13"/>
        <v>Yes</v>
      </c>
      <c r="F47" s="2" t="str">
        <f t="shared" si="13"/>
        <v>Yes</v>
      </c>
      <c r="G47" s="2" t="s">
        <v>5</v>
      </c>
      <c r="H47" s="2" t="s">
        <v>46</v>
      </c>
      <c r="I47" s="2"/>
      <c r="J47" s="2" t="s">
        <v>22</v>
      </c>
      <c r="K47" s="2">
        <v>14003</v>
      </c>
      <c r="L47" s="2" t="s">
        <v>12</v>
      </c>
      <c r="M47" s="2" t="s">
        <v>23</v>
      </c>
      <c r="N47" s="2" t="s">
        <v>5</v>
      </c>
      <c r="O47" t="str">
        <f t="shared" si="16"/>
        <v>Yes</v>
      </c>
      <c r="Q47" s="2" t="s">
        <v>118</v>
      </c>
      <c r="R47" t="str">
        <f>IF(COUNTIF(R44:R46,"Yes"),"Yes","No")</f>
        <v>Yes</v>
      </c>
      <c r="S47" t="str">
        <f>IF(COUNTIF(S44:S46,"Yes"),"Yes","No")</f>
        <v>Yes</v>
      </c>
      <c r="U47" t="s">
        <v>164</v>
      </c>
      <c r="V47" t="s">
        <v>5</v>
      </c>
      <c r="W47" t="s">
        <v>5</v>
      </c>
      <c r="X47" t="str">
        <f t="shared" si="15"/>
        <v>Yes</v>
      </c>
    </row>
    <row r="48" spans="1:61" x14ac:dyDescent="0.2">
      <c r="A48" s="2" t="s">
        <v>21</v>
      </c>
      <c r="B48" s="2" t="s">
        <v>24</v>
      </c>
      <c r="C48" s="2">
        <v>1.4</v>
      </c>
      <c r="D48" s="2" t="s">
        <v>4</v>
      </c>
      <c r="E48" s="2" t="str">
        <f t="shared" si="13"/>
        <v>Yes</v>
      </c>
      <c r="F48" s="2" t="str">
        <f t="shared" si="13"/>
        <v>Yes</v>
      </c>
      <c r="G48" s="2" t="s">
        <v>5</v>
      </c>
      <c r="H48" s="2" t="s">
        <v>46</v>
      </c>
      <c r="I48" s="2"/>
      <c r="J48" s="2" t="s">
        <v>25</v>
      </c>
      <c r="K48" s="2">
        <v>22.3</v>
      </c>
      <c r="L48" s="2" t="s">
        <v>12</v>
      </c>
      <c r="M48" s="2" t="s">
        <v>26</v>
      </c>
      <c r="N48" s="2" t="s">
        <v>9</v>
      </c>
      <c r="O48" t="str">
        <f>IF(K48="Not","No",IF(K48="n/a","N/A",IF(K48&gt;$Y$5,"Yes","No")))</f>
        <v>No</v>
      </c>
      <c r="U48" t="s">
        <v>162</v>
      </c>
      <c r="V48" t="str">
        <f>R45</f>
        <v>Yes</v>
      </c>
      <c r="W48" t="str">
        <f>S45</f>
        <v>Yes</v>
      </c>
      <c r="X48" t="str">
        <f>IF(V48="N/A","N/A",IF(W48="N/A", "N/A", IF(V48=W48, "Yes","No")))</f>
        <v>Yes</v>
      </c>
    </row>
    <row r="49" spans="1:32" x14ac:dyDescent="0.2">
      <c r="A49" s="2" t="s">
        <v>27</v>
      </c>
      <c r="B49" s="2" t="s">
        <v>28</v>
      </c>
      <c r="C49" s="2">
        <v>140</v>
      </c>
      <c r="D49" s="2" t="s">
        <v>12</v>
      </c>
      <c r="E49" s="2" t="str">
        <f>IF(B49&gt;$W$3,"Yes","No")</f>
        <v>Yes</v>
      </c>
      <c r="F49" s="2" t="str">
        <f>IF(C49&gt;$W$3,"Yes","No")</f>
        <v>No</v>
      </c>
      <c r="G49" s="2" t="s">
        <v>9</v>
      </c>
      <c r="H49" s="2"/>
      <c r="I49" s="2"/>
      <c r="J49" s="2" t="s">
        <v>29</v>
      </c>
      <c r="K49" s="2">
        <v>23.6</v>
      </c>
      <c r="L49" s="2" t="s">
        <v>12</v>
      </c>
      <c r="M49" s="2" t="s">
        <v>30</v>
      </c>
      <c r="N49" s="2" t="s">
        <v>5</v>
      </c>
      <c r="O49" t="str">
        <f>IF(K49="Not","No",IF(K49="n/a","N/A",IF(K49&gt;$Y$6,"Yes","No")))</f>
        <v>Yes</v>
      </c>
      <c r="U49" t="s">
        <v>101</v>
      </c>
      <c r="V49" t="s">
        <v>9</v>
      </c>
      <c r="W49" t="s">
        <v>5</v>
      </c>
      <c r="X49" t="str">
        <f>IF(V49="N/A","N/A",IF(W49="N/A", "N/A", IF(V49=W49, "Yes","No")))</f>
        <v>No</v>
      </c>
    </row>
    <row r="50" spans="1:32" x14ac:dyDescent="0.2">
      <c r="A50" s="2" t="s">
        <v>31</v>
      </c>
      <c r="B50" s="2" t="s">
        <v>32</v>
      </c>
      <c r="C50" s="2">
        <v>5.0999999999999996</v>
      </c>
      <c r="D50" s="2" t="s">
        <v>33</v>
      </c>
      <c r="E50" s="2" t="str">
        <f>IF(B50&gt;$W$6,"Yes","No")</f>
        <v>Yes</v>
      </c>
      <c r="F50" s="2" t="str">
        <f>IF(C50&gt;$W$6,"Yes","No")</f>
        <v>No</v>
      </c>
      <c r="G50" s="2" t="s">
        <v>9</v>
      </c>
      <c r="H50" s="2"/>
      <c r="I50" s="2"/>
      <c r="J50" s="2" t="s">
        <v>34</v>
      </c>
      <c r="K50" s="2">
        <v>168.6</v>
      </c>
      <c r="L50" s="2" t="s">
        <v>12</v>
      </c>
      <c r="M50" s="2" t="s">
        <v>35</v>
      </c>
      <c r="N50" s="2" t="s">
        <v>5</v>
      </c>
      <c r="O50" t="str">
        <f>IF(K50="Not","No",IF(K50="n/a","N/A",IF(K50&gt;$Y$6,"Yes","No")))</f>
        <v>Yes</v>
      </c>
      <c r="U50" t="s">
        <v>104</v>
      </c>
      <c r="V50" t="s">
        <v>120</v>
      </c>
      <c r="W50" t="s">
        <v>5</v>
      </c>
      <c r="X50" t="str">
        <f>IF(V50="N/A","N/A",IF(W50="N/A", "N/A", IF(V50=W50, "Yes","No")))</f>
        <v>N/A</v>
      </c>
    </row>
    <row r="51" spans="1:3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U51" t="s">
        <v>106</v>
      </c>
      <c r="V51" t="str">
        <f>R46</f>
        <v>No</v>
      </c>
      <c r="W51" t="str">
        <f>S46</f>
        <v>Yes</v>
      </c>
      <c r="X51" t="str">
        <f>IF(V51="N/A","N/A",IF(W51="N/A", "N/A", IF(V51=W51, "Yes","No")))</f>
        <v>No</v>
      </c>
    </row>
    <row r="52" spans="1:3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U52" t="s">
        <v>121</v>
      </c>
      <c r="V52" t="str">
        <f>R47</f>
        <v>Yes</v>
      </c>
      <c r="W52" t="str">
        <f>S47</f>
        <v>Yes</v>
      </c>
      <c r="X52" t="str">
        <f>IF(V52="N/A","N/A",IF(W52="N/A", "N/A", IF(V52=W52, "Yes","No")))</f>
        <v>Yes</v>
      </c>
    </row>
    <row r="53" spans="1:3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3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2" x14ac:dyDescent="0.2">
      <c r="A56" s="1">
        <f>VLOOKUP(C56,'Grid - LRA Samples'!$A$2:$B$108, 2,FALSE)</f>
        <v>367</v>
      </c>
      <c r="B56" s="2" t="s">
        <v>152</v>
      </c>
      <c r="C56" s="2">
        <v>2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32" x14ac:dyDescent="0.2">
      <c r="A57" s="3" t="s">
        <v>0</v>
      </c>
      <c r="B57" s="2"/>
      <c r="C57" s="2"/>
      <c r="D57" s="2"/>
      <c r="E57" s="2" t="s">
        <v>274</v>
      </c>
      <c r="F57" s="2" t="s">
        <v>275</v>
      </c>
      <c r="G57" s="2" t="s">
        <v>119</v>
      </c>
      <c r="H57" s="2"/>
      <c r="I57" s="2"/>
      <c r="J57" s="3" t="s">
        <v>1</v>
      </c>
      <c r="K57" s="2"/>
      <c r="L57" s="2"/>
      <c r="M57" s="2"/>
      <c r="N57" s="2" t="s">
        <v>277</v>
      </c>
      <c r="O57" t="s">
        <v>278</v>
      </c>
      <c r="Q57" s="5" t="s">
        <v>115</v>
      </c>
      <c r="R57" s="5" t="s">
        <v>0</v>
      </c>
      <c r="S57" s="5" t="s">
        <v>1</v>
      </c>
      <c r="U57" s="5" t="s">
        <v>115</v>
      </c>
      <c r="V57" s="5" t="s">
        <v>0</v>
      </c>
      <c r="W57" s="5" t="s">
        <v>1</v>
      </c>
      <c r="X57" s="5" t="s">
        <v>122</v>
      </c>
      <c r="AA57" t="str">
        <f>IF(R58="Yes","LRA-Soil","")</f>
        <v/>
      </c>
      <c r="AB57" t="str">
        <f>IF(R59="Yes","LRA-Paint","")</f>
        <v/>
      </c>
      <c r="AC57" t="str">
        <f>IF(R60="Yes","LRA-Dust","")</f>
        <v>LRA-Dust</v>
      </c>
      <c r="AD57" t="str">
        <f>IF(S58="Yes","LSK-Soil","")</f>
        <v/>
      </c>
      <c r="AE57" t="str">
        <f>IF(S59="Yes","LSK-Paint","")</f>
        <v/>
      </c>
      <c r="AF57" t="str">
        <f>IF(S60="Yes","LSK-Dust","")</f>
        <v>LSK-Dust</v>
      </c>
    </row>
    <row r="58" spans="1:32" x14ac:dyDescent="0.2">
      <c r="A58" s="2" t="s">
        <v>21</v>
      </c>
      <c r="B58" s="2" t="s">
        <v>18</v>
      </c>
      <c r="C58" s="2">
        <v>2.2000000000000002</v>
      </c>
      <c r="D58" s="2" t="s">
        <v>4</v>
      </c>
      <c r="E58" s="2" t="s">
        <v>5</v>
      </c>
      <c r="F58" s="2" t="str">
        <f>IF(C58&gt;=$W$2,"Yes","No")</f>
        <v>Yes</v>
      </c>
      <c r="G58" s="2" t="s">
        <v>9</v>
      </c>
      <c r="H58" s="2" t="s">
        <v>46</v>
      </c>
      <c r="I58" s="2"/>
      <c r="J58" s="2" t="s">
        <v>6</v>
      </c>
      <c r="K58" s="2">
        <v>79.400000000000006</v>
      </c>
      <c r="L58" s="2" t="s">
        <v>7</v>
      </c>
      <c r="M58" s="2" t="s">
        <v>36</v>
      </c>
      <c r="N58" s="2" t="s">
        <v>9</v>
      </c>
      <c r="O58" t="str">
        <f>IF(K58="Not","No",IF(K58="n/a","N/A",IF(K58&gt;$Y$3,"Yes","No")))</f>
        <v>No</v>
      </c>
      <c r="Q58" s="2" t="s">
        <v>116</v>
      </c>
      <c r="R58" t="str">
        <f>_xlfn.XLOOKUP("mg/Kg",D58:D69,F58:F69,"N/A")</f>
        <v>No</v>
      </c>
      <c r="S58" t="str">
        <f>IF(COUNTIF(O58:O60,"Yes"),"Yes","No")</f>
        <v>No</v>
      </c>
      <c r="U58" t="s">
        <v>92</v>
      </c>
      <c r="V58" t="s">
        <v>9</v>
      </c>
      <c r="W58" t="s">
        <v>120</v>
      </c>
      <c r="X58" t="str">
        <f>IF(V58="N/A","N/A",IF(W58="N/A", "N/A", IF(V58=W58, "Yes","No")))</f>
        <v>N/A</v>
      </c>
    </row>
    <row r="59" spans="1:32" x14ac:dyDescent="0.2">
      <c r="A59" s="2" t="s">
        <v>27</v>
      </c>
      <c r="B59" s="2" t="s">
        <v>28</v>
      </c>
      <c r="C59" s="2">
        <v>100</v>
      </c>
      <c r="D59" s="2" t="s">
        <v>37</v>
      </c>
      <c r="E59" s="2" t="s">
        <v>9</v>
      </c>
      <c r="F59" s="2" t="str">
        <f>IF(C59&gt;$W$3,"Yes","No")</f>
        <v>No</v>
      </c>
      <c r="G59" s="2" t="s">
        <v>9</v>
      </c>
      <c r="H59" s="2"/>
      <c r="I59" s="2"/>
      <c r="J59" s="2" t="s">
        <v>11</v>
      </c>
      <c r="K59" s="2">
        <v>54.4</v>
      </c>
      <c r="L59" s="2" t="s">
        <v>12</v>
      </c>
      <c r="M59" s="2" t="s">
        <v>38</v>
      </c>
      <c r="N59" s="2" t="s">
        <v>9</v>
      </c>
      <c r="O59" t="str">
        <f>IF(K59="Not","No",IF(K59="n/a","N/A",IF(K59&gt;$Y$3,"Yes","No")))</f>
        <v>No</v>
      </c>
      <c r="Q59" s="2" t="s">
        <v>98</v>
      </c>
      <c r="R59" t="str">
        <f>_xlfn.XLOOKUP("mg/cm2",D58:D69,G58:G69,"N/A")</f>
        <v>No</v>
      </c>
      <c r="S59" t="str">
        <f>IF(COUNTIF(O61:O62,"Yes"),"Yes","No")</f>
        <v>No</v>
      </c>
      <c r="U59" t="s">
        <v>95</v>
      </c>
      <c r="V59" t="str">
        <f>R58</f>
        <v>No</v>
      </c>
      <c r="W59" t="str">
        <f>S58</f>
        <v>No</v>
      </c>
      <c r="X59" t="str">
        <f t="shared" ref="X59:X61" si="17">IF(V59="N/A","N/A",IF(W59="N/A", "N/A", IF(V59=W59, "Yes","No")))</f>
        <v>Yes</v>
      </c>
    </row>
    <row r="60" spans="1:32" x14ac:dyDescent="0.2">
      <c r="A60" s="2" t="s">
        <v>39</v>
      </c>
      <c r="B60" s="2" t="s">
        <v>40</v>
      </c>
      <c r="C60" s="2">
        <v>0</v>
      </c>
      <c r="D60" s="2" t="s">
        <v>4</v>
      </c>
      <c r="E60" s="2" t="s">
        <v>9</v>
      </c>
      <c r="F60" s="2" t="str">
        <f t="shared" ref="F60:F69" si="18">IF(C60&gt;=$W$2,"Yes","No")</f>
        <v>No</v>
      </c>
      <c r="G60" s="2" t="s">
        <v>9</v>
      </c>
      <c r="H60" s="2" t="s">
        <v>43</v>
      </c>
      <c r="I60" s="2"/>
      <c r="J60" s="2" t="s">
        <v>15</v>
      </c>
      <c r="K60" s="2">
        <v>101.5</v>
      </c>
      <c r="L60" s="2" t="s">
        <v>12</v>
      </c>
      <c r="M60" s="2" t="s">
        <v>41</v>
      </c>
      <c r="N60" s="2" t="s">
        <v>9</v>
      </c>
      <c r="O60" t="str">
        <f>IF(K60="Not","No",IF(K60="n/a","N/A",IF(K60&gt;$Y$3,"Yes","No")))</f>
        <v>No</v>
      </c>
      <c r="Q60" s="2" t="s">
        <v>117</v>
      </c>
      <c r="R60" t="str">
        <f>_xlfn.XLOOKUP("ug/ft2",D58:D69,F58:F69,"N/A")</f>
        <v>Yes</v>
      </c>
      <c r="S60" t="str">
        <f>IF(COUNTIF(O63:O65,"Yes"),"Yes","No")</f>
        <v>Yes</v>
      </c>
      <c r="U60" t="s">
        <v>163</v>
      </c>
      <c r="V60" t="s">
        <v>5</v>
      </c>
      <c r="W60" t="s">
        <v>9</v>
      </c>
      <c r="X60" t="str">
        <f t="shared" si="17"/>
        <v>No</v>
      </c>
    </row>
    <row r="61" spans="1:32" x14ac:dyDescent="0.2">
      <c r="A61" s="2" t="s">
        <v>42</v>
      </c>
      <c r="B61" s="2" t="s">
        <v>10</v>
      </c>
      <c r="C61" s="2">
        <v>12.9</v>
      </c>
      <c r="D61" s="2" t="s">
        <v>4</v>
      </c>
      <c r="E61" s="2" t="s">
        <v>5</v>
      </c>
      <c r="F61" s="2" t="str">
        <f t="shared" si="18"/>
        <v>Yes</v>
      </c>
      <c r="G61" s="2" t="s">
        <v>5</v>
      </c>
      <c r="H61" s="2" t="s">
        <v>43</v>
      </c>
      <c r="I61" s="2"/>
      <c r="J61" s="2" t="s">
        <v>19</v>
      </c>
      <c r="K61" s="2">
        <v>14.5</v>
      </c>
      <c r="L61" s="2" t="s">
        <v>12</v>
      </c>
      <c r="M61" s="2" t="s">
        <v>43</v>
      </c>
      <c r="N61" s="2" t="s">
        <v>9</v>
      </c>
      <c r="O61" t="str">
        <f t="shared" ref="O61:O62" si="19">IF(K61="Not","No",IF(K61="n/a","N/A",IF(K61&gt;$Y$2,"Yes","No")))</f>
        <v>No</v>
      </c>
      <c r="Q61" s="2" t="s">
        <v>118</v>
      </c>
      <c r="R61" t="str">
        <f>IF(COUNTIF(R58:R60,"Yes"),"Yes","No")</f>
        <v>Yes</v>
      </c>
      <c r="S61" t="str">
        <f>IF(COUNTIF(S58:S60,"Yes"),"Yes","No")</f>
        <v>Yes</v>
      </c>
      <c r="U61" t="s">
        <v>164</v>
      </c>
      <c r="V61" t="s">
        <v>5</v>
      </c>
      <c r="W61" t="s">
        <v>9</v>
      </c>
      <c r="X61" t="str">
        <f t="shared" si="17"/>
        <v>No</v>
      </c>
    </row>
    <row r="62" spans="1:32" x14ac:dyDescent="0.2">
      <c r="A62" s="2" t="s">
        <v>42</v>
      </c>
      <c r="B62" s="2" t="s">
        <v>40</v>
      </c>
      <c r="C62" s="2">
        <v>5.9</v>
      </c>
      <c r="D62" s="2" t="s">
        <v>4</v>
      </c>
      <c r="E62" s="2" t="s">
        <v>5</v>
      </c>
      <c r="F62" s="2" t="str">
        <f t="shared" si="18"/>
        <v>Yes</v>
      </c>
      <c r="G62" s="2" t="s">
        <v>9</v>
      </c>
      <c r="H62" s="2" t="s">
        <v>43</v>
      </c>
      <c r="I62" s="2"/>
      <c r="J62" s="2" t="s">
        <v>22</v>
      </c>
      <c r="K62" s="2" t="s">
        <v>44</v>
      </c>
      <c r="L62" s="2" t="s">
        <v>45</v>
      </c>
      <c r="M62" s="2" t="s">
        <v>46</v>
      </c>
      <c r="N62" s="2" t="s">
        <v>9</v>
      </c>
      <c r="O62" t="str">
        <f t="shared" si="19"/>
        <v>No</v>
      </c>
      <c r="U62" t="s">
        <v>162</v>
      </c>
      <c r="V62" t="str">
        <f>R59</f>
        <v>No</v>
      </c>
      <c r="W62" t="str">
        <f>S59</f>
        <v>No</v>
      </c>
      <c r="X62" t="str">
        <f>IF(V62="N/A","N/A",IF(W62="N/A", "N/A", IF(V62=W62, "Yes","No")))</f>
        <v>Yes</v>
      </c>
    </row>
    <row r="63" spans="1:32" x14ac:dyDescent="0.2">
      <c r="A63" s="2" t="s">
        <v>47</v>
      </c>
      <c r="B63" s="2" t="s">
        <v>10</v>
      </c>
      <c r="C63" s="2">
        <v>4.3</v>
      </c>
      <c r="D63" s="2" t="s">
        <v>4</v>
      </c>
      <c r="E63" s="2" t="s">
        <v>5</v>
      </c>
      <c r="F63" s="2" t="str">
        <f t="shared" si="18"/>
        <v>Yes</v>
      </c>
      <c r="G63" s="2" t="s">
        <v>5</v>
      </c>
      <c r="H63" s="2" t="s">
        <v>43</v>
      </c>
      <c r="I63" s="2"/>
      <c r="J63" s="2" t="s">
        <v>25</v>
      </c>
      <c r="K63" s="2" t="s">
        <v>44</v>
      </c>
      <c r="L63" s="2" t="s">
        <v>45</v>
      </c>
      <c r="M63" s="2" t="s">
        <v>48</v>
      </c>
      <c r="N63" s="2" t="s">
        <v>9</v>
      </c>
      <c r="O63" t="str">
        <f>IF(K63="Not","No",IF(K63="n/a","N/A",IF(K63&gt;$Y$5,"Yes","No")))</f>
        <v>No</v>
      </c>
      <c r="U63" t="s">
        <v>101</v>
      </c>
      <c r="V63" t="s">
        <v>120</v>
      </c>
      <c r="W63" t="s">
        <v>120</v>
      </c>
      <c r="X63" t="str">
        <f>IF(V63="N/A","N/A",IF(W63="N/A", "N/A", IF(V63=W63, "Yes","No")))</f>
        <v>N/A</v>
      </c>
    </row>
    <row r="64" spans="1:32" x14ac:dyDescent="0.2">
      <c r="A64" s="2" t="s">
        <v>49</v>
      </c>
      <c r="B64" s="2" t="s">
        <v>40</v>
      </c>
      <c r="C64" s="2">
        <v>0</v>
      </c>
      <c r="D64" s="2" t="s">
        <v>4</v>
      </c>
      <c r="E64" s="2" t="s">
        <v>9</v>
      </c>
      <c r="F64" s="2" t="str">
        <f t="shared" si="18"/>
        <v>No</v>
      </c>
      <c r="G64" s="2" t="s">
        <v>9</v>
      </c>
      <c r="H64" s="2" t="s">
        <v>43</v>
      </c>
      <c r="I64" s="2"/>
      <c r="J64" s="2" t="s">
        <v>29</v>
      </c>
      <c r="K64" s="2">
        <v>41.7</v>
      </c>
      <c r="L64" s="2" t="s">
        <v>12</v>
      </c>
      <c r="M64" s="2" t="s">
        <v>50</v>
      </c>
      <c r="N64" s="2" t="s">
        <v>5</v>
      </c>
      <c r="O64" t="str">
        <f t="shared" ref="O64:O65" si="20">IF(K64="Not","No",IF(K64="n/a","N/A",IF(K64&gt;$Y$6,"Yes","No")))</f>
        <v>Yes</v>
      </c>
      <c r="U64" t="s">
        <v>104</v>
      </c>
      <c r="V64" t="s">
        <v>5</v>
      </c>
      <c r="W64" t="s">
        <v>9</v>
      </c>
      <c r="X64" t="str">
        <f>IF(V64="N/A","N/A",IF(W64="N/A", "N/A", IF(V64=W64, "Yes","No")))</f>
        <v>No</v>
      </c>
    </row>
    <row r="65" spans="1:32" x14ac:dyDescent="0.2">
      <c r="A65" s="2" t="s">
        <v>31</v>
      </c>
      <c r="B65" s="2" t="s">
        <v>40</v>
      </c>
      <c r="C65" s="2">
        <v>0.03</v>
      </c>
      <c r="D65" s="2" t="s">
        <v>4</v>
      </c>
      <c r="E65" s="2" t="s">
        <v>9</v>
      </c>
      <c r="F65" s="2" t="str">
        <f t="shared" si="18"/>
        <v>No</v>
      </c>
      <c r="G65" s="2" t="s">
        <v>9</v>
      </c>
      <c r="H65" s="2" t="s">
        <v>43</v>
      </c>
      <c r="I65" s="2"/>
      <c r="J65" s="2" t="s">
        <v>34</v>
      </c>
      <c r="K65" s="2" t="s">
        <v>44</v>
      </c>
      <c r="L65" s="2" t="s">
        <v>45</v>
      </c>
      <c r="M65" s="2" t="s">
        <v>51</v>
      </c>
      <c r="N65" s="2" t="s">
        <v>9</v>
      </c>
      <c r="O65" t="str">
        <f t="shared" si="20"/>
        <v>No</v>
      </c>
      <c r="U65" t="s">
        <v>106</v>
      </c>
      <c r="V65" t="str">
        <f>R60</f>
        <v>Yes</v>
      </c>
      <c r="W65" t="str">
        <f>S60</f>
        <v>Yes</v>
      </c>
      <c r="X65" t="str">
        <f>IF(V65="N/A","N/A",IF(W65="N/A", "N/A", IF(V65=W65, "Yes","No")))</f>
        <v>Yes</v>
      </c>
    </row>
    <row r="66" spans="1:32" x14ac:dyDescent="0.2">
      <c r="A66" s="2" t="s">
        <v>52</v>
      </c>
      <c r="B66" s="2" t="s">
        <v>40</v>
      </c>
      <c r="C66" s="2">
        <v>0</v>
      </c>
      <c r="D66" s="2" t="s">
        <v>4</v>
      </c>
      <c r="E66" s="2" t="s">
        <v>9</v>
      </c>
      <c r="F66" s="2" t="str">
        <f t="shared" si="18"/>
        <v>No</v>
      </c>
      <c r="G66" s="2" t="s">
        <v>9</v>
      </c>
      <c r="H66" s="2" t="s">
        <v>43</v>
      </c>
      <c r="I66" s="2"/>
      <c r="J66" s="2"/>
      <c r="K66" s="2"/>
      <c r="L66" s="2"/>
      <c r="M66" s="2"/>
      <c r="N66" s="2"/>
      <c r="R66" s="6"/>
      <c r="U66" t="s">
        <v>121</v>
      </c>
      <c r="V66" t="str">
        <f>R61</f>
        <v>Yes</v>
      </c>
      <c r="W66" t="str">
        <f>S61</f>
        <v>Yes</v>
      </c>
      <c r="X66" t="str">
        <f>IF(V66="N/A","N/A",IF(W66="N/A", "N/A", IF(V66=W66, "Yes","No")))</f>
        <v>Yes</v>
      </c>
    </row>
    <row r="67" spans="1:32" x14ac:dyDescent="0.2">
      <c r="A67" s="2" t="s">
        <v>53</v>
      </c>
      <c r="B67" s="2" t="s">
        <v>40</v>
      </c>
      <c r="C67" s="2">
        <v>0</v>
      </c>
      <c r="D67" s="2" t="s">
        <v>4</v>
      </c>
      <c r="E67" s="2" t="s">
        <v>9</v>
      </c>
      <c r="F67" s="2" t="str">
        <f t="shared" si="18"/>
        <v>No</v>
      </c>
      <c r="G67" s="2" t="s">
        <v>9</v>
      </c>
      <c r="H67" s="2" t="s">
        <v>43</v>
      </c>
      <c r="I67" s="2"/>
      <c r="J67" s="2"/>
      <c r="K67" s="2"/>
      <c r="L67" s="2"/>
      <c r="M67" s="2"/>
      <c r="N67" s="2"/>
    </row>
    <row r="68" spans="1:32" x14ac:dyDescent="0.2">
      <c r="A68" s="2" t="s">
        <v>39</v>
      </c>
      <c r="B68" s="2" t="s">
        <v>54</v>
      </c>
      <c r="C68" s="2">
        <v>430</v>
      </c>
      <c r="D68" s="2" t="s">
        <v>33</v>
      </c>
      <c r="E68" s="2" t="s">
        <v>5</v>
      </c>
      <c r="F68" s="2" t="str">
        <f>IF(C68&gt;=$W$5,"Yes","No")</f>
        <v>Yes</v>
      </c>
      <c r="G68" s="2" t="s">
        <v>5</v>
      </c>
      <c r="H68" s="2"/>
      <c r="I68" s="2"/>
      <c r="J68" s="2"/>
      <c r="K68" s="2"/>
      <c r="L68" s="2"/>
      <c r="M68" s="2"/>
      <c r="N68" s="2"/>
    </row>
    <row r="69" spans="1:32" x14ac:dyDescent="0.2">
      <c r="A69" s="2" t="s">
        <v>55</v>
      </c>
      <c r="B69" s="2" t="s">
        <v>56</v>
      </c>
      <c r="C69" s="2">
        <v>0.21</v>
      </c>
      <c r="D69" s="2" t="s">
        <v>4</v>
      </c>
      <c r="E69" s="2" t="s">
        <v>9</v>
      </c>
      <c r="F69" s="2" t="str">
        <f t="shared" si="18"/>
        <v>No</v>
      </c>
      <c r="G69" s="2" t="s">
        <v>9</v>
      </c>
      <c r="H69" s="2"/>
      <c r="I69" s="2"/>
      <c r="J69" s="2"/>
      <c r="K69" s="2"/>
      <c r="L69" s="2"/>
      <c r="M69" s="2"/>
      <c r="N69" s="2"/>
    </row>
    <row r="70" spans="1:3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3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32" x14ac:dyDescent="0.2">
      <c r="A72" s="1">
        <f>VLOOKUP(C72,'Grid - LRA Samples'!$A$2:$B$108, 2,FALSE)</f>
        <v>370</v>
      </c>
      <c r="B72" s="2" t="s">
        <v>152</v>
      </c>
      <c r="C72" s="2">
        <v>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32" x14ac:dyDescent="0.2">
      <c r="A73" s="3" t="s">
        <v>0</v>
      </c>
      <c r="B73" s="2"/>
      <c r="C73" s="2"/>
      <c r="D73" s="2"/>
      <c r="E73" s="2" t="s">
        <v>274</v>
      </c>
      <c r="F73" s="2" t="s">
        <v>275</v>
      </c>
      <c r="G73" s="2" t="s">
        <v>119</v>
      </c>
      <c r="H73" s="2"/>
      <c r="I73" s="2"/>
      <c r="J73" s="3" t="s">
        <v>1</v>
      </c>
      <c r="K73" s="2"/>
      <c r="L73" s="2"/>
      <c r="M73" s="2"/>
      <c r="N73" s="2" t="s">
        <v>277</v>
      </c>
      <c r="O73" t="s">
        <v>278</v>
      </c>
      <c r="Q73" s="5" t="s">
        <v>115</v>
      </c>
      <c r="R73" s="5" t="s">
        <v>0</v>
      </c>
      <c r="S73" s="5" t="s">
        <v>1</v>
      </c>
      <c r="U73" s="5" t="s">
        <v>115</v>
      </c>
      <c r="V73" s="5" t="s">
        <v>0</v>
      </c>
      <c r="W73" s="5" t="s">
        <v>1</v>
      </c>
      <c r="X73" s="5" t="s">
        <v>122</v>
      </c>
      <c r="AA73" t="str">
        <f>IF(R74="Yes","LRA-Soil","")</f>
        <v/>
      </c>
      <c r="AB73" t="str">
        <f>IF(R75="Yes","LRA-Paint","")</f>
        <v/>
      </c>
      <c r="AC73" t="str">
        <f>IF(R76="Yes","LRA-Dust","")</f>
        <v/>
      </c>
      <c r="AD73" t="str">
        <f>IF(S74="Yes","LSK-Soil","")</f>
        <v/>
      </c>
      <c r="AE73" t="str">
        <f>IF(S75="Yes","LSK-Paint","")</f>
        <v/>
      </c>
      <c r="AF73" t="str">
        <f>IF(S76="Yes","LSK-Dust","")</f>
        <v>LSK-Dust</v>
      </c>
    </row>
    <row r="74" spans="1:32" x14ac:dyDescent="0.2">
      <c r="A74" s="2" t="s">
        <v>21</v>
      </c>
      <c r="B74" s="2" t="s">
        <v>18</v>
      </c>
      <c r="C74" s="2">
        <v>4</v>
      </c>
      <c r="D74" s="2" t="s">
        <v>4</v>
      </c>
      <c r="E74" s="2" t="s">
        <v>5</v>
      </c>
      <c r="F74" s="2" t="str">
        <f t="shared" ref="F74:F76" si="21">IF(C74&gt;=$W$2,"Yes","No")</f>
        <v>Yes</v>
      </c>
      <c r="G74" s="2" t="s">
        <v>9</v>
      </c>
      <c r="H74" s="2" t="s">
        <v>46</v>
      </c>
      <c r="I74" s="2"/>
      <c r="J74" s="2" t="s">
        <v>6</v>
      </c>
      <c r="K74" s="2">
        <v>168.3</v>
      </c>
      <c r="L74" s="2" t="s">
        <v>7</v>
      </c>
      <c r="M74" s="2" t="s">
        <v>36</v>
      </c>
      <c r="N74" s="2" t="s">
        <v>9</v>
      </c>
      <c r="O74" t="str">
        <f t="shared" ref="O74:O76" si="22">IF(K74="Not","No",IF(K74="n/a","N/A",IF(K74&gt;$Y$3,"Yes","No")))</f>
        <v>No</v>
      </c>
      <c r="Q74" s="2" t="s">
        <v>116</v>
      </c>
      <c r="R74" t="str">
        <f>_xlfn.XLOOKUP("mg/Kg",D74:D78,F74:F78,"N/A")</f>
        <v>N/A</v>
      </c>
      <c r="S74" t="str">
        <f>IF(COUNTIF(O74:O76,"Yes"),"Yes","No")</f>
        <v>No</v>
      </c>
      <c r="U74" t="s">
        <v>92</v>
      </c>
      <c r="V74" t="s">
        <v>120</v>
      </c>
      <c r="W74" t="s">
        <v>120</v>
      </c>
      <c r="X74" t="str">
        <f>IF(V74="N/A","N/A",IF(W74="N/A", "N/A", IF(V74=W74, "Yes","No")))</f>
        <v>N/A</v>
      </c>
    </row>
    <row r="75" spans="1:32" x14ac:dyDescent="0.2">
      <c r="A75" s="2" t="s">
        <v>21</v>
      </c>
      <c r="B75" s="2" t="s">
        <v>24</v>
      </c>
      <c r="C75" s="2">
        <v>5.9</v>
      </c>
      <c r="D75" s="2" t="s">
        <v>4</v>
      </c>
      <c r="E75" s="2" t="s">
        <v>5</v>
      </c>
      <c r="F75" s="2" t="str">
        <f t="shared" si="21"/>
        <v>Yes</v>
      </c>
      <c r="G75" s="2" t="s">
        <v>9</v>
      </c>
      <c r="H75" s="2" t="s">
        <v>46</v>
      </c>
      <c r="I75" s="2"/>
      <c r="J75" s="2" t="s">
        <v>11</v>
      </c>
      <c r="K75" s="2">
        <v>19.899999999999999</v>
      </c>
      <c r="L75" s="2" t="s">
        <v>12</v>
      </c>
      <c r="M75" s="2" t="s">
        <v>38</v>
      </c>
      <c r="N75" s="2" t="s">
        <v>9</v>
      </c>
      <c r="O75" t="str">
        <f t="shared" si="22"/>
        <v>No</v>
      </c>
      <c r="Q75" s="2" t="s">
        <v>98</v>
      </c>
      <c r="R75" t="str">
        <f>_xlfn.XLOOKUP("mg/cm2",D74:D78,G74:G78,"N/A")</f>
        <v>No</v>
      </c>
      <c r="S75" t="str">
        <f>IF(COUNTIF(O77:O78,"Yes"),"Yes","No")</f>
        <v>No</v>
      </c>
      <c r="U75" t="s">
        <v>95</v>
      </c>
      <c r="V75" t="str">
        <f>R74</f>
        <v>N/A</v>
      </c>
      <c r="W75" t="str">
        <f>S74</f>
        <v>No</v>
      </c>
      <c r="X75" t="str">
        <f>IF(V75="N/A","N/A",IF(W75="N/A", "N/A", IF(V75=W75, "Yes","No")))</f>
        <v>N/A</v>
      </c>
    </row>
    <row r="76" spans="1:32" x14ac:dyDescent="0.2">
      <c r="A76" s="2" t="s">
        <v>57</v>
      </c>
      <c r="B76" s="2" t="s">
        <v>24</v>
      </c>
      <c r="C76" s="2">
        <v>1.2</v>
      </c>
      <c r="D76" s="2" t="s">
        <v>4</v>
      </c>
      <c r="E76" s="2" t="s">
        <v>5</v>
      </c>
      <c r="F76" s="2" t="str">
        <f t="shared" si="21"/>
        <v>Yes</v>
      </c>
      <c r="G76" s="2" t="s">
        <v>9</v>
      </c>
      <c r="H76" s="2" t="s">
        <v>43</v>
      </c>
      <c r="I76" s="2"/>
      <c r="J76" s="2" t="s">
        <v>15</v>
      </c>
      <c r="K76" s="2">
        <v>64.8</v>
      </c>
      <c r="L76" s="2" t="s">
        <v>12</v>
      </c>
      <c r="M76" s="2" t="s">
        <v>41</v>
      </c>
      <c r="N76" s="2" t="s">
        <v>9</v>
      </c>
      <c r="O76" t="str">
        <f t="shared" si="22"/>
        <v>No</v>
      </c>
      <c r="Q76" s="2" t="s">
        <v>117</v>
      </c>
      <c r="R76" t="str">
        <f>_xlfn.XLOOKUP("ug/ft2",D74:D78,F74:F78,"N/A")</f>
        <v>No</v>
      </c>
      <c r="S76" t="str">
        <f>IF(COUNTIF(O79:O81,"Yes"),"Yes","No")</f>
        <v>Yes</v>
      </c>
      <c r="U76" t="s">
        <v>163</v>
      </c>
      <c r="V76" t="s">
        <v>5</v>
      </c>
      <c r="W76" t="s">
        <v>9</v>
      </c>
      <c r="X76" t="str">
        <f t="shared" ref="X76:X82" si="23">IF(V76="N/A","N/A",IF(W76="N/A", "N/A", IF(V76=W76, "Yes","No")))</f>
        <v>No</v>
      </c>
    </row>
    <row r="77" spans="1:32" x14ac:dyDescent="0.2">
      <c r="A77" s="2" t="s">
        <v>31</v>
      </c>
      <c r="B77" s="2" t="s">
        <v>32</v>
      </c>
      <c r="C77" s="2">
        <v>3</v>
      </c>
      <c r="D77" s="2" t="s">
        <v>33</v>
      </c>
      <c r="E77" s="2" t="s">
        <v>9</v>
      </c>
      <c r="F77" s="2" t="str">
        <f>IF(C77&gt;$W$6,"Yes","No")</f>
        <v>No</v>
      </c>
      <c r="G77" s="2" t="s">
        <v>9</v>
      </c>
      <c r="H77" s="2"/>
      <c r="I77" s="2"/>
      <c r="J77" s="2" t="s">
        <v>19</v>
      </c>
      <c r="K77" s="2" t="s">
        <v>44</v>
      </c>
      <c r="L77" s="2" t="s">
        <v>45</v>
      </c>
      <c r="M77" s="2" t="s">
        <v>58</v>
      </c>
      <c r="N77" s="2" t="s">
        <v>9</v>
      </c>
      <c r="O77" t="str">
        <f t="shared" ref="O77:O78" si="24">IF(K77="Not","No",IF(K77="n/a","N/A",IF(K77&gt;$Y$2,"Yes","No")))</f>
        <v>No</v>
      </c>
      <c r="Q77" s="2" t="s">
        <v>118</v>
      </c>
      <c r="R77" t="str">
        <f>IF(COUNTIF(R74:R76,"Yes"),"Yes","No")</f>
        <v>No</v>
      </c>
      <c r="S77" t="str">
        <f>IF(COUNTIF(S74:S76,"Yes"),"Yes","No")</f>
        <v>Yes</v>
      </c>
      <c r="U77" t="s">
        <v>164</v>
      </c>
      <c r="V77" t="s">
        <v>5</v>
      </c>
      <c r="W77" t="s">
        <v>9</v>
      </c>
      <c r="X77" t="str">
        <f t="shared" si="23"/>
        <v>No</v>
      </c>
    </row>
    <row r="78" spans="1:32" x14ac:dyDescent="0.2">
      <c r="A78" s="2" t="s">
        <v>55</v>
      </c>
      <c r="B78" s="2" t="s">
        <v>56</v>
      </c>
      <c r="C78" s="2">
        <v>7</v>
      </c>
      <c r="D78" s="2" t="s">
        <v>4</v>
      </c>
      <c r="E78" s="2" t="s">
        <v>5</v>
      </c>
      <c r="F78" s="2" t="str">
        <f t="shared" ref="F78" si="25">IF(C78&gt;=$W$2,"Yes","No")</f>
        <v>Yes</v>
      </c>
      <c r="G78" s="2" t="s">
        <v>9</v>
      </c>
      <c r="H78" s="2"/>
      <c r="I78" s="2"/>
      <c r="J78" s="2" t="s">
        <v>22</v>
      </c>
      <c r="K78" s="2" t="s">
        <v>44</v>
      </c>
      <c r="L78" s="2" t="s">
        <v>45</v>
      </c>
      <c r="M78" s="2" t="s">
        <v>36</v>
      </c>
      <c r="N78" s="2" t="s">
        <v>9</v>
      </c>
      <c r="O78" t="str">
        <f t="shared" si="24"/>
        <v>No</v>
      </c>
      <c r="U78" t="s">
        <v>162</v>
      </c>
      <c r="V78" t="str">
        <f>R75</f>
        <v>No</v>
      </c>
      <c r="W78" t="str">
        <f>S75</f>
        <v>No</v>
      </c>
      <c r="X78" t="str">
        <f t="shared" si="23"/>
        <v>Yes</v>
      </c>
    </row>
    <row r="79" spans="1:32" x14ac:dyDescent="0.2">
      <c r="A79" s="2"/>
      <c r="B79" s="2"/>
      <c r="C79" s="2"/>
      <c r="D79" s="2"/>
      <c r="E79" s="2"/>
      <c r="F79" s="2"/>
      <c r="G79" s="2"/>
      <c r="H79" s="2"/>
      <c r="I79" s="2"/>
      <c r="J79" s="2" t="s">
        <v>25</v>
      </c>
      <c r="K79" s="2">
        <v>11.8</v>
      </c>
      <c r="L79" s="2" t="s">
        <v>12</v>
      </c>
      <c r="M79" s="2" t="s">
        <v>59</v>
      </c>
      <c r="N79" s="2" t="s">
        <v>9</v>
      </c>
      <c r="O79" t="str">
        <f>IF(K79="Not","No",IF(K79="n/a","N/A",IF(K79&gt;$Y$5,"Yes","No")))</f>
        <v>No</v>
      </c>
      <c r="U79" t="s">
        <v>101</v>
      </c>
      <c r="V79" t="s">
        <v>9</v>
      </c>
      <c r="W79" t="s">
        <v>9</v>
      </c>
      <c r="X79" t="str">
        <f t="shared" si="23"/>
        <v>Yes</v>
      </c>
    </row>
    <row r="80" spans="1:32" x14ac:dyDescent="0.2">
      <c r="A80" s="2"/>
      <c r="B80" s="2"/>
      <c r="C80" s="2"/>
      <c r="D80" s="2"/>
      <c r="E80" s="2"/>
      <c r="F80" s="2"/>
      <c r="G80" s="2"/>
      <c r="H80" s="2"/>
      <c r="I80" s="2"/>
      <c r="J80" s="2" t="s">
        <v>29</v>
      </c>
      <c r="K80" s="2">
        <v>51.5</v>
      </c>
      <c r="L80" s="2" t="s">
        <v>12</v>
      </c>
      <c r="M80" s="2" t="s">
        <v>60</v>
      </c>
      <c r="N80" s="2" t="s">
        <v>5</v>
      </c>
      <c r="O80" t="str">
        <f t="shared" ref="O80:O81" si="26">IF(K80="Not","No",IF(K80="n/a","N/A",IF(K80&gt;$Y$6,"Yes","No")))</f>
        <v>Yes</v>
      </c>
      <c r="U80" t="s">
        <v>104</v>
      </c>
      <c r="V80" t="s">
        <v>120</v>
      </c>
      <c r="W80" t="s">
        <v>9</v>
      </c>
      <c r="X80" t="str">
        <f t="shared" si="23"/>
        <v>N/A</v>
      </c>
    </row>
    <row r="81" spans="1:32" x14ac:dyDescent="0.2">
      <c r="A81" s="2"/>
      <c r="B81" s="2"/>
      <c r="C81" s="2"/>
      <c r="D81" s="2"/>
      <c r="E81" s="2"/>
      <c r="F81" s="2"/>
      <c r="G81" s="2"/>
      <c r="H81" s="2"/>
      <c r="I81" s="2"/>
      <c r="J81" s="2" t="s">
        <v>34</v>
      </c>
      <c r="K81" s="2" t="s">
        <v>44</v>
      </c>
      <c r="L81" s="2" t="s">
        <v>45</v>
      </c>
      <c r="M81" s="2" t="s">
        <v>61</v>
      </c>
      <c r="N81" s="2" t="s">
        <v>9</v>
      </c>
      <c r="O81" t="str">
        <f t="shared" si="26"/>
        <v>No</v>
      </c>
      <c r="U81" t="s">
        <v>106</v>
      </c>
      <c r="V81" t="str">
        <f>R76</f>
        <v>No</v>
      </c>
      <c r="W81" t="str">
        <f>S76</f>
        <v>Yes</v>
      </c>
      <c r="X81" t="str">
        <f t="shared" si="23"/>
        <v>No</v>
      </c>
    </row>
    <row r="82" spans="1:3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U82" t="s">
        <v>121</v>
      </c>
      <c r="V82" t="str">
        <f>R77</f>
        <v>No</v>
      </c>
      <c r="W82" t="str">
        <f>S77</f>
        <v>Yes</v>
      </c>
      <c r="X82" t="str">
        <f t="shared" si="23"/>
        <v>No</v>
      </c>
    </row>
    <row r="83" spans="1:3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32" x14ac:dyDescent="0.2">
      <c r="A84" s="1">
        <f>VLOOKUP(C84,'Grid - LRA Samples'!$A$2:$B$108, 2,FALSE)</f>
        <v>368</v>
      </c>
      <c r="B84" s="2" t="s">
        <v>152</v>
      </c>
      <c r="C84" s="2">
        <v>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32" x14ac:dyDescent="0.2">
      <c r="A85" s="3" t="s">
        <v>0</v>
      </c>
      <c r="B85" s="2"/>
      <c r="C85" s="2"/>
      <c r="D85" s="2"/>
      <c r="E85" s="2" t="s">
        <v>274</v>
      </c>
      <c r="F85" s="2" t="s">
        <v>275</v>
      </c>
      <c r="G85" s="2" t="s">
        <v>119</v>
      </c>
      <c r="H85" s="2"/>
      <c r="I85" s="2"/>
      <c r="J85" s="3" t="s">
        <v>1</v>
      </c>
      <c r="K85" s="2"/>
      <c r="L85" s="2"/>
      <c r="M85" s="2"/>
      <c r="N85" s="2" t="s">
        <v>277</v>
      </c>
      <c r="O85" t="s">
        <v>278</v>
      </c>
      <c r="Q85" s="5" t="s">
        <v>115</v>
      </c>
      <c r="R85" s="5" t="s">
        <v>0</v>
      </c>
      <c r="S85" s="5" t="s">
        <v>1</v>
      </c>
      <c r="U85" s="5" t="s">
        <v>115</v>
      </c>
      <c r="V85" s="5" t="s">
        <v>0</v>
      </c>
      <c r="W85" s="5" t="s">
        <v>1</v>
      </c>
      <c r="X85" s="5" t="s">
        <v>122</v>
      </c>
      <c r="AA85" t="str">
        <f>IF(R86="Yes","LRA-Soil","")</f>
        <v/>
      </c>
      <c r="AB85" t="str">
        <f>IF(R87="Yes","LRA-Paint","")</f>
        <v>LRA-Paint</v>
      </c>
      <c r="AC85" t="str">
        <f>IF(R88="Yes","LRA-Dust","")</f>
        <v>LRA-Dust</v>
      </c>
      <c r="AD85" t="str">
        <f>IF(S86="Yes","LSK-Soil","")</f>
        <v/>
      </c>
      <c r="AE85" t="str">
        <f>IF(S87="Yes","LSK-Paint","")</f>
        <v/>
      </c>
      <c r="AF85" t="str">
        <f>IF(S88="Yes","LSK-Dust","")</f>
        <v/>
      </c>
    </row>
    <row r="86" spans="1:32" x14ac:dyDescent="0.2">
      <c r="A86" s="2" t="s">
        <v>62</v>
      </c>
      <c r="B86" s="2" t="s">
        <v>24</v>
      </c>
      <c r="C86" s="2">
        <v>5.3</v>
      </c>
      <c r="D86" s="2" t="s">
        <v>4</v>
      </c>
      <c r="E86" s="2" t="s">
        <v>5</v>
      </c>
      <c r="F86" s="2" t="str">
        <f t="shared" ref="F86:F89" si="27">IF(C86&gt;=$W$2,"Yes","No")</f>
        <v>Yes</v>
      </c>
      <c r="G86" s="2" t="s">
        <v>5</v>
      </c>
      <c r="H86" s="2" t="s">
        <v>46</v>
      </c>
      <c r="I86" s="2"/>
      <c r="J86" s="2" t="s">
        <v>6</v>
      </c>
      <c r="K86" s="2">
        <v>46.5</v>
      </c>
      <c r="L86" s="2" t="s">
        <v>7</v>
      </c>
      <c r="M86" s="2" t="s">
        <v>36</v>
      </c>
      <c r="N86" s="2" t="s">
        <v>9</v>
      </c>
      <c r="O86" t="str">
        <f t="shared" ref="O86:O88" si="28">IF(K86="Not","No",IF(K86="n/a","N/A",IF(K86&gt;$Y$3,"Yes","No")))</f>
        <v>No</v>
      </c>
      <c r="Q86" s="2" t="s">
        <v>116</v>
      </c>
      <c r="R86" t="str">
        <f>_xlfn.XLOOKUP("mg/Kg",D86:D93,F86:F93,"N/A")</f>
        <v>No</v>
      </c>
      <c r="S86" t="str">
        <f>IF(COUNTIF(O86:O88,"Yes"),"Yes","No")</f>
        <v>No</v>
      </c>
      <c r="U86" t="s">
        <v>92</v>
      </c>
      <c r="V86" t="s">
        <v>120</v>
      </c>
      <c r="W86" t="s">
        <v>120</v>
      </c>
      <c r="X86" t="str">
        <f>IF(V86="N/A","N/A",IF(W86="N/A", "N/A", IF(V86=W86, "Yes","No")))</f>
        <v>N/A</v>
      </c>
    </row>
    <row r="87" spans="1:32" x14ac:dyDescent="0.2">
      <c r="A87" s="2" t="s">
        <v>63</v>
      </c>
      <c r="B87" s="2" t="s">
        <v>64</v>
      </c>
      <c r="C87" s="2">
        <v>1.3</v>
      </c>
      <c r="D87" s="2" t="s">
        <v>4</v>
      </c>
      <c r="E87" s="2" t="s">
        <v>5</v>
      </c>
      <c r="F87" s="2" t="str">
        <f t="shared" si="27"/>
        <v>Yes</v>
      </c>
      <c r="G87" s="2" t="s">
        <v>5</v>
      </c>
      <c r="H87" s="2" t="s">
        <v>46</v>
      </c>
      <c r="I87" s="2"/>
      <c r="J87" s="2" t="s">
        <v>11</v>
      </c>
      <c r="K87" s="2" t="s">
        <v>65</v>
      </c>
      <c r="L87" s="2"/>
      <c r="M87" s="2" t="s">
        <v>66</v>
      </c>
      <c r="N87" s="2" t="s">
        <v>9</v>
      </c>
      <c r="O87" t="str">
        <f t="shared" si="28"/>
        <v>N/A</v>
      </c>
      <c r="Q87" s="2" t="s">
        <v>98</v>
      </c>
      <c r="R87" t="str">
        <f>_xlfn.XLOOKUP("mg/cm2",D86:D93,G86:G93,"N/A")</f>
        <v>Yes</v>
      </c>
      <c r="S87" t="str">
        <f>IF(COUNTIF(O89:O90,"Yes"),"Yes","No")</f>
        <v>No</v>
      </c>
      <c r="U87" t="s">
        <v>95</v>
      </c>
      <c r="V87" t="str">
        <f>R86</f>
        <v>No</v>
      </c>
      <c r="W87" t="str">
        <f>S86</f>
        <v>No</v>
      </c>
      <c r="X87" t="str">
        <f t="shared" ref="X87:X89" si="29">IF(V87="N/A","N/A",IF(W87="N/A", "N/A", IF(V87=W87, "Yes","No")))</f>
        <v>Yes</v>
      </c>
    </row>
    <row r="88" spans="1:32" x14ac:dyDescent="0.2">
      <c r="A88" s="2" t="s">
        <v>63</v>
      </c>
      <c r="B88" s="2" t="s">
        <v>64</v>
      </c>
      <c r="C88" s="2">
        <v>3.6</v>
      </c>
      <c r="D88" s="2" t="s">
        <v>4</v>
      </c>
      <c r="E88" s="2" t="s">
        <v>5</v>
      </c>
      <c r="F88" s="2" t="str">
        <f t="shared" si="27"/>
        <v>Yes</v>
      </c>
      <c r="G88" s="2" t="s">
        <v>5</v>
      </c>
      <c r="H88" s="2" t="s">
        <v>46</v>
      </c>
      <c r="I88" s="2"/>
      <c r="J88" s="2" t="s">
        <v>15</v>
      </c>
      <c r="K88" s="2">
        <v>12.7</v>
      </c>
      <c r="L88" s="2" t="s">
        <v>12</v>
      </c>
      <c r="M88" s="2" t="s">
        <v>67</v>
      </c>
      <c r="N88" s="2" t="s">
        <v>9</v>
      </c>
      <c r="O88" t="str">
        <f t="shared" si="28"/>
        <v>No</v>
      </c>
      <c r="Q88" s="2" t="s">
        <v>117</v>
      </c>
      <c r="R88" t="str">
        <f>_xlfn.XLOOKUP("ug/ft2",D86:D93,F86:F93,"N/A")</f>
        <v>Yes</v>
      </c>
      <c r="S88" t="str">
        <f>IF(COUNTIF(O91:O93,"Yes"),"Yes","No")</f>
        <v>No</v>
      </c>
      <c r="U88" t="s">
        <v>163</v>
      </c>
      <c r="V88" t="s">
        <v>9</v>
      </c>
      <c r="W88" t="s">
        <v>120</v>
      </c>
      <c r="X88" t="str">
        <f t="shared" si="29"/>
        <v>N/A</v>
      </c>
    </row>
    <row r="89" spans="1:32" x14ac:dyDescent="0.2">
      <c r="A89" s="2" t="s">
        <v>63</v>
      </c>
      <c r="B89" s="2" t="s">
        <v>24</v>
      </c>
      <c r="C89" s="2">
        <v>2</v>
      </c>
      <c r="D89" s="2" t="s">
        <v>4</v>
      </c>
      <c r="E89" s="2" t="s">
        <v>5</v>
      </c>
      <c r="F89" s="2" t="str">
        <f t="shared" si="27"/>
        <v>Yes</v>
      </c>
      <c r="G89" s="2" t="s">
        <v>5</v>
      </c>
      <c r="H89" s="2" t="s">
        <v>46</v>
      </c>
      <c r="I89" s="2"/>
      <c r="J89" s="2" t="s">
        <v>19</v>
      </c>
      <c r="K89" s="2" t="s">
        <v>65</v>
      </c>
      <c r="L89" s="2"/>
      <c r="M89" s="2" t="s">
        <v>66</v>
      </c>
      <c r="N89" s="2" t="s">
        <v>9</v>
      </c>
      <c r="O89" t="str">
        <f t="shared" ref="O89:O90" si="30">IF(K89="Not","No",IF(K89="n/a","N/A",IF(K89&gt;$Y$2,"Yes","No")))</f>
        <v>N/A</v>
      </c>
      <c r="Q89" s="2" t="s">
        <v>118</v>
      </c>
      <c r="R89" t="str">
        <f>IF(COUNTIF(R86:R88,"Yes"),"Yes","No")</f>
        <v>Yes</v>
      </c>
      <c r="S89" t="str">
        <f>IF(COUNTIF(S86:S88,"Yes"),"Yes","No")</f>
        <v>No</v>
      </c>
      <c r="U89" t="s">
        <v>164</v>
      </c>
      <c r="V89" t="s">
        <v>5</v>
      </c>
      <c r="W89" t="s">
        <v>120</v>
      </c>
      <c r="X89" t="str">
        <f t="shared" si="29"/>
        <v>N/A</v>
      </c>
    </row>
    <row r="90" spans="1:32" x14ac:dyDescent="0.2">
      <c r="A90" s="2" t="s">
        <v>68</v>
      </c>
      <c r="B90" s="2" t="s">
        <v>69</v>
      </c>
      <c r="C90" s="2">
        <v>54</v>
      </c>
      <c r="D90" s="2" t="s">
        <v>37</v>
      </c>
      <c r="E90" s="2" t="s">
        <v>9</v>
      </c>
      <c r="F90" s="2" t="str">
        <f>IF(C90&gt;$W$3,"Yes","No")</f>
        <v>No</v>
      </c>
      <c r="G90" s="2" t="s">
        <v>9</v>
      </c>
      <c r="H90" s="2"/>
      <c r="I90" s="2"/>
      <c r="J90" s="2" t="s">
        <v>22</v>
      </c>
      <c r="K90" s="2" t="s">
        <v>65</v>
      </c>
      <c r="L90" s="2"/>
      <c r="M90" s="2" t="s">
        <v>66</v>
      </c>
      <c r="N90" s="2" t="s">
        <v>9</v>
      </c>
      <c r="O90" t="str">
        <f t="shared" si="30"/>
        <v>N/A</v>
      </c>
      <c r="U90" t="s">
        <v>162</v>
      </c>
      <c r="V90" t="str">
        <f>R87</f>
        <v>Yes</v>
      </c>
      <c r="W90" t="s">
        <v>120</v>
      </c>
      <c r="X90" t="str">
        <f>IF(V90="N/A","N/A",IF(W90="N/A", "N/A", IF(V90=W90, "Yes","No")))</f>
        <v>N/A</v>
      </c>
    </row>
    <row r="91" spans="1:32" x14ac:dyDescent="0.2">
      <c r="A91" s="2" t="s">
        <v>64</v>
      </c>
      <c r="B91" s="2" t="s">
        <v>40</v>
      </c>
      <c r="C91" s="2">
        <v>0</v>
      </c>
      <c r="D91" s="2" t="s">
        <v>4</v>
      </c>
      <c r="E91" s="2" t="s">
        <v>9</v>
      </c>
      <c r="F91" s="2" t="str">
        <f t="shared" ref="F91" si="31">IF(C91&gt;=$W$2,"Yes","No")</f>
        <v>No</v>
      </c>
      <c r="G91" s="2" t="s">
        <v>9</v>
      </c>
      <c r="H91" s="2" t="s">
        <v>43</v>
      </c>
      <c r="I91" s="2"/>
      <c r="J91" s="2" t="s">
        <v>25</v>
      </c>
      <c r="K91" s="2" t="s">
        <v>44</v>
      </c>
      <c r="L91" s="2" t="s">
        <v>45</v>
      </c>
      <c r="M91" s="2" t="s">
        <v>70</v>
      </c>
      <c r="N91" s="2" t="s">
        <v>9</v>
      </c>
      <c r="O91" t="str">
        <f t="shared" ref="O91:O93" si="32">IF(K91="Not","No",IF(K91="n/a","N/A",IF(K91&gt;$Y$6,"Yes","No")))</f>
        <v>No</v>
      </c>
      <c r="U91" t="s">
        <v>101</v>
      </c>
      <c r="V91" t="s">
        <v>5</v>
      </c>
      <c r="W91" t="s">
        <v>9</v>
      </c>
      <c r="X91" t="str">
        <f>IF(V91="N/A","N/A",IF(W91="N/A", "N/A", IF(V91=W91, "Yes","No")))</f>
        <v>No</v>
      </c>
    </row>
    <row r="92" spans="1:32" x14ac:dyDescent="0.2">
      <c r="A92" s="2" t="s">
        <v>71</v>
      </c>
      <c r="B92" s="2" t="s">
        <v>32</v>
      </c>
      <c r="C92" s="2">
        <v>45</v>
      </c>
      <c r="D92" s="2" t="s">
        <v>33</v>
      </c>
      <c r="E92" s="2" t="s">
        <v>5</v>
      </c>
      <c r="F92" s="2" t="str">
        <f>IF(C92&gt;$W$6,"Yes","No")</f>
        <v>Yes</v>
      </c>
      <c r="G92" s="2" t="s">
        <v>5</v>
      </c>
      <c r="H92" s="2"/>
      <c r="I92" s="2"/>
      <c r="J92" s="2" t="s">
        <v>29</v>
      </c>
      <c r="K92" s="2" t="s">
        <v>44</v>
      </c>
      <c r="L92" s="2" t="s">
        <v>45</v>
      </c>
      <c r="M92" s="2" t="s">
        <v>72</v>
      </c>
      <c r="N92" s="2" t="s">
        <v>9</v>
      </c>
      <c r="O92" t="str">
        <f t="shared" si="32"/>
        <v>No</v>
      </c>
      <c r="U92" t="s">
        <v>104</v>
      </c>
      <c r="V92" t="s">
        <v>120</v>
      </c>
      <c r="W92" t="s">
        <v>9</v>
      </c>
      <c r="X92" t="str">
        <f>IF(V92="N/A","N/A",IF(W92="N/A", "N/A", IF(V92=W92, "Yes","No")))</f>
        <v>N/A</v>
      </c>
    </row>
    <row r="93" spans="1:32" x14ac:dyDescent="0.2">
      <c r="A93" s="2" t="s">
        <v>73</v>
      </c>
      <c r="B93" s="2" t="s">
        <v>56</v>
      </c>
      <c r="C93" s="2">
        <v>0</v>
      </c>
      <c r="D93" s="2" t="s">
        <v>4</v>
      </c>
      <c r="E93" s="2" t="s">
        <v>9</v>
      </c>
      <c r="F93" s="2" t="str">
        <f t="shared" ref="F93" si="33">IF(C93&gt;=$W$2,"Yes","No")</f>
        <v>No</v>
      </c>
      <c r="G93" s="2" t="s">
        <v>9</v>
      </c>
      <c r="H93" s="2"/>
      <c r="I93" s="2"/>
      <c r="J93" s="2" t="s">
        <v>34</v>
      </c>
      <c r="K93" s="2" t="s">
        <v>44</v>
      </c>
      <c r="L93" s="2" t="s">
        <v>45</v>
      </c>
      <c r="M93" s="2" t="s">
        <v>74</v>
      </c>
      <c r="N93" s="2" t="s">
        <v>9</v>
      </c>
      <c r="O93" t="str">
        <f t="shared" si="32"/>
        <v>No</v>
      </c>
      <c r="U93" t="s">
        <v>106</v>
      </c>
      <c r="V93" t="str">
        <f>R88</f>
        <v>Yes</v>
      </c>
      <c r="W93" t="str">
        <f>S88</f>
        <v>No</v>
      </c>
      <c r="X93" t="str">
        <f>IF(V93="N/A","N/A",IF(W93="N/A", "N/A", IF(V93=W93, "Yes","No")))</f>
        <v>No</v>
      </c>
    </row>
    <row r="94" spans="1:3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U94" t="s">
        <v>121</v>
      </c>
      <c r="V94" t="str">
        <f>R89</f>
        <v>Yes</v>
      </c>
      <c r="W94" t="str">
        <f>S89</f>
        <v>No</v>
      </c>
      <c r="X94" t="str">
        <f>IF(V94="N/A","N/A",IF(W94="N/A", "N/A", IF(V94=W94, "Yes","No")))</f>
        <v>No</v>
      </c>
    </row>
    <row r="95" spans="1:3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32" x14ac:dyDescent="0.2">
      <c r="A96" s="1">
        <f>VLOOKUP(C96,'Grid - LRA Samples'!$A$2:$B$108, 2,FALSE)</f>
        <v>171</v>
      </c>
      <c r="B96" s="2" t="s">
        <v>152</v>
      </c>
      <c r="C96" s="2">
        <v>5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32" x14ac:dyDescent="0.2">
      <c r="A97" s="3" t="s">
        <v>0</v>
      </c>
      <c r="B97" s="2"/>
      <c r="C97" s="2"/>
      <c r="D97" s="2"/>
      <c r="E97" s="2" t="s">
        <v>274</v>
      </c>
      <c r="F97" s="2" t="s">
        <v>275</v>
      </c>
      <c r="G97" s="2" t="s">
        <v>119</v>
      </c>
      <c r="H97" s="2"/>
      <c r="I97" s="2"/>
      <c r="J97" s="3" t="s">
        <v>1</v>
      </c>
      <c r="K97" s="2"/>
      <c r="L97" s="2"/>
      <c r="M97" s="2"/>
      <c r="N97" s="2" t="s">
        <v>277</v>
      </c>
      <c r="O97" t="s">
        <v>278</v>
      </c>
      <c r="Q97" s="5" t="s">
        <v>115</v>
      </c>
      <c r="R97" s="5" t="s">
        <v>0</v>
      </c>
      <c r="S97" s="5" t="s">
        <v>1</v>
      </c>
      <c r="U97" s="5" t="s">
        <v>115</v>
      </c>
      <c r="V97" s="5" t="s">
        <v>0</v>
      </c>
      <c r="W97" s="5" t="s">
        <v>1</v>
      </c>
      <c r="X97" s="5" t="s">
        <v>122</v>
      </c>
      <c r="AA97" t="str">
        <f>IF(R98="Yes","LRA-Soil","")</f>
        <v>LRA-Soil</v>
      </c>
      <c r="AB97" t="str">
        <f>IF(R99="Yes","LRA-Paint","")</f>
        <v/>
      </c>
      <c r="AC97" t="str">
        <f>IF(R100="Yes","LRA-Dust","")</f>
        <v/>
      </c>
      <c r="AD97" t="str">
        <f>IF(S98="Yes","LSK-Soil","")</f>
        <v>LSK-Soil</v>
      </c>
      <c r="AE97" t="str">
        <f>IF(S99="Yes","LSK-Paint","")</f>
        <v/>
      </c>
      <c r="AF97" t="str">
        <f>IF(S100="Yes","LSK-Dust","")</f>
        <v/>
      </c>
    </row>
    <row r="98" spans="1:32" x14ac:dyDescent="0.2">
      <c r="A98" s="2" t="s">
        <v>63</v>
      </c>
      <c r="B98" s="2" t="s">
        <v>18</v>
      </c>
      <c r="C98" s="2">
        <v>0</v>
      </c>
      <c r="D98" s="2" t="s">
        <v>4</v>
      </c>
      <c r="E98" s="2" t="s">
        <v>9</v>
      </c>
      <c r="F98" s="2" t="str">
        <f t="shared" ref="F98" si="34">IF(C98&gt;=$W$2,"Yes","No")</f>
        <v>No</v>
      </c>
      <c r="G98" s="2" t="s">
        <v>9</v>
      </c>
      <c r="H98" s="2" t="s">
        <v>46</v>
      </c>
      <c r="I98" s="2"/>
      <c r="J98" s="2" t="s">
        <v>6</v>
      </c>
      <c r="K98" s="2">
        <v>850.3</v>
      </c>
      <c r="L98" s="2" t="s">
        <v>7</v>
      </c>
      <c r="M98" s="2" t="s">
        <v>36</v>
      </c>
      <c r="N98" s="2" t="s">
        <v>9</v>
      </c>
      <c r="O98" t="str">
        <f t="shared" ref="O98:O100" si="35">IF(K98="Not","No",IF(K98="n/a","N/A",IF(K98&gt;$Y$3,"Yes","No")))</f>
        <v>Yes</v>
      </c>
      <c r="Q98" s="2" t="s">
        <v>116</v>
      </c>
      <c r="R98" t="str">
        <f>_xlfn.XLOOKUP("ppm",D98:D100,F98:F100,"N/A")</f>
        <v>Yes</v>
      </c>
      <c r="S98" t="str">
        <f>IF(COUNTIF(O98:O100,"Yes"),"Yes","No")</f>
        <v>Yes</v>
      </c>
      <c r="U98" t="s">
        <v>92</v>
      </c>
      <c r="V98" t="s">
        <v>120</v>
      </c>
      <c r="W98" t="s">
        <v>120</v>
      </c>
      <c r="X98" t="str">
        <f>IF(V98="N/A","N/A",IF(W98="N/A", "N/A", IF(V98=W98, "Yes","No")))</f>
        <v>N/A</v>
      </c>
    </row>
    <row r="99" spans="1:32" x14ac:dyDescent="0.2">
      <c r="A99" s="2" t="s">
        <v>75</v>
      </c>
      <c r="B99" s="2" t="s">
        <v>69</v>
      </c>
      <c r="C99" s="2">
        <v>1700</v>
      </c>
      <c r="D99" s="2" t="s">
        <v>12</v>
      </c>
      <c r="E99" s="2" t="s">
        <v>5</v>
      </c>
      <c r="F99" s="2" t="str">
        <f>IF(C99&gt;$W$3,"Yes","No")</f>
        <v>Yes</v>
      </c>
      <c r="G99" s="2" t="s">
        <v>5</v>
      </c>
      <c r="H99" s="2"/>
      <c r="I99" s="2"/>
      <c r="J99" s="2" t="s">
        <v>11</v>
      </c>
      <c r="K99" s="2">
        <v>30.8</v>
      </c>
      <c r="L99" s="2" t="s">
        <v>12</v>
      </c>
      <c r="M99" s="2" t="s">
        <v>38</v>
      </c>
      <c r="N99" s="2" t="s">
        <v>9</v>
      </c>
      <c r="O99" t="str">
        <f t="shared" si="35"/>
        <v>No</v>
      </c>
      <c r="Q99" s="2" t="s">
        <v>98</v>
      </c>
      <c r="R99" t="str">
        <f>_xlfn.XLOOKUP("mg/cm2",D98:D100,G98:G100,"N/A")</f>
        <v>No</v>
      </c>
      <c r="S99" t="str">
        <f>IF(COUNTIF(O101:O102,"Yes"),"Yes","No")</f>
        <v>No</v>
      </c>
      <c r="U99" t="s">
        <v>95</v>
      </c>
      <c r="V99" t="str">
        <f>R98</f>
        <v>Yes</v>
      </c>
      <c r="W99" t="str">
        <f>S98</f>
        <v>Yes</v>
      </c>
      <c r="X99" t="str">
        <f t="shared" ref="X99:X101" si="36">IF(V99="N/A","N/A",IF(W99="N/A", "N/A", IF(V99=W99, "Yes","No")))</f>
        <v>Yes</v>
      </c>
    </row>
    <row r="100" spans="1:32" x14ac:dyDescent="0.2">
      <c r="A100" s="2" t="s">
        <v>76</v>
      </c>
      <c r="B100" s="2" t="s">
        <v>77</v>
      </c>
      <c r="C100" s="2">
        <v>0</v>
      </c>
      <c r="D100" s="2" t="s">
        <v>4</v>
      </c>
      <c r="E100" s="2" t="s">
        <v>9</v>
      </c>
      <c r="F100" s="2" t="str">
        <f t="shared" ref="F100" si="37">IF(C100&gt;=$W$2,"Yes","No")</f>
        <v>No</v>
      </c>
      <c r="G100" s="2" t="s">
        <v>9</v>
      </c>
      <c r="H100" s="2" t="s">
        <v>43</v>
      </c>
      <c r="I100" s="2"/>
      <c r="J100" s="2" t="s">
        <v>15</v>
      </c>
      <c r="K100" s="2">
        <v>63.1</v>
      </c>
      <c r="L100" s="2" t="s">
        <v>12</v>
      </c>
      <c r="M100" s="2" t="s">
        <v>41</v>
      </c>
      <c r="N100" s="2" t="s">
        <v>9</v>
      </c>
      <c r="O100" t="str">
        <f t="shared" si="35"/>
        <v>No</v>
      </c>
      <c r="Q100" s="2" t="s">
        <v>117</v>
      </c>
      <c r="R100" t="str">
        <f>_xlfn.XLOOKUP("ug/ft2",D98:D100,F98:F100,"N/A")</f>
        <v>N/A</v>
      </c>
      <c r="S100" t="str">
        <f>IF(COUNTIF(O103:O105,"Yes"),"Yes","No")</f>
        <v>No</v>
      </c>
      <c r="U100" t="s">
        <v>163</v>
      </c>
      <c r="V100" t="s">
        <v>9</v>
      </c>
      <c r="W100" t="s">
        <v>120</v>
      </c>
      <c r="X100" t="str">
        <f t="shared" si="36"/>
        <v>N/A</v>
      </c>
    </row>
    <row r="101" spans="1:32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 t="s">
        <v>19</v>
      </c>
      <c r="K101" s="2" t="s">
        <v>65</v>
      </c>
      <c r="L101" s="2"/>
      <c r="M101" s="2" t="s">
        <v>78</v>
      </c>
      <c r="N101" s="2" t="s">
        <v>9</v>
      </c>
      <c r="O101" t="str">
        <f t="shared" ref="O101:O102" si="38">IF(K101="Not","No",IF(K101="n/a","N/A",IF(K101&gt;$Y$2,"Yes","No")))</f>
        <v>N/A</v>
      </c>
      <c r="Q101" s="2" t="s">
        <v>118</v>
      </c>
      <c r="R101" t="str">
        <f>IF(COUNTIF(R98:R100,"Yes"),"Yes","No")</f>
        <v>Yes</v>
      </c>
      <c r="S101" t="str">
        <f>IF(COUNTIF(S98:S100,"Yes"),"Yes","No")</f>
        <v>Yes</v>
      </c>
      <c r="U101" t="s">
        <v>164</v>
      </c>
      <c r="V101" t="s">
        <v>9</v>
      </c>
      <c r="W101" t="s">
        <v>9</v>
      </c>
      <c r="X101" t="str">
        <f t="shared" si="36"/>
        <v>Yes</v>
      </c>
    </row>
    <row r="102" spans="1:32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 t="s">
        <v>22</v>
      </c>
      <c r="K102" s="2" t="s">
        <v>44</v>
      </c>
      <c r="L102" s="2" t="s">
        <v>45</v>
      </c>
      <c r="M102" s="2" t="s">
        <v>79</v>
      </c>
      <c r="N102" s="2" t="s">
        <v>9</v>
      </c>
      <c r="O102" t="str">
        <f t="shared" si="38"/>
        <v>No</v>
      </c>
      <c r="U102" t="s">
        <v>162</v>
      </c>
      <c r="V102" t="str">
        <f>R99</f>
        <v>No</v>
      </c>
      <c r="W102" t="str">
        <f>S99</f>
        <v>No</v>
      </c>
      <c r="X102" t="str">
        <f>IF(V102="N/A","N/A",IF(W102="N/A", "N/A", IF(V102=W102, "Yes","No")))</f>
        <v>Yes</v>
      </c>
    </row>
    <row r="103" spans="1:32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 t="s">
        <v>25</v>
      </c>
      <c r="K103" s="2" t="s">
        <v>44</v>
      </c>
      <c r="L103" s="2" t="s">
        <v>45</v>
      </c>
      <c r="M103" s="2" t="s">
        <v>80</v>
      </c>
      <c r="N103" s="2" t="s">
        <v>9</v>
      </c>
      <c r="O103" t="str">
        <f>IF(K103="Not","No",IF(K103="n/a","N/A",IF(K103&gt;$Y$5,"Yes","No")))</f>
        <v>No</v>
      </c>
      <c r="U103" t="s">
        <v>101</v>
      </c>
      <c r="V103" t="s">
        <v>120</v>
      </c>
      <c r="W103" t="s">
        <v>9</v>
      </c>
      <c r="X103" t="str">
        <f>IF(V103="N/A","N/A",IF(W103="N/A", "N/A", IF(V103=W103, "Yes","No")))</f>
        <v>N/A</v>
      </c>
    </row>
    <row r="104" spans="1:32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 t="s">
        <v>29</v>
      </c>
      <c r="K104" s="2" t="s">
        <v>44</v>
      </c>
      <c r="L104" s="2" t="s">
        <v>45</v>
      </c>
      <c r="M104" s="2" t="s">
        <v>72</v>
      </c>
      <c r="N104" s="2" t="s">
        <v>9</v>
      </c>
      <c r="O104" t="str">
        <f t="shared" ref="O104:O105" si="39">IF(K104="Not","No",IF(K104="n/a","N/A",IF(K104&gt;$Y$6,"Yes","No")))</f>
        <v>No</v>
      </c>
      <c r="U104" t="s">
        <v>104</v>
      </c>
      <c r="V104" t="s">
        <v>120</v>
      </c>
      <c r="W104" t="s">
        <v>9</v>
      </c>
      <c r="X104" t="str">
        <f>IF(V104="N/A","N/A",IF(W104="N/A", "N/A", IF(V104=W104, "Yes","No")))</f>
        <v>N/A</v>
      </c>
    </row>
    <row r="105" spans="1:32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 t="s">
        <v>34</v>
      </c>
      <c r="K105" s="2" t="s">
        <v>44</v>
      </c>
      <c r="L105" s="2" t="s">
        <v>45</v>
      </c>
      <c r="M105" s="2" t="s">
        <v>81</v>
      </c>
      <c r="N105" s="2" t="s">
        <v>9</v>
      </c>
      <c r="O105" t="str">
        <f t="shared" si="39"/>
        <v>No</v>
      </c>
      <c r="U105" t="s">
        <v>106</v>
      </c>
      <c r="V105" t="str">
        <f>R100</f>
        <v>N/A</v>
      </c>
      <c r="W105" t="str">
        <f>S100</f>
        <v>No</v>
      </c>
      <c r="X105" t="str">
        <f>IF(V105="N/A","N/A",IF(W105="N/A", "N/A", IF(V105=W105, "Yes","No")))</f>
        <v>N/A</v>
      </c>
    </row>
    <row r="106" spans="1:32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U106" t="s">
        <v>121</v>
      </c>
      <c r="V106" t="str">
        <f>R101</f>
        <v>Yes</v>
      </c>
      <c r="W106" t="str">
        <f>S101</f>
        <v>Yes</v>
      </c>
      <c r="X106" t="str">
        <f>IF(V106="N/A","N/A",IF(W106="N/A", "N/A", IF(V106=W106, "Yes","No")))</f>
        <v>Yes</v>
      </c>
    </row>
    <row r="107" spans="1:32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32" x14ac:dyDescent="0.2">
      <c r="A108" s="1">
        <f>VLOOKUP(C108,'Grid - LRA Samples'!$A$2:$B$108, 2,FALSE)</f>
        <v>683</v>
      </c>
      <c r="B108" s="2" t="s">
        <v>152</v>
      </c>
      <c r="C108" s="2">
        <v>6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32" x14ac:dyDescent="0.2">
      <c r="A109" s="3" t="s">
        <v>0</v>
      </c>
      <c r="B109" s="2"/>
      <c r="C109" s="2"/>
      <c r="D109" s="2"/>
      <c r="E109" s="2" t="s">
        <v>274</v>
      </c>
      <c r="F109" s="2" t="s">
        <v>275</v>
      </c>
      <c r="G109" s="2" t="s">
        <v>119</v>
      </c>
      <c r="H109" s="2"/>
      <c r="I109" s="2"/>
      <c r="J109" s="3" t="s">
        <v>1</v>
      </c>
      <c r="K109" s="2"/>
      <c r="L109" s="2"/>
      <c r="M109" s="2"/>
      <c r="N109" s="2" t="s">
        <v>277</v>
      </c>
      <c r="O109" t="s">
        <v>278</v>
      </c>
      <c r="Q109" s="5" t="s">
        <v>115</v>
      </c>
      <c r="R109" s="5" t="s">
        <v>0</v>
      </c>
      <c r="S109" s="5" t="s">
        <v>1</v>
      </c>
      <c r="U109" s="5" t="s">
        <v>115</v>
      </c>
      <c r="V109" s="5" t="s">
        <v>0</v>
      </c>
      <c r="W109" s="5" t="s">
        <v>1</v>
      </c>
      <c r="X109" s="5" t="s">
        <v>122</v>
      </c>
      <c r="AA109" t="str">
        <f>IF(R110="Yes","LRA-Soil","")</f>
        <v/>
      </c>
      <c r="AB109" t="str">
        <f>IF(R111="Yes","LRA-Paint","")</f>
        <v>LRA-Paint</v>
      </c>
      <c r="AC109" t="str">
        <f>IF(R112="Yes","LRA-Dust","")</f>
        <v>LRA-Dust</v>
      </c>
      <c r="AD109" t="str">
        <f>IF(S110="Yes","LSK-Soil","")</f>
        <v/>
      </c>
      <c r="AE109" t="str">
        <f>IF(S111="Yes","LSK-Paint","")</f>
        <v/>
      </c>
      <c r="AF109" t="str">
        <f>IF(S112="Yes","LSK-Dust","")</f>
        <v/>
      </c>
    </row>
    <row r="110" spans="1:32" x14ac:dyDescent="0.2">
      <c r="A110" s="2" t="s">
        <v>64</v>
      </c>
      <c r="B110" s="2" t="s">
        <v>64</v>
      </c>
      <c r="C110" s="2">
        <v>3.9</v>
      </c>
      <c r="D110" s="2" t="s">
        <v>4</v>
      </c>
      <c r="E110" s="2" t="s">
        <v>5</v>
      </c>
      <c r="F110" s="2" t="str">
        <f t="shared" ref="F110" si="40">IF(C110&gt;=$W$2,"Yes","No")</f>
        <v>Yes</v>
      </c>
      <c r="G110" s="2" t="s">
        <v>5</v>
      </c>
      <c r="H110" s="2" t="s">
        <v>43</v>
      </c>
      <c r="I110" s="2"/>
      <c r="J110" s="2" t="s">
        <v>6</v>
      </c>
      <c r="K110" s="2" t="s">
        <v>65</v>
      </c>
      <c r="L110" s="2"/>
      <c r="M110" s="2" t="s">
        <v>66</v>
      </c>
      <c r="N110" s="2" t="s">
        <v>9</v>
      </c>
      <c r="O110" t="str">
        <f t="shared" ref="O110:O112" si="41">IF(K110="Not","No",IF(K110="n/a","N/A",IF(K110&gt;$Y$3,"Yes","No")))</f>
        <v>N/A</v>
      </c>
      <c r="Q110" s="2" t="s">
        <v>116</v>
      </c>
      <c r="R110" t="str">
        <f>_xlfn.XLOOKUP("ppm",D110:D112,F110:F112,"N/A")</f>
        <v>N/A</v>
      </c>
      <c r="S110" t="s">
        <v>120</v>
      </c>
      <c r="U110" t="s">
        <v>92</v>
      </c>
      <c r="V110" t="s">
        <v>120</v>
      </c>
      <c r="W110" t="s">
        <v>120</v>
      </c>
      <c r="X110" t="str">
        <f>IF(V110="N/A","N/A",IF(W110="N/A", "N/A", IF(V110=W110, "Yes","No")))</f>
        <v>N/A</v>
      </c>
    </row>
    <row r="111" spans="1:32" x14ac:dyDescent="0.2">
      <c r="A111" s="2" t="s">
        <v>71</v>
      </c>
      <c r="B111" s="2" t="s">
        <v>32</v>
      </c>
      <c r="C111" s="2">
        <v>97</v>
      </c>
      <c r="D111" s="2" t="s">
        <v>33</v>
      </c>
      <c r="E111" s="2" t="s">
        <v>5</v>
      </c>
      <c r="F111" s="2" t="str">
        <f>IF(C111&gt;$W$6,"Yes","No")</f>
        <v>Yes</v>
      </c>
      <c r="G111" s="2" t="s">
        <v>5</v>
      </c>
      <c r="H111" s="2"/>
      <c r="I111" s="2"/>
      <c r="J111" s="2" t="s">
        <v>11</v>
      </c>
      <c r="K111" s="2" t="s">
        <v>65</v>
      </c>
      <c r="L111" s="2"/>
      <c r="M111" s="2" t="s">
        <v>66</v>
      </c>
      <c r="N111" s="2" t="s">
        <v>9</v>
      </c>
      <c r="O111" t="str">
        <f t="shared" si="41"/>
        <v>N/A</v>
      </c>
      <c r="Q111" s="2" t="s">
        <v>98</v>
      </c>
      <c r="R111" t="str">
        <f>_xlfn.XLOOKUP("mg/cm2",D110:D112,G110:G112,"N/A")</f>
        <v>Yes</v>
      </c>
      <c r="S111" t="s">
        <v>120</v>
      </c>
      <c r="U111" t="s">
        <v>95</v>
      </c>
      <c r="V111" t="str">
        <f>R110</f>
        <v>N/A</v>
      </c>
      <c r="W111" t="str">
        <f>S110</f>
        <v>N/A</v>
      </c>
      <c r="X111" t="str">
        <f t="shared" ref="X111:X113" si="42">IF(V111="N/A","N/A",IF(W111="N/A", "N/A", IF(V111=W111, "Yes","No")))</f>
        <v>N/A</v>
      </c>
    </row>
    <row r="112" spans="1:32" x14ac:dyDescent="0.2">
      <c r="A112" s="2" t="s">
        <v>64</v>
      </c>
      <c r="B112" s="2" t="s">
        <v>54</v>
      </c>
      <c r="C112" s="2">
        <v>210</v>
      </c>
      <c r="D112" s="2" t="s">
        <v>33</v>
      </c>
      <c r="E112" s="2" t="s">
        <v>5</v>
      </c>
      <c r="F112" s="2" t="str">
        <f>IF(C112&gt;=$W$5,"Yes","No")</f>
        <v>Yes</v>
      </c>
      <c r="G112" s="2" t="s">
        <v>5</v>
      </c>
      <c r="H112" s="2"/>
      <c r="I112" s="2"/>
      <c r="J112" s="2" t="s">
        <v>15</v>
      </c>
      <c r="K112" s="2" t="s">
        <v>65</v>
      </c>
      <c r="L112" s="2"/>
      <c r="M112" s="2" t="s">
        <v>66</v>
      </c>
      <c r="N112" s="2" t="s">
        <v>9</v>
      </c>
      <c r="O112" t="str">
        <f t="shared" si="41"/>
        <v>N/A</v>
      </c>
      <c r="Q112" s="2" t="s">
        <v>117</v>
      </c>
      <c r="R112" t="str">
        <f>_xlfn.XLOOKUP("ug/ft2",D110:D112,F110:F112,"N/A")</f>
        <v>Yes</v>
      </c>
      <c r="S112" t="str">
        <f>IF(COUNTIF(O115:O117,"Yes"),"Yes","No")</f>
        <v>No</v>
      </c>
      <c r="U112" t="s">
        <v>163</v>
      </c>
      <c r="V112" t="s">
        <v>5</v>
      </c>
      <c r="W112" t="s">
        <v>120</v>
      </c>
      <c r="X112" t="str">
        <f t="shared" si="42"/>
        <v>N/A</v>
      </c>
    </row>
    <row r="113" spans="1:32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 t="s">
        <v>19</v>
      </c>
      <c r="K113" s="2" t="s">
        <v>65</v>
      </c>
      <c r="L113" s="2"/>
      <c r="M113" s="2" t="s">
        <v>66</v>
      </c>
      <c r="N113" s="2" t="s">
        <v>9</v>
      </c>
      <c r="O113" t="str">
        <f t="shared" ref="O113:O114" si="43">IF(K113="Not","No",IF(K113="n/a","N/A",IF(K113&gt;$Y$2,"Yes","No")))</f>
        <v>N/A</v>
      </c>
      <c r="Q113" s="2" t="s">
        <v>118</v>
      </c>
      <c r="R113" t="str">
        <f>IF(COUNTIF(R110:R112,"Yes"),"Yes","No")</f>
        <v>Yes</v>
      </c>
      <c r="S113" t="str">
        <f>IF(COUNTIF(S110:S112,"Yes"),"Yes","No")</f>
        <v>No</v>
      </c>
      <c r="U113" t="s">
        <v>164</v>
      </c>
      <c r="V113" t="s">
        <v>120</v>
      </c>
      <c r="W113" t="s">
        <v>120</v>
      </c>
      <c r="X113" t="str">
        <f t="shared" si="42"/>
        <v>N/A</v>
      </c>
    </row>
    <row r="114" spans="1:32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 t="s">
        <v>22</v>
      </c>
      <c r="K114" s="2" t="s">
        <v>65</v>
      </c>
      <c r="L114" s="2"/>
      <c r="M114" s="2" t="s">
        <v>66</v>
      </c>
      <c r="N114" s="2" t="s">
        <v>9</v>
      </c>
      <c r="O114" t="str">
        <f t="shared" si="43"/>
        <v>N/A</v>
      </c>
      <c r="U114" t="s">
        <v>162</v>
      </c>
      <c r="V114" t="str">
        <f>R111</f>
        <v>Yes</v>
      </c>
      <c r="W114" t="str">
        <f>S111</f>
        <v>N/A</v>
      </c>
      <c r="X114" t="str">
        <f>IF(V114="N/A","N/A",IF(W114="N/A", "N/A", IF(V114=W114, "Yes","No")))</f>
        <v>N/A</v>
      </c>
    </row>
    <row r="115" spans="1:32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 t="s">
        <v>25</v>
      </c>
      <c r="K115" s="2">
        <v>0</v>
      </c>
      <c r="L115" s="2" t="s">
        <v>7</v>
      </c>
      <c r="M115" s="2" t="s">
        <v>82</v>
      </c>
      <c r="N115" s="2" t="s">
        <v>9</v>
      </c>
      <c r="O115" t="str">
        <f t="shared" ref="O115:O117" si="44">IF(K115="Not","No",IF(K115="n/a","N/A",IF(K115&gt;$Y$6,"Yes","No")))</f>
        <v>No</v>
      </c>
      <c r="U115" t="s">
        <v>101</v>
      </c>
      <c r="V115" t="s">
        <v>5</v>
      </c>
      <c r="W115" t="s">
        <v>120</v>
      </c>
      <c r="X115" t="str">
        <f>IF(V115="N/A","N/A",IF(W115="N/A", "N/A", IF(V115=W115, "Yes","No")))</f>
        <v>N/A</v>
      </c>
    </row>
    <row r="116" spans="1:32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 t="s">
        <v>29</v>
      </c>
      <c r="K116" s="2">
        <v>14.9</v>
      </c>
      <c r="L116" s="2" t="s">
        <v>12</v>
      </c>
      <c r="M116" s="2" t="s">
        <v>82</v>
      </c>
      <c r="N116" s="2" t="s">
        <v>9</v>
      </c>
      <c r="O116" t="str">
        <f t="shared" si="44"/>
        <v>No</v>
      </c>
      <c r="U116" t="s">
        <v>104</v>
      </c>
      <c r="V116" t="s">
        <v>5</v>
      </c>
      <c r="W116" t="s">
        <v>120</v>
      </c>
      <c r="X116" t="str">
        <f>IF(V116="N/A","N/A",IF(W116="N/A", "N/A", IF(V116=W116, "Yes","No")))</f>
        <v>N/A</v>
      </c>
    </row>
    <row r="117" spans="1:32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 t="s">
        <v>34</v>
      </c>
      <c r="K117" s="2">
        <v>8.5</v>
      </c>
      <c r="L117" s="2" t="s">
        <v>12</v>
      </c>
      <c r="M117" s="2" t="s">
        <v>82</v>
      </c>
      <c r="N117" s="2" t="s">
        <v>9</v>
      </c>
      <c r="O117" t="str">
        <f t="shared" si="44"/>
        <v>No</v>
      </c>
      <c r="U117" t="s">
        <v>106</v>
      </c>
      <c r="V117" t="str">
        <f>R112</f>
        <v>Yes</v>
      </c>
      <c r="W117" t="str">
        <f>S112</f>
        <v>No</v>
      </c>
      <c r="X117" t="str">
        <f>IF(V117="N/A","N/A",IF(W117="N/A", "N/A", IF(V117=W117, "Yes","No")))</f>
        <v>No</v>
      </c>
    </row>
    <row r="118" spans="1:32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U118" t="s">
        <v>121</v>
      </c>
      <c r="V118" t="str">
        <f>R113</f>
        <v>Yes</v>
      </c>
      <c r="W118" t="str">
        <f>S113</f>
        <v>No</v>
      </c>
      <c r="X118" t="str">
        <f>IF(V118="N/A","N/A",IF(W118="N/A", "N/A", IF(V118=W118, "Yes","No")))</f>
        <v>No</v>
      </c>
    </row>
    <row r="119" spans="1:32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32" x14ac:dyDescent="0.2">
      <c r="A120" s="1">
        <f>VLOOKUP(C120,'Grid - LRA Samples'!$A$2:$B$108, 2,FALSE)</f>
        <v>1207</v>
      </c>
      <c r="B120" s="2"/>
      <c r="C120" s="2">
        <v>7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32" x14ac:dyDescent="0.2">
      <c r="A121" s="3" t="s">
        <v>0</v>
      </c>
      <c r="B121" s="2"/>
      <c r="C121" s="2"/>
      <c r="D121" s="2"/>
      <c r="E121" s="2" t="s">
        <v>274</v>
      </c>
      <c r="F121" s="2" t="s">
        <v>275</v>
      </c>
      <c r="G121" s="2" t="s">
        <v>119</v>
      </c>
      <c r="H121" s="2"/>
      <c r="I121" s="2"/>
      <c r="J121" s="3" t="s">
        <v>1</v>
      </c>
      <c r="K121" s="2"/>
      <c r="L121" s="2"/>
      <c r="M121" s="2"/>
      <c r="N121" s="2" t="s">
        <v>277</v>
      </c>
      <c r="O121" t="s">
        <v>278</v>
      </c>
      <c r="Q121" s="5" t="s">
        <v>115</v>
      </c>
      <c r="R121" s="5" t="s">
        <v>0</v>
      </c>
      <c r="S121" s="5" t="s">
        <v>1</v>
      </c>
      <c r="U121" s="5" t="s">
        <v>115</v>
      </c>
      <c r="V121" s="5" t="s">
        <v>0</v>
      </c>
      <c r="W121" s="5" t="s">
        <v>1</v>
      </c>
      <c r="X121" s="5" t="s">
        <v>122</v>
      </c>
      <c r="AA121" t="str">
        <f>IF(R122="Yes","LRA-Soil","")</f>
        <v/>
      </c>
      <c r="AB121" t="str">
        <f>IF(R123="Yes","LRA-Paint","")</f>
        <v>LRA-Paint</v>
      </c>
      <c r="AC121" t="str">
        <f>IF(R124="Yes","LRA-Dust","")</f>
        <v/>
      </c>
      <c r="AD121" t="str">
        <f>IF(S122="Yes","LSK-Soil","")</f>
        <v>LSK-Soil</v>
      </c>
      <c r="AE121" t="str">
        <f>IF(S123="Yes","LSK-Paint","")</f>
        <v/>
      </c>
      <c r="AF121" t="str">
        <f>IF(S124="Yes","LSK-Dust","")</f>
        <v/>
      </c>
    </row>
    <row r="122" spans="1:32" x14ac:dyDescent="0.2">
      <c r="A122" s="2" t="s">
        <v>83</v>
      </c>
      <c r="B122" s="2" t="s">
        <v>84</v>
      </c>
      <c r="C122" s="2">
        <v>213</v>
      </c>
      <c r="D122" s="2" t="s">
        <v>12</v>
      </c>
      <c r="E122" s="2" t="s">
        <v>9</v>
      </c>
      <c r="F122" s="2" t="str">
        <f>IF(C122&gt;$W$3,"Yes","No")</f>
        <v>No</v>
      </c>
      <c r="G122" s="2" t="s">
        <v>9</v>
      </c>
      <c r="H122" s="2"/>
      <c r="I122" s="2"/>
      <c r="J122" s="2" t="s">
        <v>6</v>
      </c>
      <c r="K122" s="2">
        <v>1743</v>
      </c>
      <c r="L122" s="2" t="s">
        <v>87</v>
      </c>
      <c r="M122" s="2" t="s">
        <v>88</v>
      </c>
      <c r="N122" s="2" t="s">
        <v>5</v>
      </c>
      <c r="O122" t="str">
        <f t="shared" ref="O122:O124" si="45">IF(K122="Not","No",IF(K122="n/a","N/A",IF(K122&gt;$Y$3,"Yes","No")))</f>
        <v>Yes</v>
      </c>
      <c r="Q122" s="2" t="s">
        <v>116</v>
      </c>
      <c r="R122" t="str">
        <f>_xlfn.XLOOKUP("ppm",D122:D136,F122:F136,"N/A")</f>
        <v>No</v>
      </c>
      <c r="S122" t="str">
        <f>IF(COUNTIF(O122:O124,"Yes"),"Yes","No")</f>
        <v>Yes</v>
      </c>
      <c r="U122" t="s">
        <v>92</v>
      </c>
      <c r="V122" t="s">
        <v>120</v>
      </c>
      <c r="W122" t="s">
        <v>120</v>
      </c>
      <c r="X122" t="str">
        <f>IF(V122="N/A","N/A",IF(W122="N/A", "N/A", IF(V122=W122, "Yes","No")))</f>
        <v>N/A</v>
      </c>
    </row>
    <row r="123" spans="1:32" x14ac:dyDescent="0.2">
      <c r="A123" s="2" t="s">
        <v>71</v>
      </c>
      <c r="B123" s="2" t="s">
        <v>86</v>
      </c>
      <c r="C123" s="2">
        <v>11.9</v>
      </c>
      <c r="D123" s="2" t="s">
        <v>4</v>
      </c>
      <c r="E123" s="2" t="s">
        <v>5</v>
      </c>
      <c r="F123" s="2" t="str">
        <f t="shared" ref="F123:F135" si="46">IF(C123&gt;=$W$2,"Yes","No")</f>
        <v>Yes</v>
      </c>
      <c r="G123" s="2" t="s">
        <v>5</v>
      </c>
      <c r="H123" s="2" t="s">
        <v>43</v>
      </c>
      <c r="I123" s="2"/>
      <c r="J123" s="2" t="s">
        <v>11</v>
      </c>
      <c r="K123" s="2">
        <v>0</v>
      </c>
      <c r="L123" s="2" t="s">
        <v>90</v>
      </c>
      <c r="M123" s="2" t="s">
        <v>91</v>
      </c>
      <c r="N123" s="2" t="s">
        <v>9</v>
      </c>
      <c r="O123" t="str">
        <f t="shared" si="45"/>
        <v>No</v>
      </c>
      <c r="Q123" s="2" t="s">
        <v>98</v>
      </c>
      <c r="R123" t="str">
        <f>_xlfn.XLOOKUP("mg/cm2",D122:D136,G122:G136,"N/A")</f>
        <v>Yes</v>
      </c>
      <c r="S123" t="str">
        <f>IF(COUNTIF(O125:O126,"Yes"),"Yes","No")</f>
        <v>No</v>
      </c>
      <c r="U123" t="s">
        <v>95</v>
      </c>
      <c r="V123" t="str">
        <f>R122</f>
        <v>No</v>
      </c>
      <c r="W123" t="str">
        <f>S122</f>
        <v>Yes</v>
      </c>
      <c r="X123" t="str">
        <f t="shared" ref="X123:X125" si="47">IF(V123="N/A","N/A",IF(W123="N/A", "N/A", IF(V123=W123, "Yes","No")))</f>
        <v>No</v>
      </c>
    </row>
    <row r="124" spans="1:32" x14ac:dyDescent="0.2">
      <c r="A124" s="2" t="s">
        <v>71</v>
      </c>
      <c r="B124" s="2" t="s">
        <v>89</v>
      </c>
      <c r="C124" s="2">
        <v>3.9</v>
      </c>
      <c r="D124" s="2" t="s">
        <v>4</v>
      </c>
      <c r="E124" s="2" t="s">
        <v>5</v>
      </c>
      <c r="F124" s="2" t="str">
        <f t="shared" si="46"/>
        <v>Yes</v>
      </c>
      <c r="G124" s="2" t="s">
        <v>9</v>
      </c>
      <c r="H124" s="2" t="s">
        <v>43</v>
      </c>
      <c r="I124" s="2"/>
      <c r="J124" s="2" t="s">
        <v>15</v>
      </c>
      <c r="K124" s="2">
        <v>92</v>
      </c>
      <c r="L124" s="2" t="s">
        <v>85</v>
      </c>
      <c r="M124" s="2" t="s">
        <v>94</v>
      </c>
      <c r="N124" s="2" t="s">
        <v>9</v>
      </c>
      <c r="O124" t="str">
        <f t="shared" si="45"/>
        <v>No</v>
      </c>
      <c r="Q124" s="2" t="s">
        <v>117</v>
      </c>
      <c r="R124" t="str">
        <f>_xlfn.XLOOKUP("ug/ft2",D122:D136,F122:F136,"N/A")</f>
        <v>No</v>
      </c>
      <c r="S124" t="str">
        <f>IF(COUNTIF(O127:O129,"Yes"),"Yes","No")</f>
        <v>No</v>
      </c>
      <c r="U124" t="s">
        <v>163</v>
      </c>
      <c r="V124" t="s">
        <v>5</v>
      </c>
      <c r="W124" t="s">
        <v>9</v>
      </c>
      <c r="X124" t="str">
        <f t="shared" si="47"/>
        <v>No</v>
      </c>
    </row>
    <row r="125" spans="1:32" x14ac:dyDescent="0.2">
      <c r="A125" s="2" t="s">
        <v>70</v>
      </c>
      <c r="B125" s="2" t="s">
        <v>93</v>
      </c>
      <c r="C125" s="2">
        <v>1.9</v>
      </c>
      <c r="D125" s="2" t="s">
        <v>4</v>
      </c>
      <c r="E125" s="2" t="s">
        <v>5</v>
      </c>
      <c r="F125" s="2" t="str">
        <f t="shared" si="46"/>
        <v>Yes</v>
      </c>
      <c r="G125" s="2" t="s">
        <v>5</v>
      </c>
      <c r="H125" s="2" t="s">
        <v>43</v>
      </c>
      <c r="I125" s="2"/>
      <c r="J125" s="2" t="s">
        <v>19</v>
      </c>
      <c r="K125" s="2">
        <v>0</v>
      </c>
      <c r="L125" s="2" t="s">
        <v>85</v>
      </c>
      <c r="M125" s="2" t="s">
        <v>97</v>
      </c>
      <c r="N125" s="2" t="s">
        <v>9</v>
      </c>
      <c r="O125" t="str">
        <f t="shared" ref="O125:O126" si="48">IF(K125="Not","No",IF(K125="n/a","N/A",IF(K125&gt;$Y$2,"Yes","No")))</f>
        <v>No</v>
      </c>
      <c r="Q125" s="2" t="s">
        <v>118</v>
      </c>
      <c r="R125" t="str">
        <f>IF(COUNTIF(R122:R124,"Yes"),"Yes","No")</f>
        <v>Yes</v>
      </c>
      <c r="S125" t="str">
        <f>IF(COUNTIF(S122:S124,"Yes"),"Yes","No")</f>
        <v>Yes</v>
      </c>
      <c r="U125" t="s">
        <v>164</v>
      </c>
      <c r="V125" t="s">
        <v>120</v>
      </c>
      <c r="W125" t="s">
        <v>9</v>
      </c>
      <c r="X125" t="str">
        <f t="shared" si="47"/>
        <v>N/A</v>
      </c>
    </row>
    <row r="126" spans="1:32" x14ac:dyDescent="0.2">
      <c r="A126" s="2" t="s">
        <v>70</v>
      </c>
      <c r="B126" s="2" t="s">
        <v>96</v>
      </c>
      <c r="C126" s="2">
        <v>1.7</v>
      </c>
      <c r="D126" s="2" t="s">
        <v>4</v>
      </c>
      <c r="E126" s="2" t="s">
        <v>5</v>
      </c>
      <c r="F126" s="2" t="str">
        <f t="shared" si="46"/>
        <v>Yes</v>
      </c>
      <c r="G126" s="2" t="s">
        <v>5</v>
      </c>
      <c r="H126" s="2" t="s">
        <v>43</v>
      </c>
      <c r="I126" s="2"/>
      <c r="J126" s="2" t="s">
        <v>22</v>
      </c>
      <c r="K126" s="2">
        <v>1559</v>
      </c>
      <c r="L126" s="2" t="s">
        <v>85</v>
      </c>
      <c r="M126" s="2" t="s">
        <v>100</v>
      </c>
      <c r="N126" s="2" t="s">
        <v>9</v>
      </c>
      <c r="O126" t="str">
        <f t="shared" si="48"/>
        <v>No</v>
      </c>
      <c r="U126" t="s">
        <v>162</v>
      </c>
      <c r="V126" t="str">
        <f>R123</f>
        <v>Yes</v>
      </c>
      <c r="W126" t="str">
        <f>S123</f>
        <v>No</v>
      </c>
      <c r="X126" t="str">
        <f>IF(V126="N/A","N/A",IF(W126="N/A", "N/A", IF(V126=W126, "Yes","No")))</f>
        <v>No</v>
      </c>
    </row>
    <row r="127" spans="1:32" x14ac:dyDescent="0.2">
      <c r="A127" s="2" t="s">
        <v>70</v>
      </c>
      <c r="B127" s="2" t="s">
        <v>99</v>
      </c>
      <c r="C127" s="2">
        <v>1.3</v>
      </c>
      <c r="D127" s="2" t="s">
        <v>4</v>
      </c>
      <c r="E127" s="2" t="s">
        <v>5</v>
      </c>
      <c r="F127" s="2" t="str">
        <f t="shared" si="46"/>
        <v>Yes</v>
      </c>
      <c r="G127" s="2" t="s">
        <v>9</v>
      </c>
      <c r="H127" s="2" t="s">
        <v>43</v>
      </c>
      <c r="I127" s="2"/>
      <c r="J127" s="2" t="s">
        <v>25</v>
      </c>
      <c r="K127" s="2">
        <v>0</v>
      </c>
      <c r="L127" s="2" t="s">
        <v>85</v>
      </c>
      <c r="M127" s="2" t="s">
        <v>103</v>
      </c>
      <c r="N127" s="2" t="s">
        <v>9</v>
      </c>
      <c r="O127" t="str">
        <f>IF(K127="Not","No",IF(K127="n/a","N/A",IF(K127&gt;$Y$5,"Yes","No")))</f>
        <v>No</v>
      </c>
      <c r="U127" t="s">
        <v>101</v>
      </c>
      <c r="V127" t="s">
        <v>5</v>
      </c>
      <c r="W127" t="s">
        <v>120</v>
      </c>
      <c r="X127" t="str">
        <f>IF(V127="N/A","N/A",IF(W127="N/A", "N/A", IF(V127=W127, "Yes","No")))</f>
        <v>N/A</v>
      </c>
    </row>
    <row r="128" spans="1:32" x14ac:dyDescent="0.2">
      <c r="A128" s="2" t="s">
        <v>70</v>
      </c>
      <c r="B128" s="2" t="s">
        <v>102</v>
      </c>
      <c r="C128" s="2">
        <v>2</v>
      </c>
      <c r="D128" s="2" t="s">
        <v>4</v>
      </c>
      <c r="E128" s="2" t="s">
        <v>5</v>
      </c>
      <c r="F128" s="2" t="str">
        <f t="shared" si="46"/>
        <v>Yes</v>
      </c>
      <c r="G128" s="2" t="s">
        <v>5</v>
      </c>
      <c r="H128" s="2" t="s">
        <v>43</v>
      </c>
      <c r="I128" s="2"/>
      <c r="J128" s="2" t="s">
        <v>29</v>
      </c>
      <c r="K128" s="2">
        <v>9</v>
      </c>
      <c r="L128" s="2" t="s">
        <v>85</v>
      </c>
      <c r="M128" s="2" t="s">
        <v>105</v>
      </c>
      <c r="N128" s="2" t="s">
        <v>9</v>
      </c>
      <c r="O128" t="str">
        <f t="shared" ref="O128:O129" si="49">IF(K128="Not","No",IF(K128="n/a","N/A",IF(K128&gt;$Y$6,"Yes","No")))</f>
        <v>No</v>
      </c>
      <c r="U128" t="s">
        <v>104</v>
      </c>
      <c r="V128" t="s">
        <v>120</v>
      </c>
      <c r="W128" t="s">
        <v>9</v>
      </c>
      <c r="X128" t="str">
        <f>IF(V128="N/A","N/A",IF(W128="N/A", "N/A", IF(V128=W128, "Yes","No")))</f>
        <v>N/A</v>
      </c>
    </row>
    <row r="129" spans="1:32" x14ac:dyDescent="0.2">
      <c r="A129" s="2" t="s">
        <v>70</v>
      </c>
      <c r="B129" s="2" t="s">
        <v>102</v>
      </c>
      <c r="C129" s="2">
        <v>2.2999999999999998</v>
      </c>
      <c r="D129" s="2" t="s">
        <v>4</v>
      </c>
      <c r="E129" s="2" t="s">
        <v>5</v>
      </c>
      <c r="F129" s="2" t="str">
        <f t="shared" si="46"/>
        <v>Yes</v>
      </c>
      <c r="G129" s="2" t="s">
        <v>5</v>
      </c>
      <c r="H129" s="2" t="s">
        <v>43</v>
      </c>
      <c r="I129" s="2"/>
      <c r="J129" s="2" t="s">
        <v>34</v>
      </c>
      <c r="K129" s="2">
        <v>14</v>
      </c>
      <c r="L129" s="2" t="s">
        <v>85</v>
      </c>
      <c r="M129" s="2" t="s">
        <v>107</v>
      </c>
      <c r="N129" s="2" t="s">
        <v>9</v>
      </c>
      <c r="O129" t="str">
        <f t="shared" si="49"/>
        <v>No</v>
      </c>
      <c r="U129" t="s">
        <v>106</v>
      </c>
      <c r="V129" t="str">
        <f>R124</f>
        <v>No</v>
      </c>
      <c r="W129" t="str">
        <f>S124</f>
        <v>No</v>
      </c>
      <c r="X129" t="str">
        <f>IF(V129="N/A","N/A",IF(W129="N/A", "N/A", IF(V129=W129, "Yes","No")))</f>
        <v>Yes</v>
      </c>
    </row>
    <row r="130" spans="1:32" x14ac:dyDescent="0.2">
      <c r="A130" s="2" t="s">
        <v>64</v>
      </c>
      <c r="B130" s="2" t="s">
        <v>99</v>
      </c>
      <c r="C130" s="2">
        <v>5.0999999999999996</v>
      </c>
      <c r="D130" s="2" t="s">
        <v>4</v>
      </c>
      <c r="E130" s="2" t="s">
        <v>5</v>
      </c>
      <c r="F130" s="2" t="str">
        <f t="shared" si="46"/>
        <v>Yes</v>
      </c>
      <c r="G130" s="2" t="s">
        <v>9</v>
      </c>
      <c r="H130" s="2" t="s">
        <v>43</v>
      </c>
      <c r="I130" s="2"/>
      <c r="U130" t="s">
        <v>121</v>
      </c>
      <c r="V130" t="str">
        <f>R125</f>
        <v>Yes</v>
      </c>
      <c r="W130" t="str">
        <f>S125</f>
        <v>Yes</v>
      </c>
      <c r="X130" t="str">
        <f>IF(V130="N/A","N/A",IF(W130="N/A", "N/A", IF(V130=W130, "Yes","No")))</f>
        <v>Yes</v>
      </c>
    </row>
    <row r="131" spans="1:32" x14ac:dyDescent="0.2">
      <c r="A131" s="2" t="s">
        <v>64</v>
      </c>
      <c r="B131" s="2" t="s">
        <v>99</v>
      </c>
      <c r="C131" s="2">
        <v>5.6</v>
      </c>
      <c r="D131" s="2" t="s">
        <v>4</v>
      </c>
      <c r="E131" s="2" t="s">
        <v>5</v>
      </c>
      <c r="F131" s="2" t="str">
        <f t="shared" si="46"/>
        <v>Yes</v>
      </c>
      <c r="G131" s="2" t="s">
        <v>9</v>
      </c>
      <c r="H131" s="2" t="s">
        <v>43</v>
      </c>
      <c r="I131" s="2"/>
      <c r="J131" s="2"/>
      <c r="K131" s="2"/>
      <c r="L131" s="2"/>
      <c r="M131" s="2"/>
      <c r="N131" s="2"/>
    </row>
    <row r="132" spans="1:32" x14ac:dyDescent="0.2">
      <c r="A132" s="2" t="s">
        <v>64</v>
      </c>
      <c r="B132" s="2" t="s">
        <v>99</v>
      </c>
      <c r="C132" s="2">
        <v>5.0999999999999996</v>
      </c>
      <c r="D132" s="2" t="s">
        <v>4</v>
      </c>
      <c r="E132" s="2" t="s">
        <v>5</v>
      </c>
      <c r="F132" s="2" t="str">
        <f t="shared" si="46"/>
        <v>Yes</v>
      </c>
      <c r="G132" s="2" t="s">
        <v>5</v>
      </c>
      <c r="H132" s="2" t="s">
        <v>43</v>
      </c>
      <c r="I132" s="2"/>
      <c r="J132" s="2"/>
      <c r="K132" s="2"/>
      <c r="L132" s="2"/>
      <c r="M132" s="2"/>
      <c r="N132" s="2"/>
    </row>
    <row r="133" spans="1:32" x14ac:dyDescent="0.2">
      <c r="A133" s="2" t="s">
        <v>64</v>
      </c>
      <c r="B133" s="2" t="s">
        <v>102</v>
      </c>
      <c r="C133" s="2">
        <v>19.399999999999999</v>
      </c>
      <c r="D133" s="2" t="s">
        <v>4</v>
      </c>
      <c r="E133" s="2" t="s">
        <v>5</v>
      </c>
      <c r="F133" s="2" t="str">
        <f t="shared" si="46"/>
        <v>Yes</v>
      </c>
      <c r="G133" s="2" t="s">
        <v>9</v>
      </c>
      <c r="H133" s="2" t="s">
        <v>43</v>
      </c>
      <c r="I133" s="2"/>
      <c r="J133" s="2"/>
      <c r="K133" s="2"/>
      <c r="L133" s="2"/>
      <c r="M133" s="2"/>
      <c r="N133" s="2"/>
    </row>
    <row r="134" spans="1:32" x14ac:dyDescent="0.2">
      <c r="A134" s="2" t="s">
        <v>64</v>
      </c>
      <c r="B134" s="2" t="s">
        <v>102</v>
      </c>
      <c r="C134" s="2">
        <v>15.1</v>
      </c>
      <c r="D134" s="2" t="s">
        <v>4</v>
      </c>
      <c r="E134" s="2" t="s">
        <v>5</v>
      </c>
      <c r="F134" s="2" t="str">
        <f t="shared" si="46"/>
        <v>Yes</v>
      </c>
      <c r="G134" s="2" t="s">
        <v>9</v>
      </c>
      <c r="H134" s="2" t="s">
        <v>43</v>
      </c>
      <c r="I134" s="2"/>
      <c r="J134" s="2"/>
      <c r="K134" s="2"/>
      <c r="L134" s="2"/>
      <c r="M134" s="2"/>
      <c r="N134" s="2"/>
    </row>
    <row r="135" spans="1:32" x14ac:dyDescent="0.2">
      <c r="A135" s="2" t="s">
        <v>73</v>
      </c>
      <c r="B135" s="2" t="s">
        <v>108</v>
      </c>
      <c r="C135" s="2">
        <v>4.5</v>
      </c>
      <c r="D135" s="2" t="s">
        <v>4</v>
      </c>
      <c r="E135" s="2" t="s">
        <v>5</v>
      </c>
      <c r="F135" s="2" t="str">
        <f t="shared" si="46"/>
        <v>Yes</v>
      </c>
      <c r="G135" s="2" t="s">
        <v>9</v>
      </c>
      <c r="H135" s="2"/>
      <c r="I135" s="2"/>
      <c r="J135" s="2"/>
      <c r="K135" s="2"/>
      <c r="L135" s="2"/>
      <c r="M135" s="2"/>
      <c r="N135" s="2"/>
    </row>
    <row r="136" spans="1:32" x14ac:dyDescent="0.2">
      <c r="A136" s="2" t="s">
        <v>109</v>
      </c>
      <c r="B136" s="2" t="s">
        <v>110</v>
      </c>
      <c r="C136" s="18">
        <v>10</v>
      </c>
      <c r="D136" s="2" t="s">
        <v>33</v>
      </c>
      <c r="E136" s="2" t="s">
        <v>5</v>
      </c>
      <c r="F136" s="2" t="str">
        <f>IF(C136&gt;$W$6,"Yes","No")</f>
        <v>No</v>
      </c>
      <c r="G136" s="2" t="s">
        <v>5</v>
      </c>
      <c r="H136" s="2"/>
      <c r="I136" s="2"/>
      <c r="J136" s="2"/>
      <c r="K136" s="2"/>
      <c r="L136" s="2"/>
      <c r="M136" s="2"/>
      <c r="N136" s="2"/>
    </row>
    <row r="137" spans="1:32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32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32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32" x14ac:dyDescent="0.2">
      <c r="A140" s="1">
        <f>VLOOKUP(C140,'Grid - LRA Samples'!$A$2:$B$108, 2,FALSE)</f>
        <v>391</v>
      </c>
      <c r="B140" s="2" t="s">
        <v>111</v>
      </c>
      <c r="C140" s="2">
        <v>8</v>
      </c>
      <c r="D140" s="2"/>
      <c r="E140" s="2"/>
      <c r="F140" s="2"/>
      <c r="G140" s="2"/>
      <c r="H140" s="2"/>
      <c r="I140" s="2"/>
      <c r="J140" s="2">
        <v>2021.6010000000001</v>
      </c>
      <c r="K140" s="2"/>
      <c r="L140" s="2"/>
      <c r="M140" s="2"/>
      <c r="N140" s="2"/>
    </row>
    <row r="141" spans="1:32" x14ac:dyDescent="0.2">
      <c r="A141" s="3" t="s">
        <v>0</v>
      </c>
      <c r="B141" s="2"/>
      <c r="C141" s="2"/>
      <c r="D141" s="2"/>
      <c r="E141" s="2" t="s">
        <v>274</v>
      </c>
      <c r="F141" s="2" t="s">
        <v>275</v>
      </c>
      <c r="G141" s="2" t="s">
        <v>119</v>
      </c>
      <c r="H141" s="2"/>
      <c r="I141" s="2"/>
      <c r="J141" s="3" t="s">
        <v>1</v>
      </c>
      <c r="K141" s="2"/>
      <c r="L141" s="2"/>
      <c r="M141" s="2"/>
      <c r="N141" s="2" t="s">
        <v>277</v>
      </c>
      <c r="O141" t="s">
        <v>278</v>
      </c>
      <c r="Q141" s="5" t="s">
        <v>115</v>
      </c>
      <c r="R141" s="5" t="s">
        <v>0</v>
      </c>
      <c r="S141" s="5" t="s">
        <v>1</v>
      </c>
      <c r="U141" s="5" t="s">
        <v>115</v>
      </c>
      <c r="V141" s="5" t="s">
        <v>0</v>
      </c>
      <c r="W141" s="5" t="s">
        <v>1</v>
      </c>
      <c r="X141" s="5" t="s">
        <v>122</v>
      </c>
      <c r="AA141" t="str">
        <f>IF(R142="Yes","LRA-Soil","")</f>
        <v/>
      </c>
      <c r="AB141" t="str">
        <f>IF(R143="Yes","LRA-Paint","")</f>
        <v>LRA-Paint</v>
      </c>
      <c r="AC141" t="str">
        <f>IF(R144="Yes","LRA-Dust","")</f>
        <v/>
      </c>
      <c r="AD141" t="str">
        <f>IF(S142="Yes","LSK-Soil","")</f>
        <v/>
      </c>
      <c r="AE141" t="str">
        <f>IF(S143="Yes","LSK-Paint","")</f>
        <v/>
      </c>
      <c r="AF141" t="str">
        <f>IF(S144="Yes","LSK-Dust","")</f>
        <v/>
      </c>
    </row>
    <row r="142" spans="1:32" x14ac:dyDescent="0.2">
      <c r="A142" s="2" t="s">
        <v>63</v>
      </c>
      <c r="B142" s="2" t="s">
        <v>89</v>
      </c>
      <c r="C142" s="2">
        <v>1.5</v>
      </c>
      <c r="D142" s="2" t="s">
        <v>4</v>
      </c>
      <c r="E142" s="2" t="s">
        <v>5</v>
      </c>
      <c r="F142" s="2" t="str">
        <f t="shared" ref="F142" si="50">IF(C142&gt;=$W$2,"Yes","No")</f>
        <v>Yes</v>
      </c>
      <c r="G142" s="2" t="s">
        <v>5</v>
      </c>
      <c r="H142" s="2" t="s">
        <v>46</v>
      </c>
      <c r="I142" s="2"/>
      <c r="J142" s="2" t="s">
        <v>6</v>
      </c>
      <c r="K142" s="2">
        <v>79</v>
      </c>
      <c r="L142" s="2" t="s">
        <v>12</v>
      </c>
      <c r="M142" s="2" t="s">
        <v>112</v>
      </c>
      <c r="N142" s="2" t="s">
        <v>9</v>
      </c>
      <c r="O142" t="str">
        <f t="shared" ref="O142:O144" si="51">IF(K142="Not","No",IF(K142="n/a","N/A",IF(K142&gt;$Y$3,"Yes","No")))</f>
        <v>No</v>
      </c>
      <c r="Q142" s="2" t="s">
        <v>116</v>
      </c>
      <c r="R142" t="str">
        <f>_xlfn.XLOOKUP("ppm",D142:D145,F142:F145,"N/A")</f>
        <v>No</v>
      </c>
      <c r="S142" t="str">
        <f>IF(COUNTIF(O142:O144,"Yes"),"Yes","No")</f>
        <v>No</v>
      </c>
      <c r="U142" t="s">
        <v>92</v>
      </c>
      <c r="V142" t="s">
        <v>120</v>
      </c>
      <c r="W142" t="s">
        <v>120</v>
      </c>
      <c r="X142" t="str">
        <f>IF(V142="N/A","N/A",IF(W142="N/A", "N/A", IF(V142=W142, "Yes","No")))</f>
        <v>N/A</v>
      </c>
    </row>
    <row r="143" spans="1:32" x14ac:dyDescent="0.2">
      <c r="A143" s="2" t="s">
        <v>75</v>
      </c>
      <c r="B143" s="2" t="s">
        <v>84</v>
      </c>
      <c r="C143" s="2">
        <v>28.6</v>
      </c>
      <c r="D143" s="2" t="s">
        <v>12</v>
      </c>
      <c r="E143" s="2" t="s">
        <v>9</v>
      </c>
      <c r="F143" s="2" t="str">
        <f>IF(C143&gt;$W$3,"Yes","No")</f>
        <v>No</v>
      </c>
      <c r="G143" s="2" t="s">
        <v>9</v>
      </c>
      <c r="H143" s="2"/>
      <c r="I143" s="2"/>
      <c r="J143" s="2" t="s">
        <v>11</v>
      </c>
      <c r="K143" s="2">
        <v>50.3</v>
      </c>
      <c r="L143" s="2" t="s">
        <v>12</v>
      </c>
      <c r="M143" s="2" t="s">
        <v>67</v>
      </c>
      <c r="N143" s="2" t="s">
        <v>9</v>
      </c>
      <c r="O143" t="str">
        <f t="shared" si="51"/>
        <v>No</v>
      </c>
      <c r="Q143" s="2" t="s">
        <v>98</v>
      </c>
      <c r="R143" t="str">
        <f>_xlfn.XLOOKUP("mg/cm2",D142:D145,G142:G145,"N/A")</f>
        <v>Yes</v>
      </c>
      <c r="S143" t="str">
        <f>IF(COUNTIF(O145:O146,"Yes"),"Yes","No")</f>
        <v>No</v>
      </c>
      <c r="U143" t="s">
        <v>95</v>
      </c>
      <c r="V143" t="str">
        <f>R142</f>
        <v>No</v>
      </c>
      <c r="W143" t="str">
        <f>S142</f>
        <v>No</v>
      </c>
      <c r="X143" t="str">
        <f t="shared" ref="X143:X145" si="52">IF(V143="N/A","N/A",IF(W143="N/A", "N/A", IF(V143=W143, "Yes","No")))</f>
        <v>Yes</v>
      </c>
    </row>
    <row r="144" spans="1:32" x14ac:dyDescent="0.2">
      <c r="A144" s="2" t="s">
        <v>113</v>
      </c>
      <c r="B144" s="2" t="s">
        <v>102</v>
      </c>
      <c r="C144" s="2">
        <v>3.3</v>
      </c>
      <c r="D144" s="2" t="s">
        <v>4</v>
      </c>
      <c r="E144" s="2" t="s">
        <v>5</v>
      </c>
      <c r="F144" s="2" t="str">
        <f t="shared" ref="F144" si="53">IF(C144&gt;=$W$2,"Yes","No")</f>
        <v>Yes</v>
      </c>
      <c r="G144" s="2" t="s">
        <v>5</v>
      </c>
      <c r="H144" s="2" t="s">
        <v>43</v>
      </c>
      <c r="I144" s="2"/>
      <c r="J144" s="2" t="s">
        <v>15</v>
      </c>
      <c r="K144" s="2">
        <v>46</v>
      </c>
      <c r="L144" s="2" t="s">
        <v>12</v>
      </c>
      <c r="M144" s="2" t="s">
        <v>114</v>
      </c>
      <c r="N144" s="2" t="s">
        <v>9</v>
      </c>
      <c r="O144" t="str">
        <f t="shared" si="51"/>
        <v>No</v>
      </c>
      <c r="Q144" s="2" t="s">
        <v>117</v>
      </c>
      <c r="R144" t="str">
        <f>_xlfn.XLOOKUP("ug/ft2",D142:D145,F142:F145,"N/A")</f>
        <v>No</v>
      </c>
      <c r="S144" t="str">
        <f>IF(COUNTIF(O147:O149,"Yes"),"Yes","No")</f>
        <v>No</v>
      </c>
      <c r="U144" t="s">
        <v>163</v>
      </c>
      <c r="V144" t="s">
        <v>5</v>
      </c>
      <c r="W144" t="s">
        <v>9</v>
      </c>
      <c r="X144" t="str">
        <f t="shared" si="52"/>
        <v>No</v>
      </c>
    </row>
    <row r="145" spans="1:32" x14ac:dyDescent="0.2">
      <c r="A145" s="2" t="s">
        <v>71</v>
      </c>
      <c r="B145" s="2" t="s">
        <v>110</v>
      </c>
      <c r="C145" s="2">
        <v>6.8</v>
      </c>
      <c r="D145" s="2" t="s">
        <v>33</v>
      </c>
      <c r="E145" s="2" t="s">
        <v>9</v>
      </c>
      <c r="F145" s="2" t="str">
        <f>IF(C145&gt;$W$6,"Yes","No")</f>
        <v>No</v>
      </c>
      <c r="G145" s="2" t="s">
        <v>9</v>
      </c>
      <c r="H145" s="2"/>
      <c r="I145" s="2"/>
      <c r="J145" s="2" t="s">
        <v>19</v>
      </c>
      <c r="K145" s="2">
        <v>18</v>
      </c>
      <c r="L145" s="2" t="s">
        <v>12</v>
      </c>
      <c r="M145" s="2" t="s">
        <v>43</v>
      </c>
      <c r="N145" s="2" t="s">
        <v>9</v>
      </c>
      <c r="O145" t="str">
        <f t="shared" ref="O145:O146" si="54">IF(K145="Not","No",IF(K145="n/a","N/A",IF(K145&gt;$Y$2,"Yes","No")))</f>
        <v>No</v>
      </c>
      <c r="Q145" s="2" t="s">
        <v>118</v>
      </c>
      <c r="R145" t="str">
        <f>IF(COUNTIF(R142:R144,"Yes"),"Yes","No")</f>
        <v>Yes</v>
      </c>
      <c r="S145" t="str">
        <f>IF(COUNTIF(S142:S144,"Yes"),"Yes","No")</f>
        <v>No</v>
      </c>
      <c r="U145" t="s">
        <v>164</v>
      </c>
      <c r="V145" t="s">
        <v>5</v>
      </c>
      <c r="W145" t="s">
        <v>9</v>
      </c>
      <c r="X145" t="str">
        <f t="shared" si="52"/>
        <v>No</v>
      </c>
    </row>
    <row r="146" spans="1:32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 t="s">
        <v>22</v>
      </c>
      <c r="K146" s="2" t="s">
        <v>44</v>
      </c>
      <c r="L146" s="2" t="s">
        <v>45</v>
      </c>
      <c r="M146" s="2" t="s">
        <v>46</v>
      </c>
      <c r="N146" s="2" t="s">
        <v>9</v>
      </c>
      <c r="O146" t="str">
        <f t="shared" si="54"/>
        <v>No</v>
      </c>
      <c r="U146" t="s">
        <v>162</v>
      </c>
      <c r="V146" t="str">
        <f>R143</f>
        <v>Yes</v>
      </c>
      <c r="W146" t="str">
        <f>S143</f>
        <v>No</v>
      </c>
      <c r="X146" t="str">
        <f>IF(V146="N/A","N/A",IF(W146="N/A", "N/A", IF(V146=W146, "Yes","No")))</f>
        <v>No</v>
      </c>
    </row>
    <row r="147" spans="1:32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 t="s">
        <v>25</v>
      </c>
      <c r="K147" s="2" t="s">
        <v>65</v>
      </c>
      <c r="L147" s="2"/>
      <c r="M147" s="2" t="s">
        <v>66</v>
      </c>
      <c r="N147" s="2" t="s">
        <v>9</v>
      </c>
      <c r="O147" t="str">
        <f t="shared" ref="O147:O149" si="55">IF(K147="Not","No",IF(K147="n/a","N/A",IF(K147&gt;$Y$6,"Yes","No")))</f>
        <v>N/A</v>
      </c>
      <c r="U147" t="s">
        <v>101</v>
      </c>
      <c r="V147" t="s">
        <v>9</v>
      </c>
      <c r="W147" t="s">
        <v>120</v>
      </c>
      <c r="X147" t="str">
        <f>IF(V147="N/A","N/A",IF(W147="N/A", "N/A", IF(V147=W147, "Yes","No")))</f>
        <v>N/A</v>
      </c>
    </row>
    <row r="148" spans="1:32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 t="s">
        <v>29</v>
      </c>
      <c r="K148" s="2" t="s">
        <v>65</v>
      </c>
      <c r="L148" s="2"/>
      <c r="M148" s="2" t="s">
        <v>66</v>
      </c>
      <c r="N148" s="2" t="s">
        <v>9</v>
      </c>
      <c r="O148" t="str">
        <f t="shared" si="55"/>
        <v>N/A</v>
      </c>
      <c r="U148" t="s">
        <v>104</v>
      </c>
      <c r="V148" t="s">
        <v>120</v>
      </c>
      <c r="W148" t="s">
        <v>120</v>
      </c>
      <c r="X148" t="str">
        <f>IF(V148="N/A","N/A",IF(W148="N/A", "N/A", IF(V148=W148, "Yes","No")))</f>
        <v>N/A</v>
      </c>
    </row>
    <row r="149" spans="1:32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 t="s">
        <v>34</v>
      </c>
      <c r="K149" s="2" t="s">
        <v>65</v>
      </c>
      <c r="L149" s="2"/>
      <c r="M149" s="2" t="s">
        <v>66</v>
      </c>
      <c r="N149" s="2" t="s">
        <v>9</v>
      </c>
      <c r="O149" t="str">
        <f t="shared" si="55"/>
        <v>N/A</v>
      </c>
      <c r="U149" t="s">
        <v>106</v>
      </c>
      <c r="V149" t="str">
        <f>R144</f>
        <v>No</v>
      </c>
      <c r="W149" t="s">
        <v>120</v>
      </c>
      <c r="X149" t="str">
        <f>IF(V149="N/A","N/A",IF(W149="N/A", "N/A", IF(V149=W149, "Yes","No")))</f>
        <v>N/A</v>
      </c>
    </row>
    <row r="150" spans="1:32" x14ac:dyDescent="0.2">
      <c r="U150" t="s">
        <v>121</v>
      </c>
      <c r="V150" t="str">
        <f>R145</f>
        <v>Yes</v>
      </c>
      <c r="W150" t="str">
        <f>S145</f>
        <v>No</v>
      </c>
      <c r="X150" t="str">
        <f>IF(V150="N/A","N/A",IF(W150="N/A", "N/A", IF(V150=W150, "Yes","No")))</f>
        <v>No</v>
      </c>
    </row>
    <row r="152" spans="1:32" x14ac:dyDescent="0.2">
      <c r="A152" s="1">
        <f>VLOOKUP(C152,'Grid - LRA Samples'!$A$2:$B$108, 2,FALSE)</f>
        <v>980</v>
      </c>
      <c r="B152" t="s">
        <v>152</v>
      </c>
      <c r="C152">
        <v>9</v>
      </c>
    </row>
    <row r="153" spans="1:32" x14ac:dyDescent="0.2">
      <c r="A153" s="5" t="s">
        <v>0</v>
      </c>
      <c r="E153" s="2" t="s">
        <v>274</v>
      </c>
      <c r="F153" s="2" t="s">
        <v>275</v>
      </c>
      <c r="G153" t="s">
        <v>119</v>
      </c>
      <c r="J153" s="3" t="s">
        <v>1</v>
      </c>
      <c r="N153" s="2" t="s">
        <v>277</v>
      </c>
      <c r="O153" t="s">
        <v>278</v>
      </c>
      <c r="Q153" s="5" t="s">
        <v>115</v>
      </c>
      <c r="R153" s="5" t="s">
        <v>0</v>
      </c>
      <c r="S153" s="5" t="s">
        <v>1</v>
      </c>
      <c r="U153" s="5" t="s">
        <v>115</v>
      </c>
      <c r="V153" s="5" t="s">
        <v>0</v>
      </c>
      <c r="W153" s="5" t="s">
        <v>1</v>
      </c>
      <c r="X153" s="5" t="s">
        <v>122</v>
      </c>
      <c r="AA153" t="str">
        <f>IF(R154="Yes","LRA-Soil","")</f>
        <v>LRA-Soil</v>
      </c>
      <c r="AB153" t="str">
        <f>IF(R155="Yes","LRA-Paint","")</f>
        <v>LRA-Paint</v>
      </c>
      <c r="AC153" t="str">
        <f>IF(R156="Yes","LRA-Dust","")</f>
        <v>LRA-Dust</v>
      </c>
      <c r="AD153" t="str">
        <f>IF(S154="Yes","LSK-Soil","")</f>
        <v>LSK-Soil</v>
      </c>
      <c r="AE153" t="str">
        <f>IF(S155="Yes","LSK-Paint","")</f>
        <v>LSK-Paint</v>
      </c>
      <c r="AF153" t="str">
        <f>IF(S156="Yes","LSK-Dust","")</f>
        <v>LSK-Dust</v>
      </c>
    </row>
    <row r="154" spans="1:32" x14ac:dyDescent="0.2">
      <c r="A154" t="s">
        <v>153</v>
      </c>
      <c r="B154" t="s">
        <v>64</v>
      </c>
      <c r="C154">
        <v>24.3</v>
      </c>
      <c r="D154" t="s">
        <v>4</v>
      </c>
      <c r="E154" t="s">
        <v>5</v>
      </c>
      <c r="F154" s="2" t="str">
        <f t="shared" ref="F154:F167" si="56">IF(C154&gt;=$W$2,"Yes","No")</f>
        <v>Yes</v>
      </c>
      <c r="G154" t="s">
        <v>5</v>
      </c>
      <c r="H154" t="s">
        <v>46</v>
      </c>
      <c r="J154" s="2" t="s">
        <v>6</v>
      </c>
      <c r="K154">
        <v>469</v>
      </c>
      <c r="L154" t="s">
        <v>12</v>
      </c>
      <c r="M154" t="s">
        <v>160</v>
      </c>
      <c r="N154" t="s">
        <v>9</v>
      </c>
      <c r="O154" t="str">
        <f t="shared" ref="O154:O156" si="57">IF(K154="Not","No",IF(K154="n/a","N/A",IF(K154&gt;$Y$3,"Yes","No")))</f>
        <v>Yes</v>
      </c>
      <c r="Q154" s="2" t="s">
        <v>116</v>
      </c>
      <c r="R154" t="str">
        <f>_xlfn.XLOOKUP("mg/Kg",D154:D185,F154:F185,"N/A")</f>
        <v>Yes</v>
      </c>
      <c r="S154" t="str">
        <f>IF(COUNTIF(O154:O156,"Yes"),"Yes","No")</f>
        <v>Yes</v>
      </c>
      <c r="U154" t="s">
        <v>92</v>
      </c>
      <c r="V154" t="s">
        <v>120</v>
      </c>
      <c r="W154" t="s">
        <v>5</v>
      </c>
      <c r="X154" t="str">
        <f>IF(V154="N/A","N/A",IF(W154="N/A", "N/A", IF(V154=W154, "Yes","No")))</f>
        <v>N/A</v>
      </c>
    </row>
    <row r="155" spans="1:32" x14ac:dyDescent="0.2">
      <c r="A155" t="s">
        <v>153</v>
      </c>
      <c r="B155" t="s">
        <v>24</v>
      </c>
      <c r="C155">
        <v>3.2</v>
      </c>
      <c r="D155" t="s">
        <v>4</v>
      </c>
      <c r="E155" t="s">
        <v>5</v>
      </c>
      <c r="F155" s="2" t="str">
        <f t="shared" si="56"/>
        <v>Yes</v>
      </c>
      <c r="G155" t="s">
        <v>5</v>
      </c>
      <c r="H155" t="s">
        <v>46</v>
      </c>
      <c r="J155" s="2" t="s">
        <v>11</v>
      </c>
      <c r="K155">
        <v>1183</v>
      </c>
      <c r="L155" t="s">
        <v>12</v>
      </c>
      <c r="M155" t="s">
        <v>161</v>
      </c>
      <c r="N155" t="s">
        <v>5</v>
      </c>
      <c r="O155" t="str">
        <f t="shared" si="57"/>
        <v>Yes</v>
      </c>
      <c r="Q155" s="2" t="s">
        <v>98</v>
      </c>
      <c r="R155" t="str">
        <f>_xlfn.XLOOKUP("mg/cm2",D154:D185,G154:G185,"N/A")</f>
        <v>Yes</v>
      </c>
      <c r="S155" t="str">
        <f>IF(COUNTIF(O157:O158,"Yes"),"Yes","No")</f>
        <v>Yes</v>
      </c>
      <c r="U155" t="s">
        <v>95</v>
      </c>
      <c r="V155" t="str">
        <f>R154</f>
        <v>Yes</v>
      </c>
      <c r="W155" t="str">
        <f>S154</f>
        <v>Yes</v>
      </c>
      <c r="X155" t="str">
        <f t="shared" ref="X155:X158" si="58">IF(V155="N/A","N/A",IF(W155="N/A", "N/A", IF(V155=W155, "Yes","No")))</f>
        <v>Yes</v>
      </c>
    </row>
    <row r="156" spans="1:32" x14ac:dyDescent="0.2">
      <c r="A156" t="s">
        <v>62</v>
      </c>
      <c r="B156" t="s">
        <v>24</v>
      </c>
      <c r="C156">
        <v>2.5</v>
      </c>
      <c r="D156" t="s">
        <v>4</v>
      </c>
      <c r="E156" t="s">
        <v>5</v>
      </c>
      <c r="F156" s="2" t="str">
        <f t="shared" si="56"/>
        <v>Yes</v>
      </c>
      <c r="G156" t="s">
        <v>5</v>
      </c>
      <c r="H156" t="s">
        <v>46</v>
      </c>
      <c r="J156" s="2" t="s">
        <v>15</v>
      </c>
      <c r="K156">
        <v>54</v>
      </c>
      <c r="L156" t="s">
        <v>12</v>
      </c>
      <c r="M156" t="s">
        <v>41</v>
      </c>
      <c r="N156" t="s">
        <v>9</v>
      </c>
      <c r="O156" t="str">
        <f t="shared" si="57"/>
        <v>No</v>
      </c>
      <c r="Q156" s="2" t="s">
        <v>117</v>
      </c>
      <c r="R156" t="str">
        <f>_xlfn.XLOOKUP("ug/ft2",D154:D185,F154:F185,"N/A")</f>
        <v>Yes</v>
      </c>
      <c r="S156" t="str">
        <f>IF(COUNTIF(O159:O161,"Yes"),"Yes","No")</f>
        <v>Yes</v>
      </c>
      <c r="U156" t="s">
        <v>163</v>
      </c>
      <c r="V156" t="s">
        <v>5</v>
      </c>
      <c r="W156" t="s">
        <v>5</v>
      </c>
      <c r="X156" t="str">
        <f t="shared" si="58"/>
        <v>Yes</v>
      </c>
    </row>
    <row r="157" spans="1:32" x14ac:dyDescent="0.2">
      <c r="A157" t="s">
        <v>62</v>
      </c>
      <c r="B157" t="s">
        <v>24</v>
      </c>
      <c r="C157">
        <v>1.7</v>
      </c>
      <c r="D157" t="s">
        <v>4</v>
      </c>
      <c r="E157" t="s">
        <v>5</v>
      </c>
      <c r="F157" s="2" t="str">
        <f t="shared" si="56"/>
        <v>Yes</v>
      </c>
      <c r="G157" t="s">
        <v>5</v>
      </c>
      <c r="H157" t="s">
        <v>46</v>
      </c>
      <c r="J157" s="2" t="s">
        <v>19</v>
      </c>
      <c r="K157">
        <v>13029</v>
      </c>
      <c r="L157" t="s">
        <v>12</v>
      </c>
      <c r="M157" t="s">
        <v>279</v>
      </c>
      <c r="N157" t="s">
        <v>5</v>
      </c>
      <c r="O157" t="str">
        <f t="shared" ref="O157:O158" si="59">IF(K157="Not","No",IF(K157="n/a","N/A",IF(K157&gt;$Y$2,"Yes","No")))</f>
        <v>Yes</v>
      </c>
      <c r="Q157" s="2" t="s">
        <v>118</v>
      </c>
      <c r="R157" t="str">
        <f>IF(COUNTIF(R154:R156,"Yes"),"Yes","No")</f>
        <v>Yes</v>
      </c>
      <c r="S157" t="str">
        <f>IF(COUNTIF(S154:S156,"Yes"),"Yes","No")</f>
        <v>Yes</v>
      </c>
      <c r="U157" t="s">
        <v>164</v>
      </c>
      <c r="V157" t="s">
        <v>5</v>
      </c>
      <c r="W157" t="s">
        <v>5</v>
      </c>
      <c r="X157" t="str">
        <f t="shared" si="58"/>
        <v>Yes</v>
      </c>
    </row>
    <row r="158" spans="1:32" x14ac:dyDescent="0.2">
      <c r="A158" t="s">
        <v>63</v>
      </c>
      <c r="B158" t="s">
        <v>3</v>
      </c>
      <c r="C158">
        <v>28.9</v>
      </c>
      <c r="D158" t="s">
        <v>4</v>
      </c>
      <c r="E158" t="s">
        <v>5</v>
      </c>
      <c r="F158" s="2" t="str">
        <f t="shared" si="56"/>
        <v>Yes</v>
      </c>
      <c r="G158" t="s">
        <v>5</v>
      </c>
      <c r="H158" t="s">
        <v>46</v>
      </c>
      <c r="J158" s="2" t="s">
        <v>22</v>
      </c>
      <c r="K158">
        <v>251535</v>
      </c>
      <c r="L158" t="s">
        <v>12</v>
      </c>
      <c r="M158" t="s">
        <v>280</v>
      </c>
      <c r="N158" t="s">
        <v>5</v>
      </c>
      <c r="O158" t="str">
        <f t="shared" si="59"/>
        <v>Yes</v>
      </c>
      <c r="U158" t="s">
        <v>162</v>
      </c>
      <c r="V158" t="str">
        <f>R155</f>
        <v>Yes</v>
      </c>
      <c r="W158" t="str">
        <f>S155</f>
        <v>Yes</v>
      </c>
      <c r="X158" t="str">
        <f t="shared" si="58"/>
        <v>Yes</v>
      </c>
    </row>
    <row r="159" spans="1:32" x14ac:dyDescent="0.2">
      <c r="A159" t="s">
        <v>63</v>
      </c>
      <c r="B159" t="s">
        <v>10</v>
      </c>
      <c r="C159">
        <v>28.4</v>
      </c>
      <c r="D159" t="s">
        <v>4</v>
      </c>
      <c r="E159" t="s">
        <v>5</v>
      </c>
      <c r="F159" s="2" t="str">
        <f t="shared" si="56"/>
        <v>Yes</v>
      </c>
      <c r="G159" t="s">
        <v>5</v>
      </c>
      <c r="H159" t="s">
        <v>46</v>
      </c>
      <c r="J159" s="2" t="s">
        <v>25</v>
      </c>
      <c r="K159">
        <v>229</v>
      </c>
      <c r="L159" t="s">
        <v>12</v>
      </c>
      <c r="M159" t="s">
        <v>59</v>
      </c>
      <c r="N159" t="s">
        <v>9</v>
      </c>
      <c r="O159" t="str">
        <f>IF(K159="Not","No",IF(K159="n/a","N/A",IF(K159&gt;$Y$5,"Yes","No")))</f>
        <v>No</v>
      </c>
      <c r="U159" t="s">
        <v>101</v>
      </c>
      <c r="V159" t="s">
        <v>5</v>
      </c>
      <c r="W159" t="s">
        <v>5</v>
      </c>
      <c r="X159" t="str">
        <f>IF(V159="N/A","N/A",IF(W159="N/A", "N/A", IF(V159=W159, "Yes","No")))</f>
        <v>Yes</v>
      </c>
    </row>
    <row r="160" spans="1:32" x14ac:dyDescent="0.2">
      <c r="A160" t="s">
        <v>63</v>
      </c>
      <c r="B160" t="s">
        <v>10</v>
      </c>
      <c r="C160">
        <v>26</v>
      </c>
      <c r="D160" t="s">
        <v>4</v>
      </c>
      <c r="E160" t="s">
        <v>5</v>
      </c>
      <c r="F160" s="2" t="str">
        <f t="shared" si="56"/>
        <v>Yes</v>
      </c>
      <c r="G160" t="s">
        <v>5</v>
      </c>
      <c r="H160" t="s">
        <v>46</v>
      </c>
      <c r="J160" s="2" t="s">
        <v>29</v>
      </c>
      <c r="K160">
        <v>17</v>
      </c>
      <c r="L160" t="s">
        <v>12</v>
      </c>
      <c r="M160" t="s">
        <v>72</v>
      </c>
      <c r="N160" t="s">
        <v>9</v>
      </c>
      <c r="O160" t="str">
        <f t="shared" ref="O160:O161" si="60">IF(K160="Not","No",IF(K160="n/a","N/A",IF(K160&gt;$Y$6,"Yes","No")))</f>
        <v>No</v>
      </c>
      <c r="U160" t="s">
        <v>104</v>
      </c>
      <c r="V160" t="s">
        <v>5</v>
      </c>
      <c r="W160" t="s">
        <v>9</v>
      </c>
      <c r="X160" t="str">
        <f>IF(V160="N/A","N/A",IF(W160="N/A", "N/A", IF(V160=W160, "Yes","No")))</f>
        <v>No</v>
      </c>
    </row>
    <row r="161" spans="1:24" x14ac:dyDescent="0.2">
      <c r="A161" t="s">
        <v>63</v>
      </c>
      <c r="B161" t="s">
        <v>24</v>
      </c>
      <c r="C161">
        <v>30.2</v>
      </c>
      <c r="D161" t="s">
        <v>4</v>
      </c>
      <c r="E161" t="s">
        <v>5</v>
      </c>
      <c r="F161" s="2" t="str">
        <f t="shared" si="56"/>
        <v>Yes</v>
      </c>
      <c r="G161" t="s">
        <v>5</v>
      </c>
      <c r="H161" t="s">
        <v>46</v>
      </c>
      <c r="J161" s="2" t="s">
        <v>34</v>
      </c>
      <c r="K161">
        <v>729</v>
      </c>
      <c r="L161" t="s">
        <v>12</v>
      </c>
      <c r="M161" t="s">
        <v>74</v>
      </c>
      <c r="N161" t="s">
        <v>5</v>
      </c>
      <c r="O161" t="str">
        <f t="shared" si="60"/>
        <v>Yes</v>
      </c>
      <c r="U161" t="s">
        <v>106</v>
      </c>
      <c r="V161" t="str">
        <f>R156</f>
        <v>Yes</v>
      </c>
      <c r="W161" t="str">
        <f>S156</f>
        <v>Yes</v>
      </c>
      <c r="X161" t="str">
        <f>IF(V161="N/A","N/A",IF(W161="N/A", "N/A", IF(V161=W161, "Yes","No")))</f>
        <v>Yes</v>
      </c>
    </row>
    <row r="162" spans="1:24" x14ac:dyDescent="0.2">
      <c r="A162" t="s">
        <v>63</v>
      </c>
      <c r="B162" t="s">
        <v>24</v>
      </c>
      <c r="C162">
        <v>25.7</v>
      </c>
      <c r="D162" t="s">
        <v>4</v>
      </c>
      <c r="E162" t="s">
        <v>5</v>
      </c>
      <c r="F162" s="2" t="str">
        <f t="shared" si="56"/>
        <v>Yes</v>
      </c>
      <c r="G162" t="s">
        <v>5</v>
      </c>
      <c r="H162" t="s">
        <v>46</v>
      </c>
      <c r="U162" t="s">
        <v>121</v>
      </c>
      <c r="V162" t="str">
        <f>R157</f>
        <v>Yes</v>
      </c>
      <c r="W162" t="str">
        <f>S157</f>
        <v>Yes</v>
      </c>
      <c r="X162" t="str">
        <f>IF(V162="N/A","N/A",IF(W162="N/A", "N/A", IF(V162=W162, "Yes","No")))</f>
        <v>Yes</v>
      </c>
    </row>
    <row r="163" spans="1:24" x14ac:dyDescent="0.2">
      <c r="A163" t="s">
        <v>63</v>
      </c>
      <c r="B163" t="s">
        <v>24</v>
      </c>
      <c r="C163">
        <v>28.1</v>
      </c>
      <c r="D163" t="s">
        <v>4</v>
      </c>
      <c r="E163" t="s">
        <v>5</v>
      </c>
      <c r="F163" s="2" t="str">
        <f t="shared" si="56"/>
        <v>Yes</v>
      </c>
      <c r="G163" t="s">
        <v>5</v>
      </c>
      <c r="H163" t="s">
        <v>46</v>
      </c>
    </row>
    <row r="164" spans="1:24" x14ac:dyDescent="0.2">
      <c r="A164" t="s">
        <v>63</v>
      </c>
      <c r="B164" t="s">
        <v>24</v>
      </c>
      <c r="C164">
        <v>28.5</v>
      </c>
      <c r="D164" t="s">
        <v>4</v>
      </c>
      <c r="E164" t="s">
        <v>5</v>
      </c>
      <c r="F164" s="2" t="str">
        <f t="shared" si="56"/>
        <v>Yes</v>
      </c>
      <c r="G164" t="s">
        <v>5</v>
      </c>
      <c r="H164" t="s">
        <v>46</v>
      </c>
    </row>
    <row r="165" spans="1:24" x14ac:dyDescent="0.2">
      <c r="A165" t="s">
        <v>63</v>
      </c>
      <c r="B165" t="s">
        <v>24</v>
      </c>
      <c r="C165">
        <v>31.9</v>
      </c>
      <c r="D165" t="s">
        <v>4</v>
      </c>
      <c r="E165" t="s">
        <v>5</v>
      </c>
      <c r="F165" s="2" t="str">
        <f t="shared" si="56"/>
        <v>Yes</v>
      </c>
      <c r="G165" t="s">
        <v>5</v>
      </c>
      <c r="H165" t="s">
        <v>46</v>
      </c>
    </row>
    <row r="166" spans="1:24" x14ac:dyDescent="0.2">
      <c r="A166" t="s">
        <v>63</v>
      </c>
      <c r="B166" t="s">
        <v>24</v>
      </c>
      <c r="C166">
        <v>35.9</v>
      </c>
      <c r="D166" t="s">
        <v>4</v>
      </c>
      <c r="E166" t="s">
        <v>5</v>
      </c>
      <c r="F166" s="2" t="str">
        <f t="shared" si="56"/>
        <v>Yes</v>
      </c>
      <c r="G166" t="s">
        <v>5</v>
      </c>
      <c r="H166" t="s">
        <v>46</v>
      </c>
    </row>
    <row r="167" spans="1:24" x14ac:dyDescent="0.2">
      <c r="A167" t="s">
        <v>154</v>
      </c>
      <c r="B167" t="s">
        <v>155</v>
      </c>
      <c r="C167">
        <v>2.2000000000000002</v>
      </c>
      <c r="D167" t="s">
        <v>4</v>
      </c>
      <c r="E167" t="s">
        <v>5</v>
      </c>
      <c r="F167" s="2" t="str">
        <f t="shared" si="56"/>
        <v>Yes</v>
      </c>
      <c r="G167" t="s">
        <v>5</v>
      </c>
      <c r="H167" t="s">
        <v>46</v>
      </c>
    </row>
    <row r="168" spans="1:24" x14ac:dyDescent="0.2">
      <c r="A168" t="s">
        <v>68</v>
      </c>
      <c r="B168" t="s">
        <v>69</v>
      </c>
      <c r="C168">
        <v>998</v>
      </c>
      <c r="D168" t="s">
        <v>37</v>
      </c>
      <c r="E168" t="s">
        <v>9</v>
      </c>
      <c r="F168" s="2" t="str">
        <f>IF(C168&gt;$W$3,"Yes","No")</f>
        <v>Yes</v>
      </c>
      <c r="G168" t="s">
        <v>9</v>
      </c>
    </row>
    <row r="169" spans="1:24" x14ac:dyDescent="0.2">
      <c r="A169" t="s">
        <v>156</v>
      </c>
      <c r="B169" t="s">
        <v>24</v>
      </c>
      <c r="C169">
        <v>1.4</v>
      </c>
      <c r="D169" t="s">
        <v>4</v>
      </c>
      <c r="E169" t="s">
        <v>5</v>
      </c>
      <c r="F169" s="2" t="str">
        <f t="shared" ref="F169:F179" si="61">IF(C169&gt;=$W$2,"Yes","No")</f>
        <v>Yes</v>
      </c>
      <c r="G169" t="s">
        <v>9</v>
      </c>
      <c r="H169" t="s">
        <v>43</v>
      </c>
    </row>
    <row r="170" spans="1:24" x14ac:dyDescent="0.2">
      <c r="A170" t="s">
        <v>156</v>
      </c>
      <c r="B170" t="s">
        <v>24</v>
      </c>
      <c r="C170">
        <v>2.4</v>
      </c>
      <c r="D170" t="s">
        <v>4</v>
      </c>
      <c r="E170" t="s">
        <v>5</v>
      </c>
      <c r="F170" s="2" t="str">
        <f t="shared" si="61"/>
        <v>Yes</v>
      </c>
      <c r="G170" t="s">
        <v>9</v>
      </c>
      <c r="H170" t="s">
        <v>43</v>
      </c>
    </row>
    <row r="171" spans="1:24" x14ac:dyDescent="0.2">
      <c r="A171" t="s">
        <v>157</v>
      </c>
      <c r="B171" t="s">
        <v>40</v>
      </c>
      <c r="C171">
        <v>3</v>
      </c>
      <c r="D171" t="s">
        <v>4</v>
      </c>
      <c r="E171" t="s">
        <v>5</v>
      </c>
      <c r="F171" s="2" t="str">
        <f t="shared" si="61"/>
        <v>Yes</v>
      </c>
      <c r="G171" t="s">
        <v>5</v>
      </c>
      <c r="H171" t="s">
        <v>43</v>
      </c>
    </row>
    <row r="172" spans="1:24" x14ac:dyDescent="0.2">
      <c r="A172" t="s">
        <v>71</v>
      </c>
      <c r="B172" t="s">
        <v>40</v>
      </c>
      <c r="C172">
        <v>2.4</v>
      </c>
      <c r="D172" t="s">
        <v>4</v>
      </c>
      <c r="E172" t="s">
        <v>5</v>
      </c>
      <c r="F172" s="2" t="str">
        <f t="shared" si="61"/>
        <v>Yes</v>
      </c>
      <c r="G172" t="s">
        <v>9</v>
      </c>
      <c r="H172" t="s">
        <v>43</v>
      </c>
    </row>
    <row r="173" spans="1:24" x14ac:dyDescent="0.2">
      <c r="A173" t="s">
        <v>71</v>
      </c>
      <c r="B173" t="s">
        <v>40</v>
      </c>
      <c r="C173">
        <v>2.6</v>
      </c>
      <c r="D173" t="s">
        <v>4</v>
      </c>
      <c r="E173" t="s">
        <v>5</v>
      </c>
      <c r="F173" s="2" t="str">
        <f t="shared" si="61"/>
        <v>Yes</v>
      </c>
      <c r="G173" t="s">
        <v>9</v>
      </c>
      <c r="H173" t="s">
        <v>43</v>
      </c>
    </row>
    <row r="174" spans="1:24" x14ac:dyDescent="0.2">
      <c r="A174" t="s">
        <v>71</v>
      </c>
      <c r="B174" t="s">
        <v>40</v>
      </c>
      <c r="C174">
        <v>1.7</v>
      </c>
      <c r="D174" t="s">
        <v>4</v>
      </c>
      <c r="E174" t="s">
        <v>5</v>
      </c>
      <c r="F174" s="2" t="str">
        <f t="shared" si="61"/>
        <v>Yes</v>
      </c>
      <c r="G174" t="s">
        <v>9</v>
      </c>
      <c r="H174" t="s">
        <v>43</v>
      </c>
    </row>
    <row r="175" spans="1:24" x14ac:dyDescent="0.2">
      <c r="A175" t="s">
        <v>71</v>
      </c>
      <c r="B175" t="s">
        <v>40</v>
      </c>
      <c r="C175">
        <v>2.8</v>
      </c>
      <c r="D175" t="s">
        <v>4</v>
      </c>
      <c r="E175" t="s">
        <v>5</v>
      </c>
      <c r="F175" s="2" t="str">
        <f t="shared" si="61"/>
        <v>Yes</v>
      </c>
      <c r="G175" t="s">
        <v>9</v>
      </c>
      <c r="H175" t="s">
        <v>43</v>
      </c>
    </row>
    <row r="176" spans="1:24" x14ac:dyDescent="0.2">
      <c r="A176" t="s">
        <v>70</v>
      </c>
      <c r="B176" t="s">
        <v>40</v>
      </c>
      <c r="C176">
        <v>3.5</v>
      </c>
      <c r="D176" t="s">
        <v>4</v>
      </c>
      <c r="E176" t="s">
        <v>5</v>
      </c>
      <c r="F176" s="2" t="str">
        <f t="shared" si="61"/>
        <v>Yes</v>
      </c>
      <c r="G176" t="s">
        <v>5</v>
      </c>
      <c r="H176" t="s">
        <v>43</v>
      </c>
    </row>
    <row r="177" spans="1:32" x14ac:dyDescent="0.2">
      <c r="A177" t="s">
        <v>158</v>
      </c>
      <c r="B177" t="s">
        <v>40</v>
      </c>
      <c r="C177">
        <v>1.6</v>
      </c>
      <c r="D177" t="s">
        <v>4</v>
      </c>
      <c r="E177" t="s">
        <v>5</v>
      </c>
      <c r="F177" s="2" t="str">
        <f t="shared" si="61"/>
        <v>Yes</v>
      </c>
      <c r="G177" t="s">
        <v>9</v>
      </c>
      <c r="H177" t="s">
        <v>43</v>
      </c>
    </row>
    <row r="178" spans="1:32" x14ac:dyDescent="0.2">
      <c r="A178" t="s">
        <v>158</v>
      </c>
      <c r="B178" t="s">
        <v>40</v>
      </c>
      <c r="C178">
        <v>2.2000000000000002</v>
      </c>
      <c r="D178" t="s">
        <v>4</v>
      </c>
      <c r="E178" t="s">
        <v>5</v>
      </c>
      <c r="F178" s="2" t="str">
        <f t="shared" si="61"/>
        <v>Yes</v>
      </c>
      <c r="G178" t="s">
        <v>9</v>
      </c>
      <c r="H178" t="s">
        <v>43</v>
      </c>
    </row>
    <row r="179" spans="1:32" x14ac:dyDescent="0.2">
      <c r="A179" t="s">
        <v>73</v>
      </c>
      <c r="B179" t="s">
        <v>56</v>
      </c>
      <c r="C179">
        <v>3.5</v>
      </c>
      <c r="D179" t="s">
        <v>4</v>
      </c>
      <c r="E179" t="s">
        <v>5</v>
      </c>
      <c r="F179" s="2" t="str">
        <f t="shared" si="61"/>
        <v>Yes</v>
      </c>
      <c r="G179" t="s">
        <v>5</v>
      </c>
    </row>
    <row r="180" spans="1:32" x14ac:dyDescent="0.2">
      <c r="A180" t="s">
        <v>159</v>
      </c>
      <c r="B180" t="s">
        <v>32</v>
      </c>
      <c r="C180">
        <v>12</v>
      </c>
      <c r="D180" t="s">
        <v>33</v>
      </c>
      <c r="E180" t="s">
        <v>5</v>
      </c>
      <c r="F180" s="2" t="str">
        <f>IF(C180&gt;$W$6,"Yes","No")</f>
        <v>Yes</v>
      </c>
      <c r="G180" t="s">
        <v>5</v>
      </c>
    </row>
    <row r="181" spans="1:32" x14ac:dyDescent="0.2">
      <c r="A181" t="s">
        <v>159</v>
      </c>
      <c r="B181" t="s">
        <v>54</v>
      </c>
      <c r="C181">
        <v>990</v>
      </c>
      <c r="D181" t="s">
        <v>33</v>
      </c>
      <c r="E181" t="s">
        <v>5</v>
      </c>
      <c r="F181" s="2" t="str">
        <f>IF(C181&gt;=$W$5,"Yes","No")</f>
        <v>Yes</v>
      </c>
      <c r="G181" t="s">
        <v>5</v>
      </c>
    </row>
    <row r="182" spans="1:32" x14ac:dyDescent="0.2">
      <c r="A182" t="s">
        <v>71</v>
      </c>
      <c r="B182" t="s">
        <v>32</v>
      </c>
      <c r="C182">
        <v>230</v>
      </c>
      <c r="D182" t="s">
        <v>33</v>
      </c>
      <c r="E182" t="s">
        <v>5</v>
      </c>
      <c r="F182" s="2" t="str">
        <f t="shared" ref="F182:F183" si="62">IF(C182&gt;$W$6,"Yes","No")</f>
        <v>Yes</v>
      </c>
      <c r="G182" t="s">
        <v>5</v>
      </c>
    </row>
    <row r="183" spans="1:32" x14ac:dyDescent="0.2">
      <c r="A183" t="s">
        <v>70</v>
      </c>
      <c r="B183" t="s">
        <v>32</v>
      </c>
      <c r="C183">
        <v>15</v>
      </c>
      <c r="D183" t="s">
        <v>33</v>
      </c>
      <c r="E183" t="s">
        <v>5</v>
      </c>
      <c r="F183" s="2" t="str">
        <f t="shared" si="62"/>
        <v>Yes</v>
      </c>
      <c r="G183" t="s">
        <v>5</v>
      </c>
    </row>
    <row r="184" spans="1:32" x14ac:dyDescent="0.2">
      <c r="A184" t="s">
        <v>70</v>
      </c>
      <c r="B184" t="s">
        <v>54</v>
      </c>
      <c r="C184">
        <v>430</v>
      </c>
      <c r="D184" t="s">
        <v>33</v>
      </c>
      <c r="E184" t="s">
        <v>5</v>
      </c>
      <c r="F184" s="2" t="str">
        <f>IF(C184&gt;=$W$5,"Yes","No")</f>
        <v>Yes</v>
      </c>
      <c r="G184" t="s">
        <v>5</v>
      </c>
    </row>
    <row r="185" spans="1:32" x14ac:dyDescent="0.2">
      <c r="A185" t="s">
        <v>158</v>
      </c>
      <c r="B185" t="s">
        <v>32</v>
      </c>
      <c r="C185">
        <v>590</v>
      </c>
      <c r="D185" t="s">
        <v>33</v>
      </c>
      <c r="E185" t="s">
        <v>5</v>
      </c>
      <c r="F185" s="2" t="str">
        <f>IF(C185&gt;$W$6,"Yes","No")</f>
        <v>Yes</v>
      </c>
      <c r="G185" t="s">
        <v>5</v>
      </c>
    </row>
    <row r="188" spans="1:32" x14ac:dyDescent="0.2">
      <c r="A188" s="1">
        <f>VLOOKUP(C188,'Grid - LRA Samples'!$A$2:$B$108, 2,FALSE)</f>
        <v>519</v>
      </c>
      <c r="B188" t="s">
        <v>152</v>
      </c>
      <c r="C188">
        <v>10</v>
      </c>
    </row>
    <row r="189" spans="1:32" x14ac:dyDescent="0.2">
      <c r="A189" s="5" t="s">
        <v>0</v>
      </c>
      <c r="E189" s="2" t="s">
        <v>274</v>
      </c>
      <c r="F189" s="2" t="s">
        <v>275</v>
      </c>
      <c r="G189" t="s">
        <v>119</v>
      </c>
      <c r="J189" s="3" t="s">
        <v>1</v>
      </c>
      <c r="N189" s="2" t="s">
        <v>277</v>
      </c>
      <c r="O189" t="s">
        <v>278</v>
      </c>
      <c r="Q189" s="5" t="s">
        <v>115</v>
      </c>
      <c r="R189" s="5" t="s">
        <v>0</v>
      </c>
      <c r="S189" s="5" t="s">
        <v>1</v>
      </c>
      <c r="U189" s="5" t="s">
        <v>115</v>
      </c>
      <c r="V189" s="5" t="s">
        <v>0</v>
      </c>
      <c r="W189" s="5" t="s">
        <v>1</v>
      </c>
      <c r="X189" s="5" t="s">
        <v>122</v>
      </c>
      <c r="AA189" t="str">
        <f>IF(R190="Yes","LRA-Soil","")</f>
        <v/>
      </c>
      <c r="AB189" t="str">
        <f>IF(R191="Yes","LRA-Paint","")</f>
        <v>LRA-Paint</v>
      </c>
      <c r="AC189" t="str">
        <f>IF(R192="Yes","LRA-Dust","")</f>
        <v/>
      </c>
      <c r="AD189" t="str">
        <f>IF(S190="Yes","LSK-Soil","")</f>
        <v>LSK-Soil</v>
      </c>
      <c r="AE189" t="str">
        <f>IF(S191="Yes","LSK-Paint","")</f>
        <v/>
      </c>
      <c r="AF189" t="str">
        <f>IF(S192="Yes","LSK-Dust","")</f>
        <v>LSK-Dust</v>
      </c>
    </row>
    <row r="190" spans="1:32" x14ac:dyDescent="0.2">
      <c r="A190" t="s">
        <v>63</v>
      </c>
      <c r="B190" t="s">
        <v>10</v>
      </c>
      <c r="C190">
        <v>32</v>
      </c>
      <c r="D190" t="s">
        <v>4</v>
      </c>
      <c r="E190" t="s">
        <v>5</v>
      </c>
      <c r="F190" s="2" t="str">
        <f t="shared" ref="F190:F204" si="63">IF(C190&gt;=$W$2,"Yes","No")</f>
        <v>Yes</v>
      </c>
      <c r="G190" t="s">
        <v>5</v>
      </c>
      <c r="H190" t="s">
        <v>46</v>
      </c>
      <c r="J190" s="2" t="s">
        <v>6</v>
      </c>
      <c r="K190">
        <v>321.2</v>
      </c>
      <c r="L190" t="s">
        <v>12</v>
      </c>
      <c r="M190" t="s">
        <v>36</v>
      </c>
      <c r="N190" t="s">
        <v>9</v>
      </c>
      <c r="O190" t="str">
        <f t="shared" ref="O190:O192" si="64">IF(K190="Not","No",IF(K190="n/a","N/A",IF(K190&gt;$Y$3,"Yes","No")))</f>
        <v>No</v>
      </c>
      <c r="Q190" s="2" t="s">
        <v>116</v>
      </c>
      <c r="R190" t="str">
        <f>_xlfn.XLOOKUP("mg/Kg",D190:D204,F190:F204,"N/A")</f>
        <v>N/A</v>
      </c>
      <c r="S190" t="str">
        <f>IF(COUNTIF(O190:O192,"Yes"),"Yes","No")</f>
        <v>Yes</v>
      </c>
      <c r="U190" t="s">
        <v>92</v>
      </c>
      <c r="V190" t="s">
        <v>120</v>
      </c>
      <c r="W190" t="s">
        <v>5</v>
      </c>
      <c r="X190" t="str">
        <f>IF(V190="N/A","N/A",IF(W190="N/A", "N/A", IF(V190=W190, "Yes","No")))</f>
        <v>N/A</v>
      </c>
    </row>
    <row r="191" spans="1:32" x14ac:dyDescent="0.2">
      <c r="A191" t="s">
        <v>63</v>
      </c>
      <c r="B191" t="s">
        <v>169</v>
      </c>
      <c r="C191">
        <v>34</v>
      </c>
      <c r="D191" t="s">
        <v>4</v>
      </c>
      <c r="E191" t="s">
        <v>5</v>
      </c>
      <c r="F191" s="2" t="str">
        <f t="shared" si="63"/>
        <v>Yes</v>
      </c>
      <c r="G191" t="s">
        <v>5</v>
      </c>
      <c r="H191" t="s">
        <v>46</v>
      </c>
      <c r="J191" s="2" t="s">
        <v>11</v>
      </c>
      <c r="K191">
        <v>837.3</v>
      </c>
      <c r="L191" t="s">
        <v>12</v>
      </c>
      <c r="M191" t="s">
        <v>176</v>
      </c>
      <c r="N191" t="s">
        <v>5</v>
      </c>
      <c r="O191" t="str">
        <f t="shared" si="64"/>
        <v>Yes</v>
      </c>
      <c r="Q191" s="2" t="s">
        <v>98</v>
      </c>
      <c r="R191" t="str">
        <f>_xlfn.XLOOKUP("mg/cm2",D190:D204,G190:G204,"N/A")</f>
        <v>Yes</v>
      </c>
      <c r="S191" t="str">
        <f>IF(COUNTIF(O193:O194,"Yes"),"Yes","No")</f>
        <v>No</v>
      </c>
      <c r="U191" t="s">
        <v>95</v>
      </c>
      <c r="V191" t="str">
        <f>R190</f>
        <v>N/A</v>
      </c>
      <c r="W191" t="str">
        <f>S190</f>
        <v>Yes</v>
      </c>
      <c r="X191" t="str">
        <f t="shared" ref="X191:X194" si="65">IF(V191="N/A","N/A",IF(W191="N/A", "N/A", IF(V191=W191, "Yes","No")))</f>
        <v>N/A</v>
      </c>
    </row>
    <row r="192" spans="1:32" x14ac:dyDescent="0.2">
      <c r="A192" t="s">
        <v>63</v>
      </c>
      <c r="B192" t="s">
        <v>18</v>
      </c>
      <c r="C192">
        <v>30</v>
      </c>
      <c r="D192" t="s">
        <v>4</v>
      </c>
      <c r="E192" t="s">
        <v>5</v>
      </c>
      <c r="F192" s="2" t="str">
        <f t="shared" si="63"/>
        <v>Yes</v>
      </c>
      <c r="G192" t="s">
        <v>5</v>
      </c>
      <c r="H192" t="s">
        <v>46</v>
      </c>
      <c r="J192" s="2" t="s">
        <v>15</v>
      </c>
      <c r="K192">
        <v>241.5</v>
      </c>
      <c r="L192" t="s">
        <v>12</v>
      </c>
      <c r="M192" t="s">
        <v>41</v>
      </c>
      <c r="N192" t="s">
        <v>9</v>
      </c>
      <c r="O192" t="str">
        <f t="shared" si="64"/>
        <v>No</v>
      </c>
      <c r="Q192" s="2" t="s">
        <v>117</v>
      </c>
      <c r="R192" t="str">
        <f>_xlfn.XLOOKUP("ug/ft2",D190:D204,F190:F204,"N/A")</f>
        <v>N/A</v>
      </c>
      <c r="S192" t="str">
        <f>IF(COUNTIF(O195:O197,"Yes"),"Yes","No")</f>
        <v>Yes</v>
      </c>
      <c r="U192" t="s">
        <v>163</v>
      </c>
      <c r="V192" t="s">
        <v>5</v>
      </c>
      <c r="W192" s="19" t="s">
        <v>9</v>
      </c>
      <c r="X192" t="str">
        <f t="shared" si="65"/>
        <v>No</v>
      </c>
    </row>
    <row r="193" spans="1:32" x14ac:dyDescent="0.2">
      <c r="A193" t="s">
        <v>63</v>
      </c>
      <c r="B193" t="s">
        <v>170</v>
      </c>
      <c r="C193">
        <v>32</v>
      </c>
      <c r="D193" t="s">
        <v>4</v>
      </c>
      <c r="E193" t="s">
        <v>5</v>
      </c>
      <c r="F193" s="2" t="str">
        <f t="shared" si="63"/>
        <v>Yes</v>
      </c>
      <c r="G193" t="s">
        <v>5</v>
      </c>
      <c r="H193" t="s">
        <v>46</v>
      </c>
      <c r="J193" s="2" t="s">
        <v>19</v>
      </c>
      <c r="K193" t="s">
        <v>44</v>
      </c>
      <c r="L193" t="s">
        <v>45</v>
      </c>
      <c r="M193" t="s">
        <v>177</v>
      </c>
      <c r="N193" t="s">
        <v>9</v>
      </c>
      <c r="O193" t="str">
        <f t="shared" ref="O193:O194" si="66">IF(K193="Not","No",IF(K193="n/a","N/A",IF(K193&gt;$Y$2,"Yes","No")))</f>
        <v>No</v>
      </c>
      <c r="Q193" s="2" t="s">
        <v>118</v>
      </c>
      <c r="R193" t="str">
        <f>IF(COUNTIF(R190:R192,"Yes"),"Yes","No")</f>
        <v>Yes</v>
      </c>
      <c r="S193" t="str">
        <f>IF(COUNTIF(S190:S192,"Yes"),"Yes","No")</f>
        <v>Yes</v>
      </c>
      <c r="U193" t="s">
        <v>164</v>
      </c>
      <c r="V193" t="s">
        <v>5</v>
      </c>
      <c r="W193" t="s">
        <v>120</v>
      </c>
      <c r="X193" t="str">
        <f t="shared" si="65"/>
        <v>N/A</v>
      </c>
    </row>
    <row r="194" spans="1:32" x14ac:dyDescent="0.2">
      <c r="A194" t="s">
        <v>63</v>
      </c>
      <c r="B194" t="s">
        <v>18</v>
      </c>
      <c r="C194">
        <v>33</v>
      </c>
      <c r="D194" t="s">
        <v>4</v>
      </c>
      <c r="E194" t="s">
        <v>5</v>
      </c>
      <c r="F194" s="2" t="str">
        <f t="shared" si="63"/>
        <v>Yes</v>
      </c>
      <c r="G194" t="s">
        <v>5</v>
      </c>
      <c r="H194" t="s">
        <v>46</v>
      </c>
      <c r="J194" s="2" t="s">
        <v>22</v>
      </c>
      <c r="K194">
        <v>1262.8</v>
      </c>
      <c r="L194" t="s">
        <v>12</v>
      </c>
      <c r="M194" t="s">
        <v>178</v>
      </c>
      <c r="N194" s="19" t="s">
        <v>9</v>
      </c>
      <c r="O194" t="str">
        <f t="shared" si="66"/>
        <v>No</v>
      </c>
      <c r="U194" t="s">
        <v>162</v>
      </c>
      <c r="V194" t="str">
        <f>R191</f>
        <v>Yes</v>
      </c>
      <c r="W194" t="str">
        <f>S191</f>
        <v>No</v>
      </c>
      <c r="X194" t="str">
        <f t="shared" si="65"/>
        <v>No</v>
      </c>
    </row>
    <row r="195" spans="1:32" x14ac:dyDescent="0.2">
      <c r="A195" t="s">
        <v>171</v>
      </c>
      <c r="B195" t="s">
        <v>171</v>
      </c>
      <c r="C195">
        <v>5.9</v>
      </c>
      <c r="D195" t="s">
        <v>4</v>
      </c>
      <c r="E195" t="s">
        <v>5</v>
      </c>
      <c r="F195" s="2" t="str">
        <f t="shared" si="63"/>
        <v>Yes</v>
      </c>
      <c r="G195" t="s">
        <v>5</v>
      </c>
      <c r="H195" t="s">
        <v>43</v>
      </c>
      <c r="J195" s="2" t="s">
        <v>25</v>
      </c>
      <c r="K195" t="s">
        <v>44</v>
      </c>
      <c r="L195" t="s">
        <v>45</v>
      </c>
      <c r="M195" t="s">
        <v>59</v>
      </c>
      <c r="N195" t="s">
        <v>9</v>
      </c>
      <c r="O195" t="str">
        <f>IF(K195="Not","No",IF(K195="n/a","N/A",IF(K195&gt;$Y$5,"Yes","No")))</f>
        <v>No</v>
      </c>
      <c r="U195" t="s">
        <v>101</v>
      </c>
      <c r="V195" t="s">
        <v>120</v>
      </c>
      <c r="W195" t="s">
        <v>5</v>
      </c>
      <c r="X195" t="str">
        <f>IF(V195="N/A","N/A",IF(W195="N/A", "N/A", IF(V195=W195, "Yes","No")))</f>
        <v>N/A</v>
      </c>
    </row>
    <row r="196" spans="1:32" x14ac:dyDescent="0.2">
      <c r="A196" t="s">
        <v>172</v>
      </c>
      <c r="B196" t="s">
        <v>18</v>
      </c>
      <c r="C196">
        <v>0</v>
      </c>
      <c r="D196" t="s">
        <v>4</v>
      </c>
      <c r="E196" t="s">
        <v>9</v>
      </c>
      <c r="F196" s="2" t="str">
        <f t="shared" si="63"/>
        <v>No</v>
      </c>
      <c r="G196" t="s">
        <v>9</v>
      </c>
      <c r="H196" t="s">
        <v>46</v>
      </c>
      <c r="J196" s="2" t="s">
        <v>29</v>
      </c>
      <c r="K196">
        <v>161</v>
      </c>
      <c r="L196" t="s">
        <v>12</v>
      </c>
      <c r="M196" t="s">
        <v>72</v>
      </c>
      <c r="N196" t="s">
        <v>5</v>
      </c>
      <c r="O196" t="str">
        <f t="shared" ref="O196:O197" si="67">IF(K196="Not","No",IF(K196="n/a","N/A",IF(K196&gt;$Y$6,"Yes","No")))</f>
        <v>Yes</v>
      </c>
      <c r="U196" t="s">
        <v>104</v>
      </c>
      <c r="V196" t="s">
        <v>120</v>
      </c>
      <c r="W196" t="s">
        <v>9</v>
      </c>
      <c r="X196" t="str">
        <f>IF(V196="N/A","N/A",IF(W196="N/A", "N/A", IF(V196=W196, "Yes","No")))</f>
        <v>N/A</v>
      </c>
    </row>
    <row r="197" spans="1:32" x14ac:dyDescent="0.2">
      <c r="A197" t="s">
        <v>63</v>
      </c>
      <c r="B197" t="s">
        <v>24</v>
      </c>
      <c r="C197">
        <v>0.2</v>
      </c>
      <c r="D197" t="s">
        <v>4</v>
      </c>
      <c r="E197" t="s">
        <v>9</v>
      </c>
      <c r="F197" s="2" t="str">
        <f t="shared" si="63"/>
        <v>No</v>
      </c>
      <c r="G197" t="s">
        <v>9</v>
      </c>
      <c r="H197" t="s">
        <v>46</v>
      </c>
      <c r="J197" s="2" t="s">
        <v>34</v>
      </c>
      <c r="K197">
        <v>4.9000000000000004</v>
      </c>
      <c r="L197" t="s">
        <v>12</v>
      </c>
      <c r="M197" t="s">
        <v>74</v>
      </c>
      <c r="N197" t="s">
        <v>9</v>
      </c>
      <c r="O197" t="str">
        <f t="shared" si="67"/>
        <v>No</v>
      </c>
      <c r="U197" t="s">
        <v>106</v>
      </c>
      <c r="V197" t="str">
        <f>R192</f>
        <v>N/A</v>
      </c>
      <c r="W197" t="str">
        <f>S192</f>
        <v>Yes</v>
      </c>
      <c r="X197" t="str">
        <f>IF(V197="N/A","N/A",IF(W197="N/A", "N/A", IF(V197=W197, "Yes","No")))</f>
        <v>N/A</v>
      </c>
    </row>
    <row r="198" spans="1:32" x14ac:dyDescent="0.2">
      <c r="A198" t="s">
        <v>172</v>
      </c>
      <c r="B198" t="s">
        <v>173</v>
      </c>
      <c r="C198">
        <v>0</v>
      </c>
      <c r="D198" t="s">
        <v>4</v>
      </c>
      <c r="E198" t="s">
        <v>9</v>
      </c>
      <c r="F198" s="2" t="str">
        <f t="shared" si="63"/>
        <v>No</v>
      </c>
      <c r="G198" t="s">
        <v>9</v>
      </c>
      <c r="H198" t="s">
        <v>43</v>
      </c>
      <c r="U198" t="s">
        <v>121</v>
      </c>
      <c r="V198" t="str">
        <f>R193</f>
        <v>Yes</v>
      </c>
      <c r="W198" t="str">
        <f>S193</f>
        <v>Yes</v>
      </c>
      <c r="X198" t="str">
        <f>IF(V198="N/A","N/A",IF(W198="N/A", "N/A", IF(V198=W198, "Yes","No")))</f>
        <v>Yes</v>
      </c>
    </row>
    <row r="199" spans="1:32" x14ac:dyDescent="0.2">
      <c r="A199" t="s">
        <v>70</v>
      </c>
      <c r="B199" t="s">
        <v>170</v>
      </c>
      <c r="C199">
        <v>0</v>
      </c>
      <c r="D199" t="s">
        <v>4</v>
      </c>
      <c r="E199" t="s">
        <v>9</v>
      </c>
      <c r="F199" s="2" t="str">
        <f t="shared" si="63"/>
        <v>No</v>
      </c>
      <c r="G199" t="s">
        <v>9</v>
      </c>
      <c r="H199" t="s">
        <v>43</v>
      </c>
    </row>
    <row r="200" spans="1:32" x14ac:dyDescent="0.2">
      <c r="A200" t="s">
        <v>70</v>
      </c>
      <c r="B200" t="s">
        <v>40</v>
      </c>
      <c r="C200">
        <v>0</v>
      </c>
      <c r="D200" t="s">
        <v>4</v>
      </c>
      <c r="E200" t="s">
        <v>9</v>
      </c>
      <c r="F200" s="2" t="str">
        <f t="shared" si="63"/>
        <v>No</v>
      </c>
      <c r="G200" t="s">
        <v>9</v>
      </c>
      <c r="H200" t="s">
        <v>43</v>
      </c>
    </row>
    <row r="201" spans="1:32" x14ac:dyDescent="0.2">
      <c r="A201" t="s">
        <v>158</v>
      </c>
      <c r="B201" t="s">
        <v>40</v>
      </c>
      <c r="C201">
        <v>0</v>
      </c>
      <c r="D201" t="s">
        <v>4</v>
      </c>
      <c r="E201" t="s">
        <v>9</v>
      </c>
      <c r="F201" s="2" t="str">
        <f t="shared" si="63"/>
        <v>No</v>
      </c>
      <c r="G201" t="s">
        <v>9</v>
      </c>
      <c r="H201" t="s">
        <v>43</v>
      </c>
    </row>
    <row r="202" spans="1:32" x14ac:dyDescent="0.2">
      <c r="A202" t="s">
        <v>158</v>
      </c>
      <c r="B202" t="s">
        <v>174</v>
      </c>
      <c r="C202">
        <v>0.6</v>
      </c>
      <c r="D202" t="s">
        <v>4</v>
      </c>
      <c r="E202" t="s">
        <v>9</v>
      </c>
      <c r="F202" s="2" t="str">
        <f t="shared" si="63"/>
        <v>No</v>
      </c>
      <c r="G202" t="s">
        <v>9</v>
      </c>
      <c r="H202" t="s">
        <v>43</v>
      </c>
    </row>
    <row r="203" spans="1:32" x14ac:dyDescent="0.2">
      <c r="A203" t="s">
        <v>158</v>
      </c>
      <c r="B203" t="s">
        <v>54</v>
      </c>
      <c r="C203">
        <v>0.6</v>
      </c>
      <c r="D203" t="s">
        <v>4</v>
      </c>
      <c r="E203" t="s">
        <v>9</v>
      </c>
      <c r="F203" s="2" t="str">
        <f t="shared" si="63"/>
        <v>No</v>
      </c>
      <c r="G203" t="s">
        <v>9</v>
      </c>
      <c r="H203" t="s">
        <v>43</v>
      </c>
    </row>
    <row r="204" spans="1:32" x14ac:dyDescent="0.2">
      <c r="A204" t="s">
        <v>171</v>
      </c>
      <c r="B204" t="s">
        <v>175</v>
      </c>
      <c r="C204">
        <v>0.3</v>
      </c>
      <c r="D204" t="s">
        <v>4</v>
      </c>
      <c r="E204" t="s">
        <v>9</v>
      </c>
      <c r="F204" s="2" t="str">
        <f t="shared" si="63"/>
        <v>No</v>
      </c>
      <c r="G204" t="s">
        <v>9</v>
      </c>
      <c r="H204" t="s">
        <v>43</v>
      </c>
      <c r="U204" s="5"/>
      <c r="V204" s="5"/>
      <c r="W204" s="5"/>
      <c r="X204" s="5"/>
    </row>
    <row r="207" spans="1:32" x14ac:dyDescent="0.2">
      <c r="A207" s="1">
        <f>VLOOKUP(C207,'Grid - LRA Samples'!$A$2:$B$108, 2,FALSE)</f>
        <v>1208</v>
      </c>
      <c r="B207" t="s">
        <v>152</v>
      </c>
      <c r="C207">
        <v>11</v>
      </c>
    </row>
    <row r="208" spans="1:32" x14ac:dyDescent="0.2">
      <c r="A208" s="5" t="s">
        <v>0</v>
      </c>
      <c r="E208" s="2" t="s">
        <v>274</v>
      </c>
      <c r="F208" s="2" t="s">
        <v>275</v>
      </c>
      <c r="G208" t="s">
        <v>119</v>
      </c>
      <c r="J208" s="5" t="s">
        <v>1</v>
      </c>
      <c r="N208" s="2" t="s">
        <v>277</v>
      </c>
      <c r="O208" t="s">
        <v>278</v>
      </c>
      <c r="Q208" s="5" t="s">
        <v>115</v>
      </c>
      <c r="R208" s="5" t="s">
        <v>0</v>
      </c>
      <c r="S208" s="5" t="s">
        <v>1</v>
      </c>
      <c r="U208" s="5" t="s">
        <v>115</v>
      </c>
      <c r="V208" s="5" t="s">
        <v>0</v>
      </c>
      <c r="W208" s="5" t="s">
        <v>1</v>
      </c>
      <c r="X208" s="5" t="s">
        <v>122</v>
      </c>
      <c r="AA208" t="str">
        <f>IF(R209="Yes","LRA-Soil","")</f>
        <v/>
      </c>
      <c r="AB208" t="str">
        <f>IF(R210="Yes","LRA-Paint","")</f>
        <v/>
      </c>
      <c r="AC208" t="str">
        <f>IF(R211="Yes","LRA-Dust","")</f>
        <v/>
      </c>
      <c r="AD208" t="str">
        <f>IF(S209="Yes","LSK-Soil","")</f>
        <v/>
      </c>
      <c r="AE208" t="str">
        <f>IF(S210="Yes","LSK-Paint","")</f>
        <v/>
      </c>
      <c r="AF208" t="str">
        <f>IF(S211="Yes","LSK-Dust","")</f>
        <v/>
      </c>
    </row>
    <row r="209" spans="1:32" x14ac:dyDescent="0.2">
      <c r="A209" t="s">
        <v>38</v>
      </c>
      <c r="C209">
        <v>126</v>
      </c>
      <c r="D209" t="s">
        <v>37</v>
      </c>
      <c r="E209" t="s">
        <v>9</v>
      </c>
      <c r="F209" s="2" t="str">
        <f t="shared" ref="F209:F211" si="68">IF(C209&gt;$W$3,"Yes","No")</f>
        <v>No</v>
      </c>
      <c r="G209" t="s">
        <v>9</v>
      </c>
      <c r="J209" s="2" t="s">
        <v>6</v>
      </c>
      <c r="K209">
        <v>92</v>
      </c>
      <c r="L209" t="s">
        <v>12</v>
      </c>
      <c r="M209" t="s">
        <v>269</v>
      </c>
      <c r="N209" t="s">
        <v>9</v>
      </c>
      <c r="O209" t="str">
        <f t="shared" ref="O209:O211" si="69">IF(K209="Not","No",IF(K209="n/a","N/A",IF(K209&gt;$Y$3,"Yes","No")))</f>
        <v>No</v>
      </c>
      <c r="Q209" s="2" t="s">
        <v>116</v>
      </c>
      <c r="R209" t="str">
        <f>_xlfn.XLOOKUP("mg/Kg",D209:D213,F209:F213,"N/A")</f>
        <v>No</v>
      </c>
      <c r="S209" t="str">
        <f>IF(COUNTIF(O209:O211,"Yes"),"Yes","No")</f>
        <v>No</v>
      </c>
      <c r="U209" t="s">
        <v>92</v>
      </c>
      <c r="V209" t="s">
        <v>120</v>
      </c>
      <c r="W209" t="s">
        <v>9</v>
      </c>
      <c r="X209" t="str">
        <f>IF(V209="N/A","N/A",IF(W209="N/A", "N/A", IF(V209=W209, "Yes","No")))</f>
        <v>N/A</v>
      </c>
    </row>
    <row r="210" spans="1:32" x14ac:dyDescent="0.2">
      <c r="A210" t="s">
        <v>182</v>
      </c>
      <c r="C210">
        <v>198</v>
      </c>
      <c r="D210" t="s">
        <v>37</v>
      </c>
      <c r="E210" t="s">
        <v>9</v>
      </c>
      <c r="F210" s="2" t="str">
        <f t="shared" si="68"/>
        <v>No</v>
      </c>
      <c r="G210" t="s">
        <v>9</v>
      </c>
      <c r="J210" s="2" t="s">
        <v>11</v>
      </c>
      <c r="K210">
        <v>140</v>
      </c>
      <c r="L210" t="s">
        <v>12</v>
      </c>
      <c r="M210" t="s">
        <v>38</v>
      </c>
      <c r="N210" t="s">
        <v>9</v>
      </c>
      <c r="O210" t="str">
        <f t="shared" si="69"/>
        <v>No</v>
      </c>
      <c r="Q210" s="2" t="s">
        <v>98</v>
      </c>
      <c r="R210" t="str">
        <f>_xlfn.XLOOKUP("mg/cm2",D209:D216,G209:G216,"N/A")</f>
        <v>N/A</v>
      </c>
      <c r="S210" t="str">
        <f>IF(COUNTIF(O212:O213,"Yes"),"Yes","No")</f>
        <v>No</v>
      </c>
      <c r="U210" t="s">
        <v>95</v>
      </c>
      <c r="V210" t="str">
        <f>R209</f>
        <v>No</v>
      </c>
      <c r="W210" t="str">
        <f>S209</f>
        <v>No</v>
      </c>
      <c r="X210" t="str">
        <f t="shared" ref="X210:X213" si="70">IF(V210="N/A","N/A",IF(W210="N/A", "N/A", IF(V210=W210, "Yes","No")))</f>
        <v>Yes</v>
      </c>
    </row>
    <row r="211" spans="1:32" x14ac:dyDescent="0.2">
      <c r="A211" t="s">
        <v>183</v>
      </c>
      <c r="C211">
        <v>211</v>
      </c>
      <c r="D211" t="s">
        <v>37</v>
      </c>
      <c r="E211" t="s">
        <v>9</v>
      </c>
      <c r="F211" s="2" t="str">
        <f t="shared" si="68"/>
        <v>No</v>
      </c>
      <c r="G211" t="s">
        <v>9</v>
      </c>
      <c r="J211" s="2" t="s">
        <v>15</v>
      </c>
      <c r="K211">
        <v>233</v>
      </c>
      <c r="L211" t="s">
        <v>12</v>
      </c>
      <c r="M211" t="s">
        <v>270</v>
      </c>
      <c r="N211" t="s">
        <v>9</v>
      </c>
      <c r="O211" t="str">
        <f t="shared" si="69"/>
        <v>No</v>
      </c>
      <c r="Q211" s="2" t="s">
        <v>117</v>
      </c>
      <c r="R211" t="str">
        <f>_xlfn.XLOOKUP("ug/ft2",D209:D215,F209:F215,"N/A")</f>
        <v>N/A</v>
      </c>
      <c r="S211" t="s">
        <v>120</v>
      </c>
      <c r="U211" t="s">
        <v>163</v>
      </c>
      <c r="V211" t="s">
        <v>120</v>
      </c>
      <c r="W211" t="s">
        <v>120</v>
      </c>
      <c r="X211" t="str">
        <f t="shared" si="70"/>
        <v>N/A</v>
      </c>
    </row>
    <row r="212" spans="1:32" x14ac:dyDescent="0.2">
      <c r="J212" s="2" t="s">
        <v>19</v>
      </c>
      <c r="K212" t="s">
        <v>65</v>
      </c>
      <c r="M212" t="s">
        <v>66</v>
      </c>
      <c r="N212" t="s">
        <v>9</v>
      </c>
      <c r="O212" t="str">
        <f t="shared" ref="O212:O213" si="71">IF(K212="Not","No",IF(K212="n/a","N/A",IF(K212&gt;$Y$2,"Yes","No")))</f>
        <v>N/A</v>
      </c>
      <c r="Q212" s="2" t="s">
        <v>118</v>
      </c>
      <c r="R212" t="str">
        <f>IF(COUNTIF(R209:R211,"Yes"),"Yes","No")</f>
        <v>No</v>
      </c>
      <c r="S212" t="str">
        <f>IF(COUNTIF(S209:S211,"Yes"),"Yes","No")</f>
        <v>No</v>
      </c>
      <c r="U212" t="s">
        <v>164</v>
      </c>
      <c r="V212" t="s">
        <v>120</v>
      </c>
      <c r="W212" t="s">
        <v>120</v>
      </c>
      <c r="X212" t="str">
        <f t="shared" si="70"/>
        <v>N/A</v>
      </c>
    </row>
    <row r="213" spans="1:32" x14ac:dyDescent="0.2">
      <c r="J213" s="2" t="s">
        <v>22</v>
      </c>
      <c r="K213" t="s">
        <v>65</v>
      </c>
      <c r="M213" t="s">
        <v>66</v>
      </c>
      <c r="N213" t="s">
        <v>9</v>
      </c>
      <c r="O213" t="str">
        <f t="shared" si="71"/>
        <v>N/A</v>
      </c>
      <c r="U213" t="s">
        <v>162</v>
      </c>
      <c r="V213" t="str">
        <f>R210</f>
        <v>N/A</v>
      </c>
      <c r="W213" t="str">
        <f>S210</f>
        <v>No</v>
      </c>
      <c r="X213" t="str">
        <f t="shared" si="70"/>
        <v>N/A</v>
      </c>
    </row>
    <row r="214" spans="1:32" x14ac:dyDescent="0.2">
      <c r="J214" s="2" t="s">
        <v>25</v>
      </c>
      <c r="K214" t="s">
        <v>65</v>
      </c>
      <c r="M214" t="s">
        <v>66</v>
      </c>
      <c r="N214" t="s">
        <v>9</v>
      </c>
      <c r="O214" t="str">
        <f t="shared" ref="O214:O216" si="72">IF(K214="Not","No",IF(K214="n/a","N/A",IF(K214&gt;$Y$6,"Yes","No")))</f>
        <v>N/A</v>
      </c>
      <c r="U214" t="s">
        <v>101</v>
      </c>
      <c r="V214" t="s">
        <v>120</v>
      </c>
      <c r="W214" t="s">
        <v>9</v>
      </c>
      <c r="X214" t="str">
        <f>IF(V214="N/A","N/A",IF(W214="N/A", "N/A", IF(V214=W214, "Yes","No")))</f>
        <v>N/A</v>
      </c>
    </row>
    <row r="215" spans="1:32" x14ac:dyDescent="0.2">
      <c r="J215" s="2" t="s">
        <v>29</v>
      </c>
      <c r="K215" t="s">
        <v>65</v>
      </c>
      <c r="M215" t="s">
        <v>66</v>
      </c>
      <c r="N215" t="s">
        <v>9</v>
      </c>
      <c r="O215" t="str">
        <f t="shared" si="72"/>
        <v>N/A</v>
      </c>
      <c r="U215" t="s">
        <v>104</v>
      </c>
      <c r="V215" t="s">
        <v>120</v>
      </c>
      <c r="W215" t="s">
        <v>9</v>
      </c>
      <c r="X215" t="str">
        <f>IF(V215="N/A","N/A",IF(W215="N/A", "N/A", IF(V215=W215, "Yes","No")))</f>
        <v>N/A</v>
      </c>
    </row>
    <row r="216" spans="1:32" x14ac:dyDescent="0.2">
      <c r="J216" s="2" t="s">
        <v>34</v>
      </c>
      <c r="K216" t="s">
        <v>65</v>
      </c>
      <c r="M216" t="s">
        <v>66</v>
      </c>
      <c r="N216" t="s">
        <v>9</v>
      </c>
      <c r="O216" t="str">
        <f t="shared" si="72"/>
        <v>N/A</v>
      </c>
      <c r="U216" t="s">
        <v>106</v>
      </c>
      <c r="V216" t="str">
        <f>R211</f>
        <v>N/A</v>
      </c>
      <c r="W216" t="str">
        <f>S211</f>
        <v>N/A</v>
      </c>
      <c r="X216" t="str">
        <f>IF(V216="N/A","N/A",IF(W216="N/A", "N/A", IF(V216=W216, "Yes","No")))</f>
        <v>N/A</v>
      </c>
    </row>
    <row r="217" spans="1:32" x14ac:dyDescent="0.2">
      <c r="U217" t="s">
        <v>121</v>
      </c>
      <c r="V217" t="str">
        <f>R212</f>
        <v>No</v>
      </c>
      <c r="W217" t="str">
        <f>S212</f>
        <v>No</v>
      </c>
      <c r="X217" t="str">
        <f>IF(V217="N/A","N/A",IF(W217="N/A", "N/A", IF(V217=W217, "Yes","No")))</f>
        <v>Yes</v>
      </c>
    </row>
    <row r="219" spans="1:32" x14ac:dyDescent="0.2">
      <c r="A219" s="1">
        <f>VLOOKUP(C219,'Grid - LRA Samples'!$A$2:$B$108, 2,FALSE)</f>
        <v>1267</v>
      </c>
      <c r="B219" t="s">
        <v>152</v>
      </c>
      <c r="C219">
        <v>12</v>
      </c>
    </row>
    <row r="220" spans="1:32" x14ac:dyDescent="0.2">
      <c r="A220" s="5" t="s">
        <v>0</v>
      </c>
      <c r="E220" s="2" t="s">
        <v>274</v>
      </c>
      <c r="F220" s="2" t="s">
        <v>275</v>
      </c>
      <c r="G220" t="s">
        <v>119</v>
      </c>
      <c r="J220" s="5" t="s">
        <v>1</v>
      </c>
      <c r="N220" s="2" t="s">
        <v>277</v>
      </c>
      <c r="O220" t="s">
        <v>278</v>
      </c>
      <c r="Q220" s="5" t="s">
        <v>115</v>
      </c>
      <c r="R220" s="5" t="s">
        <v>0</v>
      </c>
      <c r="S220" s="5" t="s">
        <v>1</v>
      </c>
      <c r="U220" s="5" t="s">
        <v>115</v>
      </c>
      <c r="V220" s="5" t="s">
        <v>0</v>
      </c>
      <c r="W220" s="5" t="s">
        <v>1</v>
      </c>
      <c r="X220" s="5" t="s">
        <v>122</v>
      </c>
      <c r="AA220" t="str">
        <f>IF(R221="Yes","LRA-Soil","")</f>
        <v/>
      </c>
      <c r="AB220" t="str">
        <f>IF(R222="Yes","LRA-Paint","")</f>
        <v>LRA-Paint</v>
      </c>
      <c r="AC220" t="str">
        <f>IF(R223="Yes","LRA-Dust","")</f>
        <v>LRA-Dust</v>
      </c>
      <c r="AD220" t="str">
        <f>IF(S221="Yes","LSK-Soil","")</f>
        <v/>
      </c>
      <c r="AE220" t="str">
        <f>IF(S222="Yes","LSK-Paint","")</f>
        <v>LSK-Paint</v>
      </c>
      <c r="AF220" t="str">
        <f>IF(S223="Yes","LSK-Dust","")</f>
        <v/>
      </c>
    </row>
    <row r="221" spans="1:32" x14ac:dyDescent="0.2">
      <c r="A221" t="s">
        <v>185</v>
      </c>
      <c r="B221" t="s">
        <v>186</v>
      </c>
      <c r="C221">
        <v>13.4</v>
      </c>
      <c r="D221" t="s">
        <v>4</v>
      </c>
      <c r="E221" t="s">
        <v>5</v>
      </c>
      <c r="F221" s="2" t="str">
        <f t="shared" ref="F221:F222" si="73">IF(C221&gt;=$W$2,"Yes","No")</f>
        <v>Yes</v>
      </c>
      <c r="G221" t="s">
        <v>5</v>
      </c>
      <c r="H221" t="s">
        <v>46</v>
      </c>
      <c r="J221" s="2" t="s">
        <v>6</v>
      </c>
      <c r="K221">
        <v>307</v>
      </c>
      <c r="L221" t="s">
        <v>7</v>
      </c>
      <c r="M221" t="s">
        <v>194</v>
      </c>
      <c r="N221" t="s">
        <v>9</v>
      </c>
      <c r="O221" t="str">
        <f t="shared" ref="O221:O223" si="74">IF(K221="Not","No",IF(K221="n/a","N/A",IF(K221&gt;$Y$3,"Yes","No")))</f>
        <v>No</v>
      </c>
      <c r="Q221" s="2" t="s">
        <v>116</v>
      </c>
      <c r="R221" t="str">
        <f>_xlfn.XLOOKUP("ppm",D221:D227,F221:F227,"N/A")</f>
        <v>No</v>
      </c>
      <c r="S221" t="str">
        <f>IF(COUNTIF(O221:O223,"Yes"),"Yes","No")</f>
        <v>No</v>
      </c>
      <c r="U221" t="s">
        <v>92</v>
      </c>
      <c r="V221" t="s">
        <v>120</v>
      </c>
      <c r="W221" t="s">
        <v>120</v>
      </c>
      <c r="X221" t="str">
        <f>IF(V221="N/A","N/A",IF(W221="N/A", "N/A", IF(V221=W221, "Yes","No")))</f>
        <v>N/A</v>
      </c>
    </row>
    <row r="222" spans="1:32" x14ac:dyDescent="0.2">
      <c r="A222" t="s">
        <v>185</v>
      </c>
      <c r="B222" t="s">
        <v>186</v>
      </c>
      <c r="C222">
        <v>20.7</v>
      </c>
      <c r="D222" t="s">
        <v>4</v>
      </c>
      <c r="E222" t="s">
        <v>5</v>
      </c>
      <c r="F222" s="2" t="str">
        <f t="shared" si="73"/>
        <v>Yes</v>
      </c>
      <c r="G222" t="s">
        <v>5</v>
      </c>
      <c r="H222" t="s">
        <v>46</v>
      </c>
      <c r="J222" s="2" t="s">
        <v>11</v>
      </c>
      <c r="K222">
        <v>38</v>
      </c>
      <c r="L222" t="s">
        <v>12</v>
      </c>
      <c r="M222" t="s">
        <v>194</v>
      </c>
      <c r="N222" t="s">
        <v>9</v>
      </c>
      <c r="O222" t="str">
        <f t="shared" si="74"/>
        <v>No</v>
      </c>
      <c r="Q222" s="2" t="s">
        <v>98</v>
      </c>
      <c r="R222" t="str">
        <f>_xlfn.XLOOKUP("mg/cm2",D221:D227,G221:G227,"N/A")</f>
        <v>Yes</v>
      </c>
      <c r="S222" t="str">
        <f>IF(COUNTIF(O224:O225,"Yes"),"Yes","No")</f>
        <v>Yes</v>
      </c>
      <c r="U222" t="s">
        <v>95</v>
      </c>
      <c r="V222" t="str">
        <f>R221</f>
        <v>No</v>
      </c>
      <c r="W222" t="str">
        <f>S221</f>
        <v>No</v>
      </c>
      <c r="X222" t="str">
        <f t="shared" ref="X222:X225" si="75">IF(V222="N/A","N/A",IF(W222="N/A", "N/A", IF(V222=W222, "Yes","No")))</f>
        <v>Yes</v>
      </c>
    </row>
    <row r="223" spans="1:32" x14ac:dyDescent="0.2">
      <c r="A223" t="s">
        <v>187</v>
      </c>
      <c r="B223" t="s">
        <v>193</v>
      </c>
      <c r="C223">
        <v>105</v>
      </c>
      <c r="D223" t="s">
        <v>12</v>
      </c>
      <c r="E223" t="s">
        <v>9</v>
      </c>
      <c r="F223" s="2" t="str">
        <f>IF(C223&gt;$W$3,"Yes","No")</f>
        <v>No</v>
      </c>
      <c r="G223" t="s">
        <v>9</v>
      </c>
      <c r="J223" s="2" t="s">
        <v>15</v>
      </c>
      <c r="K223">
        <v>55</v>
      </c>
      <c r="L223" t="s">
        <v>12</v>
      </c>
      <c r="M223" t="s">
        <v>194</v>
      </c>
      <c r="N223" t="s">
        <v>9</v>
      </c>
      <c r="O223" t="str">
        <f t="shared" si="74"/>
        <v>No</v>
      </c>
      <c r="Q223" s="2" t="s">
        <v>117</v>
      </c>
      <c r="R223" t="str">
        <f>_xlfn.XLOOKUP("ug/ft2",D221:D227,F221:F227,"N/A")</f>
        <v>Yes</v>
      </c>
      <c r="S223" t="str">
        <f>IF(COUNTIF(O226:O228,"Yes"),"Yes","No")</f>
        <v>No</v>
      </c>
      <c r="U223" t="s">
        <v>163</v>
      </c>
      <c r="V223" t="s">
        <v>5</v>
      </c>
      <c r="W223" t="s">
        <v>120</v>
      </c>
      <c r="X223" t="str">
        <f t="shared" si="75"/>
        <v>N/A</v>
      </c>
    </row>
    <row r="224" spans="1:32" x14ac:dyDescent="0.2">
      <c r="A224" t="s">
        <v>188</v>
      </c>
      <c r="B224" t="s">
        <v>189</v>
      </c>
      <c r="C224">
        <v>1</v>
      </c>
      <c r="D224" t="s">
        <v>4</v>
      </c>
      <c r="E224" t="s">
        <v>5</v>
      </c>
      <c r="F224" s="2" t="str">
        <f t="shared" ref="F224:F226" si="76">IF(C224&gt;=$W$2,"Yes","No")</f>
        <v>Yes</v>
      </c>
      <c r="G224" t="s">
        <v>9</v>
      </c>
      <c r="H224" t="s">
        <v>43</v>
      </c>
      <c r="J224" s="2" t="s">
        <v>19</v>
      </c>
      <c r="K224">
        <v>1987</v>
      </c>
      <c r="L224" t="s">
        <v>12</v>
      </c>
      <c r="M224" t="s">
        <v>194</v>
      </c>
      <c r="N224" t="s">
        <v>9</v>
      </c>
      <c r="O224" t="str">
        <f t="shared" ref="O224:O225" si="77">IF(K224="Not","No",IF(K224="n/a","N/A",IF(K224&gt;$Y$2,"Yes","No")))</f>
        <v>No</v>
      </c>
      <c r="Q224" s="2" t="s">
        <v>118</v>
      </c>
      <c r="R224" t="str">
        <f>IF(COUNTIF(R221:R223,"Yes"),"Yes","No")</f>
        <v>Yes</v>
      </c>
      <c r="S224" t="str">
        <f>IF(COUNTIF(S221:S223,"Yes"),"Yes","No")</f>
        <v>Yes</v>
      </c>
      <c r="U224" t="s">
        <v>164</v>
      </c>
      <c r="V224" t="s">
        <v>5</v>
      </c>
      <c r="W224" t="s">
        <v>120</v>
      </c>
      <c r="X224" t="str">
        <f t="shared" si="75"/>
        <v>N/A</v>
      </c>
    </row>
    <row r="225" spans="1:32" x14ac:dyDescent="0.2">
      <c r="A225" t="s">
        <v>190</v>
      </c>
      <c r="B225" t="s">
        <v>189</v>
      </c>
      <c r="C225">
        <v>1.1000000000000001</v>
      </c>
      <c r="D225" t="s">
        <v>4</v>
      </c>
      <c r="E225" t="s">
        <v>5</v>
      </c>
      <c r="F225" s="2" t="str">
        <f t="shared" si="76"/>
        <v>Yes</v>
      </c>
      <c r="G225" t="s">
        <v>5</v>
      </c>
      <c r="H225" t="s">
        <v>43</v>
      </c>
      <c r="J225" s="2" t="s">
        <v>22</v>
      </c>
      <c r="K225">
        <v>53119</v>
      </c>
      <c r="L225" t="s">
        <v>12</v>
      </c>
      <c r="M225" t="s">
        <v>194</v>
      </c>
      <c r="N225" t="s">
        <v>5</v>
      </c>
      <c r="O225" t="str">
        <f t="shared" si="77"/>
        <v>Yes</v>
      </c>
      <c r="U225" t="s">
        <v>162</v>
      </c>
      <c r="V225" t="str">
        <f>R222</f>
        <v>Yes</v>
      </c>
      <c r="W225" t="str">
        <f>S222</f>
        <v>Yes</v>
      </c>
      <c r="X225" t="str">
        <f t="shared" si="75"/>
        <v>Yes</v>
      </c>
    </row>
    <row r="226" spans="1:32" x14ac:dyDescent="0.2">
      <c r="A226" t="s">
        <v>191</v>
      </c>
      <c r="B226" t="s">
        <v>189</v>
      </c>
      <c r="C226">
        <v>1.1000000000000001</v>
      </c>
      <c r="D226" t="s">
        <v>4</v>
      </c>
      <c r="E226" t="s">
        <v>5</v>
      </c>
      <c r="F226" s="2" t="str">
        <f t="shared" si="76"/>
        <v>Yes</v>
      </c>
      <c r="G226" t="s">
        <v>5</v>
      </c>
      <c r="H226" t="s">
        <v>43</v>
      </c>
      <c r="J226" s="2" t="s">
        <v>25</v>
      </c>
      <c r="K226">
        <v>0</v>
      </c>
      <c r="L226" t="s">
        <v>12</v>
      </c>
      <c r="M226" t="s">
        <v>194</v>
      </c>
      <c r="N226" t="s">
        <v>9</v>
      </c>
      <c r="O226" t="str">
        <f t="shared" ref="O226:O228" si="78">IF(K226="Not","No",IF(K226="n/a","N/A",IF(K226&gt;$Y$6,"Yes","No")))</f>
        <v>No</v>
      </c>
      <c r="U226" t="s">
        <v>101</v>
      </c>
      <c r="V226" t="s">
        <v>120</v>
      </c>
      <c r="W226" t="s">
        <v>120</v>
      </c>
      <c r="X226" t="str">
        <f>IF(V226="N/A","N/A",IF(W226="N/A", "N/A", IF(V226=W226, "Yes","No")))</f>
        <v>N/A</v>
      </c>
    </row>
    <row r="227" spans="1:32" x14ac:dyDescent="0.2">
      <c r="A227" t="s">
        <v>188</v>
      </c>
      <c r="B227" t="s">
        <v>192</v>
      </c>
      <c r="C227">
        <v>118</v>
      </c>
      <c r="D227" t="s">
        <v>33</v>
      </c>
      <c r="E227" t="s">
        <v>5</v>
      </c>
      <c r="F227" s="2" t="str">
        <f>IF(C227&gt;=$W$5,"Yes","No")</f>
        <v>Yes</v>
      </c>
      <c r="G227" t="s">
        <v>5</v>
      </c>
      <c r="H227" t="s">
        <v>43</v>
      </c>
      <c r="J227" s="2" t="s">
        <v>29</v>
      </c>
      <c r="K227">
        <v>0</v>
      </c>
      <c r="L227" t="s">
        <v>12</v>
      </c>
      <c r="M227" t="s">
        <v>194</v>
      </c>
      <c r="N227" t="s">
        <v>9</v>
      </c>
      <c r="O227" t="str">
        <f t="shared" si="78"/>
        <v>No</v>
      </c>
      <c r="U227" t="s">
        <v>104</v>
      </c>
      <c r="V227" t="s">
        <v>5</v>
      </c>
      <c r="W227" t="s">
        <v>120</v>
      </c>
      <c r="X227" t="str">
        <f>IF(V227="N/A","N/A",IF(W227="N/A", "N/A", IF(V227=W227, "Yes","No")))</f>
        <v>N/A</v>
      </c>
    </row>
    <row r="228" spans="1:32" x14ac:dyDescent="0.2">
      <c r="J228" s="2" t="s">
        <v>34</v>
      </c>
      <c r="K228">
        <v>0</v>
      </c>
      <c r="L228" t="s">
        <v>12</v>
      </c>
      <c r="M228" t="s">
        <v>194</v>
      </c>
      <c r="N228" t="s">
        <v>9</v>
      </c>
      <c r="O228" t="str">
        <f t="shared" si="78"/>
        <v>No</v>
      </c>
      <c r="U228" t="s">
        <v>106</v>
      </c>
      <c r="V228" t="str">
        <f>R223</f>
        <v>Yes</v>
      </c>
      <c r="W228" t="str">
        <f>S223</f>
        <v>No</v>
      </c>
      <c r="X228" t="str">
        <f>IF(V228="N/A","N/A",IF(W228="N/A", "N/A", IF(V228=W228, "Yes","No")))</f>
        <v>No</v>
      </c>
    </row>
    <row r="229" spans="1:32" x14ac:dyDescent="0.2">
      <c r="U229" t="s">
        <v>121</v>
      </c>
      <c r="V229" t="str">
        <f>R224</f>
        <v>Yes</v>
      </c>
      <c r="W229" t="str">
        <f>S224</f>
        <v>Yes</v>
      </c>
      <c r="X229" t="str">
        <f>IF(V229="N/A","N/A",IF(W229="N/A", "N/A", IF(V229=W229, "Yes","No")))</f>
        <v>Yes</v>
      </c>
    </row>
    <row r="230" spans="1:32" x14ac:dyDescent="0.2">
      <c r="A230" s="1">
        <f>VLOOKUP(C230,'Grid - LRA Samples'!$A$2:$B$108, 2,FALSE)</f>
        <v>1268</v>
      </c>
      <c r="C230">
        <v>13</v>
      </c>
    </row>
    <row r="231" spans="1:32" x14ac:dyDescent="0.2">
      <c r="A231" s="5" t="s">
        <v>0</v>
      </c>
      <c r="E231" s="2" t="s">
        <v>274</v>
      </c>
      <c r="F231" s="2" t="s">
        <v>275</v>
      </c>
      <c r="G231" t="s">
        <v>119</v>
      </c>
      <c r="J231" s="5" t="s">
        <v>1</v>
      </c>
      <c r="N231" s="2" t="s">
        <v>277</v>
      </c>
      <c r="O231" t="s">
        <v>278</v>
      </c>
      <c r="Q231" s="5" t="s">
        <v>115</v>
      </c>
      <c r="R231" s="5" t="s">
        <v>0</v>
      </c>
      <c r="S231" s="5" t="s">
        <v>1</v>
      </c>
      <c r="U231" s="5" t="s">
        <v>115</v>
      </c>
      <c r="V231" s="5" t="s">
        <v>0</v>
      </c>
      <c r="W231" s="5" t="s">
        <v>1</v>
      </c>
      <c r="X231" s="5" t="s">
        <v>122</v>
      </c>
      <c r="AA231" t="str">
        <f>IF(R232="Yes","LRA-Soil","")</f>
        <v/>
      </c>
      <c r="AB231" t="str">
        <f>IF(R233="Yes","LRA-Paint","")</f>
        <v/>
      </c>
      <c r="AC231" t="str">
        <f>IF(R234="Yes","LRA-Dust","")</f>
        <v/>
      </c>
      <c r="AD231" t="str">
        <f>IF(S232="Yes","LSK-Soil","")</f>
        <v/>
      </c>
      <c r="AE231" t="str">
        <f>IF(S233="Yes","LSK-Paint","")</f>
        <v/>
      </c>
      <c r="AF231" t="str">
        <f>IF(S234="Yes","LSK-Dust","")</f>
        <v/>
      </c>
    </row>
    <row r="232" spans="1:32" x14ac:dyDescent="0.2">
      <c r="A232" t="s">
        <v>63</v>
      </c>
      <c r="B232" t="s">
        <v>10</v>
      </c>
      <c r="C232">
        <v>0</v>
      </c>
      <c r="D232" t="s">
        <v>4</v>
      </c>
      <c r="E232" t="s">
        <v>9</v>
      </c>
      <c r="F232" s="2" t="str">
        <f t="shared" ref="F232" si="79">IF(C232&gt;=$W$2,"Yes","No")</f>
        <v>No</v>
      </c>
      <c r="G232" t="s">
        <v>9</v>
      </c>
      <c r="H232" t="s">
        <v>46</v>
      </c>
      <c r="J232" s="2" t="s">
        <v>6</v>
      </c>
      <c r="K232">
        <v>6</v>
      </c>
      <c r="L232" t="s">
        <v>7</v>
      </c>
      <c r="M232" t="s">
        <v>36</v>
      </c>
      <c r="N232" t="s">
        <v>9</v>
      </c>
      <c r="O232" t="str">
        <f t="shared" ref="O232:O234" si="80">IF(K232="Not","No",IF(K232="n/a","N/A",IF(K232&gt;$Y$3,"Yes","No")))</f>
        <v>No</v>
      </c>
      <c r="Q232" s="2" t="s">
        <v>116</v>
      </c>
      <c r="R232" t="str">
        <f>_xlfn.XLOOKUP("ppm",D232:D238,F232:F238,"N/A")</f>
        <v>No</v>
      </c>
      <c r="S232" t="str">
        <f>IF(COUNTIF(O232:O234,"Yes"),"Yes","No")</f>
        <v>No</v>
      </c>
      <c r="U232" t="s">
        <v>92</v>
      </c>
      <c r="V232" t="s">
        <v>120</v>
      </c>
      <c r="W232" t="s">
        <v>120</v>
      </c>
      <c r="X232" t="str">
        <f>IF(V232="N/A","N/A",IF(W232="N/A", "N/A", IF(V232=W232, "Yes","No")))</f>
        <v>N/A</v>
      </c>
    </row>
    <row r="233" spans="1:32" x14ac:dyDescent="0.2">
      <c r="A233" t="s">
        <v>83</v>
      </c>
      <c r="B233" t="s">
        <v>69</v>
      </c>
      <c r="C233">
        <v>40</v>
      </c>
      <c r="D233" t="s">
        <v>12</v>
      </c>
      <c r="E233" t="s">
        <v>9</v>
      </c>
      <c r="F233" s="2" t="str">
        <f>IF(C233&gt;$W$3,"Yes","No")</f>
        <v>No</v>
      </c>
      <c r="G233" t="s">
        <v>9</v>
      </c>
      <c r="J233" s="2" t="s">
        <v>11</v>
      </c>
      <c r="K233">
        <v>9</v>
      </c>
      <c r="L233" t="s">
        <v>12</v>
      </c>
      <c r="M233" t="s">
        <v>38</v>
      </c>
      <c r="N233" t="s">
        <v>9</v>
      </c>
      <c r="O233" t="str">
        <f t="shared" si="80"/>
        <v>No</v>
      </c>
      <c r="Q233" s="2" t="s">
        <v>98</v>
      </c>
      <c r="R233" t="str">
        <f>_xlfn.XLOOKUP("mg/cm2",D232:D238,G232:G238,"N/A")</f>
        <v>No</v>
      </c>
      <c r="S233" t="str">
        <f>IF(COUNTIF(O235:O236,"Yes"),"Yes","No")</f>
        <v>No</v>
      </c>
      <c r="U233" t="s">
        <v>95</v>
      </c>
      <c r="V233" t="str">
        <f>R232</f>
        <v>No</v>
      </c>
      <c r="W233" t="str">
        <f>S232</f>
        <v>No</v>
      </c>
      <c r="X233" t="str">
        <f t="shared" ref="X233:X236" si="81">IF(V233="N/A","N/A",IF(W233="N/A", "N/A", IF(V233=W233, "Yes","No")))</f>
        <v>Yes</v>
      </c>
    </row>
    <row r="234" spans="1:32" x14ac:dyDescent="0.2">
      <c r="A234" t="s">
        <v>71</v>
      </c>
      <c r="B234" t="s">
        <v>40</v>
      </c>
      <c r="C234">
        <v>0</v>
      </c>
      <c r="D234" t="s">
        <v>4</v>
      </c>
      <c r="E234" t="s">
        <v>9</v>
      </c>
      <c r="F234" s="2" t="str">
        <f t="shared" ref="F234:F235" si="82">IF(C234&gt;=$W$2,"Yes","No")</f>
        <v>No</v>
      </c>
      <c r="G234" t="s">
        <v>9</v>
      </c>
      <c r="H234" t="s">
        <v>43</v>
      </c>
      <c r="J234" s="2" t="s">
        <v>15</v>
      </c>
      <c r="K234">
        <v>12</v>
      </c>
      <c r="L234" t="s">
        <v>12</v>
      </c>
      <c r="M234" t="s">
        <v>41</v>
      </c>
      <c r="N234" t="s">
        <v>9</v>
      </c>
      <c r="O234" t="str">
        <f t="shared" si="80"/>
        <v>No</v>
      </c>
      <c r="Q234" s="2" t="s">
        <v>117</v>
      </c>
      <c r="R234" t="str">
        <f>_xlfn.XLOOKUP("ug/ft2",D232:D238,F232:F238,"N/A")</f>
        <v>No</v>
      </c>
      <c r="S234" t="str">
        <f>IF(COUNTIF(O237:O239,"Yes"),"Yes","No")</f>
        <v>No</v>
      </c>
      <c r="U234" t="s">
        <v>163</v>
      </c>
      <c r="V234" t="s">
        <v>9</v>
      </c>
      <c r="W234" t="s">
        <v>9</v>
      </c>
      <c r="X234" t="str">
        <f t="shared" si="81"/>
        <v>Yes</v>
      </c>
    </row>
    <row r="235" spans="1:32" x14ac:dyDescent="0.2">
      <c r="A235" t="s">
        <v>73</v>
      </c>
      <c r="B235" t="s">
        <v>56</v>
      </c>
      <c r="C235">
        <v>0.04</v>
      </c>
      <c r="D235" t="s">
        <v>4</v>
      </c>
      <c r="E235" t="s">
        <v>9</v>
      </c>
      <c r="F235" s="2" t="str">
        <f t="shared" si="82"/>
        <v>No</v>
      </c>
      <c r="G235" t="s">
        <v>9</v>
      </c>
      <c r="J235" s="2" t="s">
        <v>19</v>
      </c>
      <c r="K235">
        <v>0</v>
      </c>
      <c r="L235" t="s">
        <v>12</v>
      </c>
      <c r="M235" t="s">
        <v>197</v>
      </c>
      <c r="N235" t="s">
        <v>9</v>
      </c>
      <c r="O235" t="str">
        <f t="shared" ref="O235:O236" si="83">IF(K235="Not","No",IF(K235="n/a","N/A",IF(K235&gt;$Y$2,"Yes","No")))</f>
        <v>No</v>
      </c>
      <c r="Q235" s="2" t="s">
        <v>118</v>
      </c>
      <c r="R235" t="str">
        <f>IF(COUNTIF(R232:R234,"Yes"),"Yes","No")</f>
        <v>No</v>
      </c>
      <c r="S235" t="str">
        <f>IF(COUNTIF(S232:S234,"Yes"),"Yes","No")</f>
        <v>No</v>
      </c>
      <c r="U235" t="s">
        <v>164</v>
      </c>
      <c r="V235" t="s">
        <v>9</v>
      </c>
      <c r="W235" t="s">
        <v>9</v>
      </c>
      <c r="X235" t="str">
        <f t="shared" si="81"/>
        <v>Yes</v>
      </c>
    </row>
    <row r="236" spans="1:32" x14ac:dyDescent="0.2">
      <c r="A236" t="s">
        <v>64</v>
      </c>
      <c r="B236" t="s">
        <v>32</v>
      </c>
      <c r="C236">
        <v>3</v>
      </c>
      <c r="D236" t="s">
        <v>33</v>
      </c>
      <c r="E236" t="s">
        <v>9</v>
      </c>
      <c r="F236" s="2" t="str">
        <f>IF(C236&gt;$W$6,"Yes","No")</f>
        <v>No</v>
      </c>
      <c r="G236" t="s">
        <v>9</v>
      </c>
      <c r="J236" s="2" t="s">
        <v>22</v>
      </c>
      <c r="K236">
        <v>0</v>
      </c>
      <c r="L236" t="s">
        <v>12</v>
      </c>
      <c r="M236" t="s">
        <v>62</v>
      </c>
      <c r="N236" t="s">
        <v>9</v>
      </c>
      <c r="O236" t="str">
        <f t="shared" si="83"/>
        <v>No</v>
      </c>
      <c r="U236" t="s">
        <v>162</v>
      </c>
      <c r="V236" t="str">
        <f>R233</f>
        <v>No</v>
      </c>
      <c r="W236" t="str">
        <f>S233</f>
        <v>No</v>
      </c>
      <c r="X236" t="str">
        <f t="shared" si="81"/>
        <v>Yes</v>
      </c>
    </row>
    <row r="237" spans="1:32" x14ac:dyDescent="0.2">
      <c r="J237" s="2" t="s">
        <v>25</v>
      </c>
      <c r="K237">
        <v>0</v>
      </c>
      <c r="L237" t="s">
        <v>12</v>
      </c>
      <c r="M237" t="s">
        <v>59</v>
      </c>
      <c r="N237" t="s">
        <v>9</v>
      </c>
      <c r="O237" t="str">
        <f>IF(K237="Not","No",IF(K237="n/a","N/A",IF(K237&gt;$Y$5,"Yes","No")))</f>
        <v>No</v>
      </c>
      <c r="U237" t="s">
        <v>101</v>
      </c>
      <c r="V237" t="s">
        <v>9</v>
      </c>
      <c r="W237" t="s">
        <v>9</v>
      </c>
      <c r="X237" t="str">
        <f>IF(V237="N/A","N/A",IF(W237="N/A", "N/A", IF(V237=W237, "Yes","No")))</f>
        <v>Yes</v>
      </c>
    </row>
    <row r="238" spans="1:32" x14ac:dyDescent="0.2">
      <c r="J238" s="2" t="s">
        <v>29</v>
      </c>
      <c r="K238">
        <v>0</v>
      </c>
      <c r="L238" t="s">
        <v>12</v>
      </c>
      <c r="M238" t="s">
        <v>60</v>
      </c>
      <c r="N238" t="s">
        <v>9</v>
      </c>
      <c r="O238" t="str">
        <f t="shared" ref="O238:O239" si="84">IF(K238="Not","No",IF(K238="n/a","N/A",IF(K238&gt;$Y$6,"Yes","No")))</f>
        <v>No</v>
      </c>
      <c r="U238" t="s">
        <v>104</v>
      </c>
      <c r="V238" t="s">
        <v>120</v>
      </c>
      <c r="W238" t="s">
        <v>9</v>
      </c>
      <c r="X238" t="str">
        <f>IF(V238="N/A","N/A",IF(W238="N/A", "N/A", IF(V238=W238, "Yes","No")))</f>
        <v>N/A</v>
      </c>
    </row>
    <row r="239" spans="1:32" x14ac:dyDescent="0.2">
      <c r="J239" s="2" t="s">
        <v>34</v>
      </c>
      <c r="K239">
        <v>0</v>
      </c>
      <c r="L239" t="s">
        <v>12</v>
      </c>
      <c r="M239" t="s">
        <v>198</v>
      </c>
      <c r="N239" t="s">
        <v>9</v>
      </c>
      <c r="O239" t="str">
        <f t="shared" si="84"/>
        <v>No</v>
      </c>
      <c r="U239" t="s">
        <v>106</v>
      </c>
      <c r="V239" t="str">
        <f>R234</f>
        <v>No</v>
      </c>
      <c r="W239" t="str">
        <f>S234</f>
        <v>No</v>
      </c>
      <c r="X239" t="str">
        <f>IF(V239="N/A","N/A",IF(W239="N/A", "N/A", IF(V239=W239, "Yes","No")))</f>
        <v>Yes</v>
      </c>
    </row>
    <row r="240" spans="1:32" x14ac:dyDescent="0.2">
      <c r="U240" t="s">
        <v>121</v>
      </c>
      <c r="V240" t="str">
        <f>R235</f>
        <v>No</v>
      </c>
      <c r="W240" t="str">
        <f>S235</f>
        <v>No</v>
      </c>
      <c r="X240" t="str">
        <f>IF(V240="N/A","N/A",IF(W240="N/A", "N/A", IF(V240=W240, "Yes","No")))</f>
        <v>Yes</v>
      </c>
    </row>
    <row r="243" spans="1:32" x14ac:dyDescent="0.2">
      <c r="A243" s="1">
        <f>VLOOKUP(C243,'Grid - LRA Samples'!$A$2:$B$108, 2,FALSE)</f>
        <v>1266</v>
      </c>
      <c r="B243" t="s">
        <v>152</v>
      </c>
      <c r="C243">
        <v>14</v>
      </c>
    </row>
    <row r="244" spans="1:32" x14ac:dyDescent="0.2">
      <c r="A244" s="5" t="s">
        <v>0</v>
      </c>
      <c r="E244" s="2" t="s">
        <v>274</v>
      </c>
      <c r="F244" s="2" t="s">
        <v>275</v>
      </c>
      <c r="G244" t="s">
        <v>119</v>
      </c>
      <c r="J244" s="5" t="s">
        <v>1</v>
      </c>
      <c r="N244" s="2" t="s">
        <v>277</v>
      </c>
      <c r="O244" t="s">
        <v>278</v>
      </c>
      <c r="Q244" s="5" t="s">
        <v>115</v>
      </c>
      <c r="R244" s="5" t="s">
        <v>0</v>
      </c>
      <c r="S244" s="5" t="s">
        <v>1</v>
      </c>
      <c r="U244" s="5" t="s">
        <v>115</v>
      </c>
      <c r="V244" s="5" t="s">
        <v>0</v>
      </c>
      <c r="W244" s="5" t="s">
        <v>1</v>
      </c>
      <c r="X244" s="5" t="s">
        <v>122</v>
      </c>
      <c r="AA244" t="str">
        <f>IF(R245="Yes","LRA-Soil","")</f>
        <v/>
      </c>
      <c r="AB244" t="str">
        <f>IF(R246="Yes","LRA-Paint","")</f>
        <v>LRA-Paint</v>
      </c>
      <c r="AC244" t="str">
        <f>IF(R247="Yes","LRA-Dust","")</f>
        <v/>
      </c>
      <c r="AD244" t="str">
        <f>IF(S245="Yes","LSK-Soil","")</f>
        <v/>
      </c>
      <c r="AE244" t="str">
        <f>IF(S246="Yes","LSK-Paint","")</f>
        <v/>
      </c>
      <c r="AF244" t="str">
        <f>IF(S247="Yes","LSK-Dust","")</f>
        <v/>
      </c>
    </row>
    <row r="245" spans="1:32" x14ac:dyDescent="0.2">
      <c r="A245" t="s">
        <v>63</v>
      </c>
      <c r="B245" t="s">
        <v>203</v>
      </c>
      <c r="C245">
        <v>7.2</v>
      </c>
      <c r="D245" t="s">
        <v>4</v>
      </c>
      <c r="E245" t="s">
        <v>5</v>
      </c>
      <c r="F245" s="2" t="str">
        <f t="shared" ref="F245:F246" si="85">IF(C245&gt;=$W$2,"Yes","No")</f>
        <v>Yes</v>
      </c>
      <c r="G245" t="s">
        <v>5</v>
      </c>
      <c r="H245" t="s">
        <v>46</v>
      </c>
      <c r="J245" s="2" t="s">
        <v>6</v>
      </c>
      <c r="K245">
        <v>46</v>
      </c>
      <c r="L245" t="s">
        <v>12</v>
      </c>
      <c r="M245" t="s">
        <v>36</v>
      </c>
      <c r="N245" t="s">
        <v>9</v>
      </c>
      <c r="O245" t="str">
        <f t="shared" ref="O245:O247" si="86">IF(K245="Not","No",IF(K245="n/a","N/A",IF(K245&gt;$Y$3,"Yes","No")))</f>
        <v>No</v>
      </c>
      <c r="Q245" s="2" t="s">
        <v>116</v>
      </c>
      <c r="R245" t="str">
        <f>_xlfn.XLOOKUP("ppm",D246:D251,F246:F251,"N/A")</f>
        <v>No</v>
      </c>
      <c r="S245" t="str">
        <f>IF(COUNTIF(O245:O247,"Yes"),"Yes","No")</f>
        <v>No</v>
      </c>
      <c r="U245" t="s">
        <v>92</v>
      </c>
      <c r="V245" t="s">
        <v>120</v>
      </c>
      <c r="W245" t="s">
        <v>120</v>
      </c>
      <c r="X245" t="str">
        <f>IF(V245="N/A","N/A",IF(W245="N/A", "N/A", IF(V245=W245, "Yes","No")))</f>
        <v>N/A</v>
      </c>
    </row>
    <row r="246" spans="1:32" x14ac:dyDescent="0.2">
      <c r="A246" t="s">
        <v>185</v>
      </c>
      <c r="B246" t="s">
        <v>204</v>
      </c>
      <c r="C246">
        <v>1.1000000000000001</v>
      </c>
      <c r="D246" t="s">
        <v>4</v>
      </c>
      <c r="E246" t="s">
        <v>5</v>
      </c>
      <c r="F246" s="2" t="str">
        <f t="shared" si="85"/>
        <v>Yes</v>
      </c>
      <c r="G246" t="s">
        <v>5</v>
      </c>
      <c r="H246" t="s">
        <v>46</v>
      </c>
      <c r="J246" s="2" t="s">
        <v>11</v>
      </c>
      <c r="K246">
        <v>44</v>
      </c>
      <c r="L246" t="s">
        <v>12</v>
      </c>
      <c r="M246" t="s">
        <v>38</v>
      </c>
      <c r="N246" t="s">
        <v>9</v>
      </c>
      <c r="O246" t="str">
        <f t="shared" si="86"/>
        <v>No</v>
      </c>
      <c r="Q246" s="2" t="s">
        <v>98</v>
      </c>
      <c r="R246" t="str">
        <f>_xlfn.XLOOKUP("mg/cm2",D246:D251,G246:G251,"N/A")</f>
        <v>Yes</v>
      </c>
      <c r="S246" t="str">
        <f>IF(COUNTIF(O248:O249,"Yes"),"Yes","No")</f>
        <v>No</v>
      </c>
      <c r="U246" t="s">
        <v>95</v>
      </c>
      <c r="V246" t="str">
        <f>R245</f>
        <v>No</v>
      </c>
      <c r="W246" t="str">
        <f>S245</f>
        <v>No</v>
      </c>
      <c r="X246" t="str">
        <f t="shared" ref="X246:X249" si="87">IF(V246="N/A","N/A",IF(W246="N/A", "N/A", IF(V246=W246, "Yes","No")))</f>
        <v>Yes</v>
      </c>
    </row>
    <row r="247" spans="1:32" x14ac:dyDescent="0.2">
      <c r="A247" t="s">
        <v>200</v>
      </c>
      <c r="B247" t="s">
        <v>205</v>
      </c>
      <c r="C247">
        <v>327</v>
      </c>
      <c r="D247" t="s">
        <v>12</v>
      </c>
      <c r="E247" t="s">
        <v>9</v>
      </c>
      <c r="F247" s="2" t="str">
        <f>IF(C247&gt;$W$3,"Yes","No")</f>
        <v>No</v>
      </c>
      <c r="G247" t="s">
        <v>9</v>
      </c>
      <c r="J247" s="2" t="s">
        <v>15</v>
      </c>
      <c r="K247">
        <v>77</v>
      </c>
      <c r="L247" t="s">
        <v>12</v>
      </c>
      <c r="M247" t="s">
        <v>41</v>
      </c>
      <c r="N247" t="s">
        <v>9</v>
      </c>
      <c r="O247" t="str">
        <f t="shared" si="86"/>
        <v>No</v>
      </c>
      <c r="Q247" s="2" t="s">
        <v>117</v>
      </c>
      <c r="R247" t="str">
        <f>_xlfn.XLOOKUP("ug/ft2",D246:D251,F246:F251,"N/A")</f>
        <v>No</v>
      </c>
      <c r="S247" t="str">
        <f>IF(COUNTIF(O250:O252,"Yes"),"Yes","No")</f>
        <v>No</v>
      </c>
      <c r="U247" t="s">
        <v>163</v>
      </c>
      <c r="V247" t="s">
        <v>9</v>
      </c>
      <c r="W247" t="s">
        <v>120</v>
      </c>
      <c r="X247" t="str">
        <f t="shared" si="87"/>
        <v>N/A</v>
      </c>
    </row>
    <row r="248" spans="1:32" x14ac:dyDescent="0.2">
      <c r="A248" t="s">
        <v>201</v>
      </c>
      <c r="B248" t="s">
        <v>40</v>
      </c>
      <c r="C248">
        <v>0</v>
      </c>
      <c r="D248" t="s">
        <v>4</v>
      </c>
      <c r="E248" t="s">
        <v>9</v>
      </c>
      <c r="F248" s="2" t="str">
        <f t="shared" ref="F248" si="88">IF(C248&gt;=$W$2,"Yes","No")</f>
        <v>No</v>
      </c>
      <c r="G248" t="s">
        <v>9</v>
      </c>
      <c r="H248" t="s">
        <v>43</v>
      </c>
      <c r="J248" s="2" t="s">
        <v>19</v>
      </c>
      <c r="K248" t="s">
        <v>120</v>
      </c>
      <c r="M248" t="s">
        <v>66</v>
      </c>
      <c r="N248" t="s">
        <v>9</v>
      </c>
      <c r="O248" t="str">
        <f t="shared" ref="O248:O249" si="89">IF(K248="Not","No",IF(K248="n/a","N/A",IF(K248&gt;$Y$2,"Yes","No")))</f>
        <v>N/A</v>
      </c>
      <c r="Q248" s="2" t="s">
        <v>118</v>
      </c>
      <c r="R248" t="str">
        <f>IF(COUNTIF(R245:R247,"Yes"),"Yes","No")</f>
        <v>Yes</v>
      </c>
      <c r="S248" t="str">
        <f>IF(COUNTIF(S245:S247,"Yes"),"Yes","No")</f>
        <v>No</v>
      </c>
      <c r="U248" t="s">
        <v>164</v>
      </c>
      <c r="V248" t="s">
        <v>5</v>
      </c>
      <c r="W248" t="s">
        <v>9</v>
      </c>
      <c r="X248" t="str">
        <f t="shared" si="87"/>
        <v>No</v>
      </c>
    </row>
    <row r="249" spans="1:32" x14ac:dyDescent="0.2">
      <c r="A249" t="s">
        <v>157</v>
      </c>
      <c r="B249" t="s">
        <v>54</v>
      </c>
      <c r="C249">
        <v>10</v>
      </c>
      <c r="D249" t="s">
        <v>33</v>
      </c>
      <c r="E249" t="s">
        <v>9</v>
      </c>
      <c r="F249" s="2" t="str">
        <f>IF(C249&gt;=$W$5,"Yes","No")</f>
        <v>No</v>
      </c>
      <c r="G249" t="s">
        <v>9</v>
      </c>
      <c r="J249" s="2" t="s">
        <v>22</v>
      </c>
      <c r="K249">
        <v>501</v>
      </c>
      <c r="L249" t="s">
        <v>12</v>
      </c>
      <c r="M249" t="s">
        <v>36</v>
      </c>
      <c r="N249" t="s">
        <v>9</v>
      </c>
      <c r="O249" t="str">
        <f t="shared" si="89"/>
        <v>No</v>
      </c>
      <c r="U249" t="s">
        <v>162</v>
      </c>
      <c r="V249" t="str">
        <f>R246</f>
        <v>Yes</v>
      </c>
      <c r="W249" t="str">
        <f>S246</f>
        <v>No</v>
      </c>
      <c r="X249" t="str">
        <f t="shared" si="87"/>
        <v>No</v>
      </c>
    </row>
    <row r="250" spans="1:32" x14ac:dyDescent="0.2">
      <c r="J250" s="2" t="s">
        <v>25</v>
      </c>
      <c r="K250">
        <v>45</v>
      </c>
      <c r="L250" t="s">
        <v>12</v>
      </c>
      <c r="M250" t="s">
        <v>59</v>
      </c>
      <c r="N250" t="s">
        <v>9</v>
      </c>
      <c r="O250" t="str">
        <f>IF(K250="Not","No",IF(K250="n/a","N/A",IF(K250&gt;$Y$5,"Yes","No")))</f>
        <v>No</v>
      </c>
      <c r="U250" t="s">
        <v>101</v>
      </c>
      <c r="V250" t="s">
        <v>120</v>
      </c>
      <c r="W250" t="s">
        <v>9</v>
      </c>
      <c r="X250" t="str">
        <f>IF(V250="N/A","N/A",IF(W250="N/A", "N/A", IF(V250=W250, "Yes","No")))</f>
        <v>N/A</v>
      </c>
    </row>
    <row r="251" spans="1:32" x14ac:dyDescent="0.2">
      <c r="J251" s="2" t="s">
        <v>29</v>
      </c>
      <c r="K251">
        <v>14</v>
      </c>
      <c r="L251" t="s">
        <v>12</v>
      </c>
      <c r="M251" t="s">
        <v>206</v>
      </c>
      <c r="N251" t="s">
        <v>9</v>
      </c>
      <c r="O251" t="str">
        <f>IF(K251="Not","No",IF(K251="n/a","N/A",IF(K251&gt;$Y$5,"Yes","No")))</f>
        <v>No</v>
      </c>
      <c r="U251" t="s">
        <v>104</v>
      </c>
      <c r="V251" t="s">
        <v>9</v>
      </c>
      <c r="W251" t="s">
        <v>9</v>
      </c>
      <c r="X251" t="str">
        <f>IF(V251="N/A","N/A",IF(W251="N/A", "N/A", IF(V251=W251, "Yes","No")))</f>
        <v>Yes</v>
      </c>
    </row>
    <row r="252" spans="1:32" x14ac:dyDescent="0.2">
      <c r="J252" s="2" t="s">
        <v>34</v>
      </c>
      <c r="K252">
        <v>17</v>
      </c>
      <c r="L252" t="s">
        <v>12</v>
      </c>
      <c r="M252" t="s">
        <v>207</v>
      </c>
      <c r="N252" t="s">
        <v>9</v>
      </c>
      <c r="O252" t="str">
        <f>IF(K252="Not","No",IF(K252="n/a","N/A",IF(K252&gt;$Y$6,"Yes","No")))</f>
        <v>No</v>
      </c>
      <c r="U252" t="s">
        <v>106</v>
      </c>
      <c r="V252" t="str">
        <f>R247</f>
        <v>No</v>
      </c>
      <c r="W252" t="str">
        <f>S247</f>
        <v>No</v>
      </c>
      <c r="X252" t="str">
        <f>IF(V252="N/A","N/A",IF(W252="N/A", "N/A", IF(V252=W252, "Yes","No")))</f>
        <v>Yes</v>
      </c>
    </row>
    <row r="253" spans="1:32" x14ac:dyDescent="0.2">
      <c r="U253" t="s">
        <v>121</v>
      </c>
      <c r="V253" t="str">
        <f>R248</f>
        <v>Yes</v>
      </c>
      <c r="W253" t="str">
        <f>S248</f>
        <v>No</v>
      </c>
      <c r="X253" t="str">
        <f>IF(V253="N/A","N/A",IF(W253="N/A", "N/A", IF(V253=W253, "Yes","No")))</f>
        <v>No</v>
      </c>
    </row>
    <row r="255" spans="1:32" x14ac:dyDescent="0.2">
      <c r="A255" s="1">
        <f>VLOOKUP(C255,'Grid - LRA Samples'!$A$2:$B$108, 2,FALSE)</f>
        <v>1258</v>
      </c>
      <c r="B255" t="s">
        <v>319</v>
      </c>
      <c r="C255">
        <v>53</v>
      </c>
    </row>
    <row r="256" spans="1:32" x14ac:dyDescent="0.2">
      <c r="A256" s="5" t="s">
        <v>0</v>
      </c>
      <c r="E256" s="2" t="s">
        <v>274</v>
      </c>
      <c r="F256" s="2" t="s">
        <v>275</v>
      </c>
      <c r="G256" t="s">
        <v>119</v>
      </c>
      <c r="J256" s="5" t="s">
        <v>1</v>
      </c>
      <c r="N256" s="2" t="s">
        <v>277</v>
      </c>
      <c r="O256" t="s">
        <v>278</v>
      </c>
      <c r="Q256" s="5" t="s">
        <v>115</v>
      </c>
      <c r="R256" s="5" t="s">
        <v>0</v>
      </c>
      <c r="S256" s="5" t="s">
        <v>1</v>
      </c>
      <c r="U256" s="5" t="s">
        <v>115</v>
      </c>
      <c r="V256" s="5" t="s">
        <v>0</v>
      </c>
      <c r="W256" s="5" t="s">
        <v>1</v>
      </c>
      <c r="X256" s="5" t="s">
        <v>122</v>
      </c>
      <c r="AA256" t="str">
        <f>IF(R257="Yes","LRA-Soil","")</f>
        <v>LRA-Soil</v>
      </c>
      <c r="AB256" t="str">
        <f>IF(R258="Yes","LRA-Paint","")</f>
        <v>LRA-Paint</v>
      </c>
      <c r="AC256" t="str">
        <f>IF(R259="Yes","LRA-Dust","")</f>
        <v>LRA-Dust</v>
      </c>
      <c r="AD256" t="str">
        <f>IF(S257="Yes","LSK-Soil","")</f>
        <v/>
      </c>
      <c r="AE256" t="str">
        <f>IF(S258="Yes","LSK-Paint","")</f>
        <v/>
      </c>
      <c r="AF256" t="str">
        <f>IF(S259="Yes","LSK-Dust","")</f>
        <v>LSK-Dust</v>
      </c>
    </row>
    <row r="257" spans="1:24" x14ac:dyDescent="0.2">
      <c r="A257" t="s">
        <v>153</v>
      </c>
      <c r="B257" t="s">
        <v>24</v>
      </c>
      <c r="C257">
        <v>48.2</v>
      </c>
      <c r="D257" t="s">
        <v>4</v>
      </c>
      <c r="F257" s="2" t="str">
        <f t="shared" ref="F257:F259" si="90">IF(C257&gt;=$W$2,"Yes","No")</f>
        <v>Yes</v>
      </c>
      <c r="G257" t="s">
        <v>5</v>
      </c>
      <c r="H257" t="s">
        <v>46</v>
      </c>
      <c r="J257" s="2" t="s">
        <v>6</v>
      </c>
      <c r="K257">
        <v>316</v>
      </c>
      <c r="L257" t="s">
        <v>12</v>
      </c>
      <c r="M257" t="s">
        <v>194</v>
      </c>
      <c r="N257" t="str">
        <f>IF(K257="N/A","No", IF(K257&gt;1200,"Yes","No"))</f>
        <v>No</v>
      </c>
      <c r="O257" t="str">
        <f>IF(K257="Not","No",IF(K257="n/a","N/A",IF(K257&gt;=$Y$3,"Yes","No")))</f>
        <v>No</v>
      </c>
      <c r="Q257" s="2" t="s">
        <v>116</v>
      </c>
      <c r="R257" t="str">
        <f>_xlfn.XLOOKUP("ppm",D257:D290,F257:F290,"N/A")</f>
        <v>Yes</v>
      </c>
      <c r="S257" t="str">
        <f>IF(COUNTIF(O257:O259,"Yes"),"Yes","No")</f>
        <v>No</v>
      </c>
      <c r="U257" t="s">
        <v>92</v>
      </c>
      <c r="V257" t="s">
        <v>5</v>
      </c>
      <c r="W257" t="s">
        <v>120</v>
      </c>
      <c r="X257" t="str">
        <f>IF(V257="N/A","N/A",IF(W257="N/A", "N/A", IF(V257=W257, "Yes","No")))</f>
        <v>N/A</v>
      </c>
    </row>
    <row r="258" spans="1:24" x14ac:dyDescent="0.2">
      <c r="A258" t="s">
        <v>63</v>
      </c>
      <c r="B258" t="s">
        <v>10</v>
      </c>
      <c r="C258">
        <v>43.5</v>
      </c>
      <c r="D258" t="s">
        <v>4</v>
      </c>
      <c r="F258" s="2" t="str">
        <f t="shared" si="90"/>
        <v>Yes</v>
      </c>
      <c r="G258" t="s">
        <v>5</v>
      </c>
      <c r="H258" t="s">
        <v>46</v>
      </c>
      <c r="J258" s="2" t="s">
        <v>11</v>
      </c>
      <c r="K258">
        <v>121</v>
      </c>
      <c r="L258" t="s">
        <v>12</v>
      </c>
      <c r="M258" t="s">
        <v>194</v>
      </c>
      <c r="N258" t="str">
        <f t="shared" ref="N258:N259" si="91">IF(K258="N/A","No", IF(K258&gt;1200,"Yes","No"))</f>
        <v>No</v>
      </c>
      <c r="O258" t="str">
        <f t="shared" ref="O258:O259" si="92">IF(K258="Not","No",IF(K258="n/a","N/A",IF(K258&gt;$Y$3,"Yes","No")))</f>
        <v>No</v>
      </c>
      <c r="Q258" s="2" t="s">
        <v>98</v>
      </c>
      <c r="R258" t="str">
        <f>_xlfn.XLOOKUP("mg/cm2",D257:D290,G257:G290,"N/A",1,-1)</f>
        <v>Yes</v>
      </c>
      <c r="S258" t="str">
        <f>IF(COUNTIF(O260:O261,"Yes"),"Yes","No")</f>
        <v>No</v>
      </c>
      <c r="U258" t="s">
        <v>95</v>
      </c>
      <c r="V258" t="str">
        <f>R257</f>
        <v>Yes</v>
      </c>
      <c r="W258" t="str">
        <f>S257</f>
        <v>No</v>
      </c>
      <c r="X258" t="str">
        <f t="shared" ref="X258:X261" si="93">IF(V258="N/A","N/A",IF(W258="N/A", "N/A", IF(V258=W258, "Yes","No")))</f>
        <v>No</v>
      </c>
    </row>
    <row r="259" spans="1:24" x14ac:dyDescent="0.2">
      <c r="A259" t="s">
        <v>63</v>
      </c>
      <c r="B259" t="s">
        <v>77</v>
      </c>
      <c r="C259">
        <v>22.2</v>
      </c>
      <c r="D259" t="s">
        <v>4</v>
      </c>
      <c r="F259" s="2" t="str">
        <f t="shared" si="90"/>
        <v>Yes</v>
      </c>
      <c r="G259" t="s">
        <v>5</v>
      </c>
      <c r="H259" t="s">
        <v>46</v>
      </c>
      <c r="J259" s="2" t="s">
        <v>15</v>
      </c>
      <c r="K259">
        <v>224</v>
      </c>
      <c r="L259" t="s">
        <v>12</v>
      </c>
      <c r="M259" t="s">
        <v>194</v>
      </c>
      <c r="N259" t="str">
        <f t="shared" si="91"/>
        <v>No</v>
      </c>
      <c r="O259" t="str">
        <f t="shared" si="92"/>
        <v>No</v>
      </c>
      <c r="Q259" s="2" t="s">
        <v>117</v>
      </c>
      <c r="R259" t="str">
        <f>_xlfn.XLOOKUP("ug/ft2",D257:D290,F257:F290,"N/A")</f>
        <v>Yes</v>
      </c>
      <c r="S259" t="str">
        <f>IF(COUNTIF(O262:O265,"Yes"),"Yes","No")</f>
        <v>Yes</v>
      </c>
      <c r="U259" t="s">
        <v>163</v>
      </c>
      <c r="V259" t="s">
        <v>5</v>
      </c>
      <c r="W259" t="s">
        <v>120</v>
      </c>
      <c r="X259" t="str">
        <f t="shared" si="93"/>
        <v>N/A</v>
      </c>
    </row>
    <row r="260" spans="1:24" x14ac:dyDescent="0.2">
      <c r="A260" t="s">
        <v>63</v>
      </c>
      <c r="B260" t="s">
        <v>18</v>
      </c>
      <c r="C260">
        <v>10</v>
      </c>
      <c r="D260" t="s">
        <v>4</v>
      </c>
      <c r="F260" s="2" t="str">
        <f>IF(C260&gt;$W$3,"Yes","No")</f>
        <v>No</v>
      </c>
      <c r="G260" t="s">
        <v>5</v>
      </c>
      <c r="H260" t="s">
        <v>46</v>
      </c>
      <c r="J260" s="2" t="s">
        <v>19</v>
      </c>
      <c r="K260">
        <v>42</v>
      </c>
      <c r="L260" t="s">
        <v>12</v>
      </c>
      <c r="M260" t="s">
        <v>194</v>
      </c>
      <c r="N260" t="str">
        <f>IF(K260="N/A","No", IF(K260&gt;5000,"Yes","No"))</f>
        <v>No</v>
      </c>
      <c r="O260" t="str">
        <f>IF(K260="Not","No",IF(K260="n/a","N/A",IF(K260&gt;$Y$2,"Yes","No")))</f>
        <v>No</v>
      </c>
      <c r="Q260" s="2" t="s">
        <v>118</v>
      </c>
      <c r="R260" t="str">
        <f>IF(COUNTIF(R257:R259,"Yes"),"Yes","No")</f>
        <v>Yes</v>
      </c>
      <c r="S260" t="str">
        <f>IF(COUNTIF(S257:S259,"Yes"),"Yes","No")</f>
        <v>Yes</v>
      </c>
      <c r="U260" t="s">
        <v>164</v>
      </c>
      <c r="V260" t="s">
        <v>5</v>
      </c>
      <c r="W260" t="s">
        <v>120</v>
      </c>
      <c r="X260" t="str">
        <f t="shared" si="93"/>
        <v>N/A</v>
      </c>
    </row>
    <row r="261" spans="1:24" x14ac:dyDescent="0.2">
      <c r="A261" t="s">
        <v>63</v>
      </c>
      <c r="B261" t="s">
        <v>24</v>
      </c>
      <c r="C261">
        <v>5.3</v>
      </c>
      <c r="D261" t="s">
        <v>4</v>
      </c>
      <c r="F261" s="2" t="str">
        <f t="shared" ref="F261:F288" si="94">IF(C261&gt;=$W$2,"Yes","No")</f>
        <v>Yes</v>
      </c>
      <c r="G261" t="s">
        <v>5</v>
      </c>
      <c r="H261" t="s">
        <v>46</v>
      </c>
      <c r="J261" s="2" t="s">
        <v>22</v>
      </c>
      <c r="K261">
        <v>17</v>
      </c>
      <c r="L261" t="s">
        <v>12</v>
      </c>
      <c r="M261" t="s">
        <v>194</v>
      </c>
      <c r="N261" t="str">
        <f>IF(K261="N/A","No", IF(K261&gt;5000,"Yes","No"))</f>
        <v>No</v>
      </c>
      <c r="O261" t="str">
        <f>IF(K261="Not","No",IF(K261="n/a","N/A",IF(K261&gt;$Y$2,"Yes","No")))</f>
        <v>No</v>
      </c>
      <c r="U261" t="s">
        <v>162</v>
      </c>
      <c r="V261" t="str">
        <f>R258</f>
        <v>Yes</v>
      </c>
      <c r="W261" t="str">
        <f>S258</f>
        <v>No</v>
      </c>
      <c r="X261" t="str">
        <f t="shared" si="93"/>
        <v>No</v>
      </c>
    </row>
    <row r="262" spans="1:24" x14ac:dyDescent="0.2">
      <c r="A262" t="s">
        <v>63</v>
      </c>
      <c r="B262" t="s">
        <v>24</v>
      </c>
      <c r="C262">
        <v>1.5</v>
      </c>
      <c r="D262" t="s">
        <v>4</v>
      </c>
      <c r="F262" s="2" t="str">
        <f t="shared" si="94"/>
        <v>Yes</v>
      </c>
      <c r="G262" t="s">
        <v>5</v>
      </c>
      <c r="H262" t="s">
        <v>46</v>
      </c>
      <c r="J262" s="2" t="s">
        <v>25</v>
      </c>
      <c r="K262" s="25">
        <v>170</v>
      </c>
      <c r="L262" t="s">
        <v>12</v>
      </c>
      <c r="M262" t="s">
        <v>194</v>
      </c>
      <c r="N262" t="str">
        <f>IF(K262="N/A","No", IF(K262&gt;20,"Yes","No"))</f>
        <v>Yes</v>
      </c>
      <c r="O262" t="str">
        <f t="shared" ref="O262:O263" si="95">IF(K262="Not","No",IF(K262="n/a","N/A",IF(K262&gt;$Y$6,"Yes","No")))</f>
        <v>Yes</v>
      </c>
      <c r="U262" t="s">
        <v>101</v>
      </c>
      <c r="V262" t="s">
        <v>5</v>
      </c>
      <c r="W262" t="s">
        <v>120</v>
      </c>
      <c r="X262" t="str">
        <f>IF(V262="N/A","N/A",IF(W262="N/A", "N/A", IF(V262=W262, "Yes","No")))</f>
        <v>N/A</v>
      </c>
    </row>
    <row r="263" spans="1:24" x14ac:dyDescent="0.2">
      <c r="A263" t="s">
        <v>63</v>
      </c>
      <c r="B263" t="s">
        <v>24</v>
      </c>
      <c r="C263">
        <v>1.5</v>
      </c>
      <c r="D263" t="s">
        <v>4</v>
      </c>
      <c r="F263" s="2" t="str">
        <f t="shared" si="94"/>
        <v>Yes</v>
      </c>
      <c r="G263" t="s">
        <v>5</v>
      </c>
      <c r="H263" t="s">
        <v>46</v>
      </c>
      <c r="J263" s="2" t="s">
        <v>29</v>
      </c>
      <c r="K263" s="25">
        <v>65</v>
      </c>
      <c r="L263" t="s">
        <v>12</v>
      </c>
      <c r="M263" t="s">
        <v>194</v>
      </c>
      <c r="N263" t="str">
        <f>IF(K263="N/A","No", IF(K263&gt;20,"Yes","No"))</f>
        <v>Yes</v>
      </c>
      <c r="O263" t="str">
        <f t="shared" si="95"/>
        <v>Yes</v>
      </c>
      <c r="U263" t="s">
        <v>104</v>
      </c>
      <c r="V263" t="s">
        <v>5</v>
      </c>
      <c r="W263" t="s">
        <v>120</v>
      </c>
      <c r="X263" t="str">
        <f>IF(V263="N/A","N/A",IF(W263="N/A", "N/A", IF(V263=W263, "Yes","No")))</f>
        <v>N/A</v>
      </c>
    </row>
    <row r="264" spans="1:24" x14ac:dyDescent="0.2">
      <c r="A264" t="s">
        <v>161</v>
      </c>
      <c r="B264" t="s">
        <v>28</v>
      </c>
      <c r="C264">
        <v>509</v>
      </c>
      <c r="D264" t="s">
        <v>12</v>
      </c>
      <c r="F264" s="2" t="str">
        <f>IF(C264&gt;$W$3,"Yes","No")</f>
        <v>Yes</v>
      </c>
      <c r="G264" t="s">
        <v>5</v>
      </c>
      <c r="J264" s="2" t="s">
        <v>34</v>
      </c>
      <c r="K264" s="25">
        <v>45</v>
      </c>
      <c r="L264" t="s">
        <v>12</v>
      </c>
      <c r="M264" t="s">
        <v>194</v>
      </c>
      <c r="N264" t="str">
        <f>IF(K264="N/A","No", IF(K264&gt;230,"Yes","No"))</f>
        <v>No</v>
      </c>
      <c r="O264" t="str">
        <f>IF(K264="Not","No",IF(K264="n/a","N/A",IF(K264&gt;$Y$5,"Yes","No")))</f>
        <v>No</v>
      </c>
      <c r="U264" t="s">
        <v>106</v>
      </c>
      <c r="V264" t="str">
        <f>R259</f>
        <v>Yes</v>
      </c>
      <c r="W264" t="str">
        <f>S259</f>
        <v>Yes</v>
      </c>
      <c r="X264" t="str">
        <f>IF(V264="N/A","N/A",IF(W264="N/A", "N/A", IF(V264=W264, "Yes","No")))</f>
        <v>Yes</v>
      </c>
    </row>
    <row r="265" spans="1:24" x14ac:dyDescent="0.2">
      <c r="A265" t="s">
        <v>245</v>
      </c>
      <c r="B265" t="s">
        <v>10</v>
      </c>
      <c r="C265">
        <v>3.1</v>
      </c>
      <c r="D265" t="s">
        <v>4</v>
      </c>
      <c r="F265" s="2" t="str">
        <f t="shared" si="94"/>
        <v>Yes</v>
      </c>
      <c r="G265" t="s">
        <v>5</v>
      </c>
      <c r="H265" t="s">
        <v>43</v>
      </c>
      <c r="J265" s="2" t="s">
        <v>208</v>
      </c>
      <c r="K265" t="s">
        <v>120</v>
      </c>
      <c r="L265" t="s">
        <v>12</v>
      </c>
      <c r="M265" t="s">
        <v>320</v>
      </c>
      <c r="N265" t="str">
        <f>IF(K265="N/A","No", IF(K265&gt;20,"Yes","No"))</f>
        <v>No</v>
      </c>
      <c r="O265" t="str">
        <f>IF(K265="Not","No",IF(K265="n/a","N/A",IF(K265&gt;$Y$7,"Yes","No")))</f>
        <v>N/A</v>
      </c>
      <c r="U265" t="s">
        <v>121</v>
      </c>
      <c r="V265" t="str">
        <f>R260</f>
        <v>Yes</v>
      </c>
      <c r="W265" t="str">
        <f>S260</f>
        <v>Yes</v>
      </c>
      <c r="X265" t="str">
        <f>IF(V265="N/A","N/A",IF(W265="N/A", "N/A", IF(V265=W265, "Yes","No")))</f>
        <v>Yes</v>
      </c>
    </row>
    <row r="266" spans="1:24" x14ac:dyDescent="0.2">
      <c r="A266" t="s">
        <v>245</v>
      </c>
      <c r="B266" t="s">
        <v>77</v>
      </c>
      <c r="C266">
        <v>1.8</v>
      </c>
      <c r="D266" t="s">
        <v>4</v>
      </c>
      <c r="F266" s="2" t="str">
        <f t="shared" si="94"/>
        <v>Yes</v>
      </c>
      <c r="G266" t="s">
        <v>5</v>
      </c>
      <c r="H266" t="s">
        <v>43</v>
      </c>
    </row>
    <row r="267" spans="1:24" x14ac:dyDescent="0.2">
      <c r="A267" t="s">
        <v>113</v>
      </c>
      <c r="B267" t="s">
        <v>174</v>
      </c>
      <c r="C267">
        <v>3.8</v>
      </c>
      <c r="D267" t="s">
        <v>4</v>
      </c>
      <c r="F267" s="2" t="str">
        <f t="shared" si="94"/>
        <v>Yes</v>
      </c>
      <c r="G267" t="s">
        <v>5</v>
      </c>
      <c r="H267" t="s">
        <v>43</v>
      </c>
    </row>
    <row r="268" spans="1:24" x14ac:dyDescent="0.2">
      <c r="A268" t="s">
        <v>113</v>
      </c>
      <c r="B268" t="s">
        <v>10</v>
      </c>
      <c r="C268">
        <v>4.4000000000000004</v>
      </c>
      <c r="D268" t="s">
        <v>4</v>
      </c>
      <c r="F268" s="2" t="str">
        <f t="shared" si="94"/>
        <v>Yes</v>
      </c>
      <c r="G268" t="s">
        <v>5</v>
      </c>
      <c r="H268" t="s">
        <v>43</v>
      </c>
    </row>
    <row r="269" spans="1:24" x14ac:dyDescent="0.2">
      <c r="A269" t="s">
        <v>109</v>
      </c>
      <c r="B269" t="s">
        <v>24</v>
      </c>
      <c r="C269">
        <v>2</v>
      </c>
      <c r="D269" t="s">
        <v>4</v>
      </c>
      <c r="F269" s="2" t="str">
        <f t="shared" si="94"/>
        <v>Yes</v>
      </c>
      <c r="G269" t="s">
        <v>5</v>
      </c>
      <c r="H269" t="s">
        <v>43</v>
      </c>
    </row>
    <row r="270" spans="1:24" x14ac:dyDescent="0.2">
      <c r="A270" t="s">
        <v>109</v>
      </c>
      <c r="B270" t="s">
        <v>24</v>
      </c>
      <c r="C270">
        <v>4.0999999999999996</v>
      </c>
      <c r="D270" t="s">
        <v>4</v>
      </c>
      <c r="F270" s="2" t="str">
        <f t="shared" si="94"/>
        <v>Yes</v>
      </c>
      <c r="G270" t="s">
        <v>5</v>
      </c>
      <c r="H270" t="s">
        <v>43</v>
      </c>
    </row>
    <row r="271" spans="1:24" x14ac:dyDescent="0.2">
      <c r="A271" t="s">
        <v>109</v>
      </c>
      <c r="B271" t="s">
        <v>174</v>
      </c>
      <c r="C271">
        <v>3.8</v>
      </c>
      <c r="D271" t="s">
        <v>4</v>
      </c>
      <c r="F271" s="2" t="str">
        <f t="shared" si="94"/>
        <v>Yes</v>
      </c>
      <c r="G271" t="s">
        <v>9</v>
      </c>
      <c r="H271" t="s">
        <v>43</v>
      </c>
    </row>
    <row r="272" spans="1:24" x14ac:dyDescent="0.2">
      <c r="A272" t="s">
        <v>109</v>
      </c>
      <c r="B272" t="s">
        <v>10</v>
      </c>
      <c r="C272">
        <v>8.6</v>
      </c>
      <c r="D272" t="s">
        <v>4</v>
      </c>
      <c r="F272" s="2" t="str">
        <f t="shared" si="94"/>
        <v>Yes</v>
      </c>
      <c r="G272" t="s">
        <v>5</v>
      </c>
      <c r="H272" t="s">
        <v>43</v>
      </c>
    </row>
    <row r="273" spans="1:8" x14ac:dyDescent="0.2">
      <c r="A273" t="s">
        <v>109</v>
      </c>
      <c r="B273" t="s">
        <v>77</v>
      </c>
      <c r="C273">
        <v>6.8</v>
      </c>
      <c r="D273" t="s">
        <v>4</v>
      </c>
      <c r="F273" s="2" t="str">
        <f t="shared" si="94"/>
        <v>Yes</v>
      </c>
      <c r="G273" t="s">
        <v>5</v>
      </c>
      <c r="H273" t="s">
        <v>43</v>
      </c>
    </row>
    <row r="274" spans="1:8" x14ac:dyDescent="0.2">
      <c r="A274" t="s">
        <v>109</v>
      </c>
      <c r="B274" t="s">
        <v>24</v>
      </c>
      <c r="C274">
        <v>8.6</v>
      </c>
      <c r="D274" t="s">
        <v>4</v>
      </c>
      <c r="F274" s="2" t="str">
        <f t="shared" si="94"/>
        <v>Yes</v>
      </c>
      <c r="G274" t="s">
        <v>5</v>
      </c>
      <c r="H274" t="s">
        <v>43</v>
      </c>
    </row>
    <row r="275" spans="1:8" x14ac:dyDescent="0.2">
      <c r="A275" t="s">
        <v>109</v>
      </c>
      <c r="B275" t="s">
        <v>24</v>
      </c>
      <c r="C275">
        <v>6.7</v>
      </c>
      <c r="D275" t="s">
        <v>4</v>
      </c>
      <c r="F275" s="2" t="str">
        <f t="shared" si="94"/>
        <v>Yes</v>
      </c>
      <c r="G275" t="s">
        <v>5</v>
      </c>
      <c r="H275" t="s">
        <v>43</v>
      </c>
    </row>
    <row r="276" spans="1:8" x14ac:dyDescent="0.2">
      <c r="A276" t="s">
        <v>293</v>
      </c>
      <c r="B276" t="s">
        <v>10</v>
      </c>
      <c r="C276">
        <v>4.3</v>
      </c>
      <c r="D276" t="s">
        <v>4</v>
      </c>
      <c r="F276" s="2" t="str">
        <f t="shared" si="94"/>
        <v>Yes</v>
      </c>
      <c r="G276" t="s">
        <v>5</v>
      </c>
      <c r="H276" t="s">
        <v>43</v>
      </c>
    </row>
    <row r="277" spans="1:8" x14ac:dyDescent="0.2">
      <c r="A277" t="s">
        <v>293</v>
      </c>
      <c r="B277" t="s">
        <v>77</v>
      </c>
      <c r="C277">
        <v>7.3</v>
      </c>
      <c r="D277" t="s">
        <v>4</v>
      </c>
      <c r="F277" s="2" t="str">
        <f t="shared" si="94"/>
        <v>Yes</v>
      </c>
      <c r="G277" t="s">
        <v>5</v>
      </c>
      <c r="H277" t="s">
        <v>43</v>
      </c>
    </row>
    <row r="278" spans="1:8" x14ac:dyDescent="0.2">
      <c r="A278" t="s">
        <v>307</v>
      </c>
      <c r="B278" t="s">
        <v>174</v>
      </c>
      <c r="C278">
        <v>5.0999999999999996</v>
      </c>
      <c r="D278" t="s">
        <v>4</v>
      </c>
      <c r="F278" s="2" t="str">
        <f t="shared" si="94"/>
        <v>Yes</v>
      </c>
      <c r="G278" t="s">
        <v>5</v>
      </c>
      <c r="H278" t="s">
        <v>43</v>
      </c>
    </row>
    <row r="279" spans="1:8" x14ac:dyDescent="0.2">
      <c r="A279" t="s">
        <v>307</v>
      </c>
      <c r="B279" t="s">
        <v>24</v>
      </c>
      <c r="C279">
        <v>10.1</v>
      </c>
      <c r="D279" t="s">
        <v>4</v>
      </c>
      <c r="F279" s="2" t="str">
        <f t="shared" si="94"/>
        <v>Yes</v>
      </c>
      <c r="G279" t="s">
        <v>5</v>
      </c>
      <c r="H279" t="s">
        <v>43</v>
      </c>
    </row>
    <row r="280" spans="1:8" x14ac:dyDescent="0.2">
      <c r="A280" t="s">
        <v>322</v>
      </c>
      <c r="B280" t="s">
        <v>174</v>
      </c>
      <c r="C280">
        <v>6.5</v>
      </c>
      <c r="D280" t="s">
        <v>4</v>
      </c>
      <c r="F280" s="2" t="str">
        <f t="shared" si="94"/>
        <v>Yes</v>
      </c>
      <c r="G280" t="s">
        <v>5</v>
      </c>
      <c r="H280" t="s">
        <v>43</v>
      </c>
    </row>
    <row r="281" spans="1:8" x14ac:dyDescent="0.2">
      <c r="A281" t="s">
        <v>322</v>
      </c>
      <c r="B281" t="s">
        <v>304</v>
      </c>
      <c r="C281">
        <v>5.4</v>
      </c>
      <c r="D281" t="s">
        <v>4</v>
      </c>
      <c r="F281" s="2" t="str">
        <f t="shared" si="94"/>
        <v>Yes</v>
      </c>
      <c r="G281" t="s">
        <v>5</v>
      </c>
      <c r="H281" t="s">
        <v>43</v>
      </c>
    </row>
    <row r="282" spans="1:8" x14ac:dyDescent="0.2">
      <c r="A282" t="s">
        <v>322</v>
      </c>
      <c r="B282" t="s">
        <v>10</v>
      </c>
      <c r="C282">
        <v>5.9</v>
      </c>
      <c r="D282" t="s">
        <v>4</v>
      </c>
      <c r="F282" s="2" t="str">
        <f t="shared" si="94"/>
        <v>Yes</v>
      </c>
      <c r="G282" t="s">
        <v>5</v>
      </c>
      <c r="H282" t="s">
        <v>43</v>
      </c>
    </row>
    <row r="283" spans="1:8" x14ac:dyDescent="0.2">
      <c r="A283" t="s">
        <v>70</v>
      </c>
      <c r="B283" t="s">
        <v>24</v>
      </c>
      <c r="C283">
        <v>4.8</v>
      </c>
      <c r="D283" t="s">
        <v>4</v>
      </c>
      <c r="F283" s="2" t="str">
        <f t="shared" si="94"/>
        <v>Yes</v>
      </c>
      <c r="G283" t="s">
        <v>5</v>
      </c>
      <c r="H283" t="s">
        <v>43</v>
      </c>
    </row>
    <row r="284" spans="1:8" x14ac:dyDescent="0.2">
      <c r="A284" t="s">
        <v>64</v>
      </c>
      <c r="B284" t="s">
        <v>174</v>
      </c>
      <c r="C284">
        <v>3.5</v>
      </c>
      <c r="D284" t="s">
        <v>4</v>
      </c>
      <c r="F284" s="2" t="str">
        <f t="shared" si="94"/>
        <v>Yes</v>
      </c>
      <c r="G284" t="s">
        <v>5</v>
      </c>
      <c r="H284" t="s">
        <v>43</v>
      </c>
    </row>
    <row r="285" spans="1:8" x14ac:dyDescent="0.2">
      <c r="A285" t="s">
        <v>64</v>
      </c>
      <c r="B285" t="s">
        <v>10</v>
      </c>
      <c r="C285">
        <v>4.5999999999999996</v>
      </c>
      <c r="D285" t="s">
        <v>4</v>
      </c>
      <c r="F285" s="2" t="str">
        <f t="shared" si="94"/>
        <v>Yes</v>
      </c>
      <c r="G285" t="s">
        <v>5</v>
      </c>
      <c r="H285" t="s">
        <v>43</v>
      </c>
    </row>
    <row r="286" spans="1:8" x14ac:dyDescent="0.2">
      <c r="A286" t="s">
        <v>64</v>
      </c>
      <c r="B286" t="s">
        <v>77</v>
      </c>
      <c r="C286">
        <v>4.3</v>
      </c>
      <c r="D286" t="s">
        <v>4</v>
      </c>
      <c r="F286" s="2" t="str">
        <f t="shared" si="94"/>
        <v>Yes</v>
      </c>
      <c r="G286" t="s">
        <v>5</v>
      </c>
      <c r="H286" t="s">
        <v>43</v>
      </c>
    </row>
    <row r="287" spans="1:8" x14ac:dyDescent="0.2">
      <c r="A287" t="s">
        <v>64</v>
      </c>
      <c r="B287" t="s">
        <v>40</v>
      </c>
      <c r="C287">
        <v>49.3</v>
      </c>
      <c r="D287" t="s">
        <v>4</v>
      </c>
      <c r="F287" s="2" t="str">
        <f t="shared" si="94"/>
        <v>Yes</v>
      </c>
      <c r="G287" t="s">
        <v>5</v>
      </c>
      <c r="H287" t="s">
        <v>43</v>
      </c>
    </row>
    <row r="288" spans="1:8" x14ac:dyDescent="0.2">
      <c r="A288" t="s">
        <v>64</v>
      </c>
      <c r="B288" t="s">
        <v>24</v>
      </c>
      <c r="C288">
        <v>1.5</v>
      </c>
      <c r="D288" t="s">
        <v>4</v>
      </c>
      <c r="F288" s="2" t="str">
        <f t="shared" si="94"/>
        <v>Yes</v>
      </c>
      <c r="G288" t="s">
        <v>5</v>
      </c>
      <c r="H288" t="s">
        <v>43</v>
      </c>
    </row>
    <row r="289" spans="1:32" x14ac:dyDescent="0.2">
      <c r="A289" t="s">
        <v>293</v>
      </c>
      <c r="B289" t="s">
        <v>54</v>
      </c>
      <c r="C289">
        <v>800</v>
      </c>
      <c r="D289" t="s">
        <v>33</v>
      </c>
      <c r="F289" s="2" t="str">
        <f>IF(C289&gt;$W$5,"Yes","No")</f>
        <v>Yes</v>
      </c>
      <c r="G289" t="s">
        <v>5</v>
      </c>
    </row>
    <row r="290" spans="1:32" x14ac:dyDescent="0.2">
      <c r="A290" t="s">
        <v>64</v>
      </c>
      <c r="B290" t="s">
        <v>32</v>
      </c>
      <c r="C290">
        <v>12</v>
      </c>
      <c r="D290" t="s">
        <v>33</v>
      </c>
      <c r="F290" s="2" t="str">
        <f t="shared" ref="F290" si="96">IF(C290&gt;$W$6,"Yes","No")</f>
        <v>Yes</v>
      </c>
      <c r="G290" t="s">
        <v>5</v>
      </c>
    </row>
    <row r="292" spans="1:32" x14ac:dyDescent="0.2">
      <c r="A292" s="1">
        <f>VLOOKUP(C292,'Grid - LRA Samples'!$A$2:$B$108, 2,FALSE)</f>
        <v>1261</v>
      </c>
      <c r="B292" t="s">
        <v>319</v>
      </c>
      <c r="C292">
        <v>54</v>
      </c>
    </row>
    <row r="293" spans="1:32" x14ac:dyDescent="0.2">
      <c r="A293" s="5" t="s">
        <v>0</v>
      </c>
      <c r="E293" s="2" t="s">
        <v>274</v>
      </c>
      <c r="F293" s="2" t="s">
        <v>275</v>
      </c>
      <c r="G293" t="s">
        <v>119</v>
      </c>
      <c r="J293" s="5" t="s">
        <v>1</v>
      </c>
      <c r="N293" s="2" t="s">
        <v>277</v>
      </c>
      <c r="O293" t="s">
        <v>278</v>
      </c>
      <c r="Q293" s="5" t="s">
        <v>115</v>
      </c>
      <c r="R293" s="5" t="s">
        <v>0</v>
      </c>
      <c r="S293" s="5" t="s">
        <v>1</v>
      </c>
      <c r="U293" s="5" t="s">
        <v>115</v>
      </c>
      <c r="V293" s="5" t="s">
        <v>0</v>
      </c>
      <c r="W293" s="5" t="s">
        <v>1</v>
      </c>
      <c r="X293" s="5" t="s">
        <v>122</v>
      </c>
      <c r="AA293" t="str">
        <f>IF(R294="Yes","LRA-Soil","")</f>
        <v/>
      </c>
      <c r="AB293" t="str">
        <f>IF(R295="Yes","LRA-Paint","")</f>
        <v>LRA-Paint</v>
      </c>
      <c r="AC293" t="str">
        <f>IF(R296="Yes","LRA-Dust","")</f>
        <v/>
      </c>
      <c r="AD293" t="str">
        <f>IF(S294="Yes","LSK-Soil","")</f>
        <v/>
      </c>
      <c r="AE293" t="str">
        <f>IF(S295="Yes","LSK-Paint","")</f>
        <v>LSK-Paint</v>
      </c>
      <c r="AF293" t="str">
        <f>IF(S296="Yes","LSK-Dust","")</f>
        <v/>
      </c>
    </row>
    <row r="294" spans="1:32" x14ac:dyDescent="0.2">
      <c r="A294" t="s">
        <v>63</v>
      </c>
      <c r="B294" t="s">
        <v>10</v>
      </c>
      <c r="C294">
        <v>2.2999999999999998</v>
      </c>
      <c r="D294" t="s">
        <v>4</v>
      </c>
      <c r="F294" s="2" t="str">
        <f t="shared" ref="F294:F299" si="97">IF(C294&gt;=$W$2,"Yes","No")</f>
        <v>Yes</v>
      </c>
      <c r="G294" t="s">
        <v>5</v>
      </c>
      <c r="H294" t="s">
        <v>46</v>
      </c>
      <c r="J294" s="2" t="s">
        <v>6</v>
      </c>
      <c r="K294" t="s">
        <v>120</v>
      </c>
      <c r="L294" t="s">
        <v>12</v>
      </c>
      <c r="M294" t="s">
        <v>66</v>
      </c>
      <c r="N294" t="str">
        <f>IF(K294="N/A","No", IF(K294&gt;1200,"Yes","No"))</f>
        <v>No</v>
      </c>
      <c r="O294" t="str">
        <f>IF(K294="Not","No",IF(K294="n/a","N/A",IF(K294&gt;=$Y$3,"Yes","No")))</f>
        <v>N/A</v>
      </c>
      <c r="Q294" s="2" t="s">
        <v>116</v>
      </c>
      <c r="R294" t="str">
        <f>_xlfn.XLOOKUP("ppm",D294:D305,F294:F305,"N/A")</f>
        <v>No</v>
      </c>
      <c r="S294" t="str">
        <f>IF(COUNTIF(O294:O296,"Yes"),"Yes","No")</f>
        <v>No</v>
      </c>
      <c r="U294" t="s">
        <v>92</v>
      </c>
      <c r="V294" t="s">
        <v>9</v>
      </c>
      <c r="W294" t="s">
        <v>120</v>
      </c>
      <c r="X294" t="str">
        <f>IF(V294="N/A","N/A",IF(W294="N/A", "N/A", IF(V294=W294, "Yes","No")))</f>
        <v>N/A</v>
      </c>
    </row>
    <row r="295" spans="1:32" x14ac:dyDescent="0.2">
      <c r="A295" t="s">
        <v>63</v>
      </c>
      <c r="B295" t="s">
        <v>24</v>
      </c>
      <c r="C295">
        <v>2.2000000000000002</v>
      </c>
      <c r="D295" t="s">
        <v>4</v>
      </c>
      <c r="F295" s="2" t="str">
        <f t="shared" si="97"/>
        <v>Yes</v>
      </c>
      <c r="G295" t="s">
        <v>5</v>
      </c>
      <c r="H295" t="s">
        <v>46</v>
      </c>
      <c r="J295" s="2" t="s">
        <v>11</v>
      </c>
      <c r="K295">
        <v>28</v>
      </c>
      <c r="L295" t="s">
        <v>12</v>
      </c>
      <c r="M295" t="s">
        <v>38</v>
      </c>
      <c r="N295" t="str">
        <f t="shared" ref="N295:N296" si="98">IF(K295="N/A","No", IF(K295&gt;1200,"Yes","No"))</f>
        <v>No</v>
      </c>
      <c r="O295" t="str">
        <f t="shared" ref="O295:O296" si="99">IF(K295="Not","No",IF(K295="n/a","N/A",IF(K295&gt;$Y$3,"Yes","No")))</f>
        <v>No</v>
      </c>
      <c r="Q295" s="2" t="s">
        <v>98</v>
      </c>
      <c r="R295" s="30" t="s">
        <v>5</v>
      </c>
      <c r="S295" t="str">
        <f>IF(COUNTIF(O297:O298,"Yes"),"Yes","No")</f>
        <v>Yes</v>
      </c>
      <c r="U295" t="s">
        <v>95</v>
      </c>
      <c r="V295" t="str">
        <f>R294</f>
        <v>No</v>
      </c>
      <c r="W295" t="str">
        <f>S294</f>
        <v>No</v>
      </c>
      <c r="X295" t="str">
        <f t="shared" ref="X295:X298" si="100">IF(V295="N/A","N/A",IF(W295="N/A", "N/A", IF(V295=W295, "Yes","No")))</f>
        <v>Yes</v>
      </c>
    </row>
    <row r="296" spans="1:32" x14ac:dyDescent="0.2">
      <c r="A296" t="s">
        <v>63</v>
      </c>
      <c r="B296" t="s">
        <v>24</v>
      </c>
      <c r="C296">
        <v>2.8</v>
      </c>
      <c r="D296" t="s">
        <v>4</v>
      </c>
      <c r="F296" s="2" t="str">
        <f t="shared" si="97"/>
        <v>Yes</v>
      </c>
      <c r="G296" t="s">
        <v>9</v>
      </c>
      <c r="H296" t="s">
        <v>46</v>
      </c>
      <c r="J296" s="2" t="s">
        <v>15</v>
      </c>
      <c r="K296">
        <v>22</v>
      </c>
      <c r="L296" t="s">
        <v>12</v>
      </c>
      <c r="M296" t="s">
        <v>324</v>
      </c>
      <c r="N296" t="str">
        <f t="shared" si="98"/>
        <v>No</v>
      </c>
      <c r="O296" t="str">
        <f t="shared" si="99"/>
        <v>No</v>
      </c>
      <c r="Q296" s="2" t="s">
        <v>117</v>
      </c>
      <c r="R296" t="str">
        <f>_xlfn.XLOOKUP("ug/ft2",D294:D305,F294:F305,"N/A")</f>
        <v>No</v>
      </c>
      <c r="S296" t="str">
        <f>IF(COUNTIF(O299:O302,"Yes"),"Yes","No")</f>
        <v>No</v>
      </c>
      <c r="U296" t="s">
        <v>163</v>
      </c>
      <c r="V296" t="s">
        <v>5</v>
      </c>
      <c r="W296" t="s">
        <v>120</v>
      </c>
      <c r="X296" t="str">
        <f t="shared" si="100"/>
        <v>N/A</v>
      </c>
    </row>
    <row r="297" spans="1:32" x14ac:dyDescent="0.2">
      <c r="A297" t="s">
        <v>63</v>
      </c>
      <c r="B297" t="s">
        <v>24</v>
      </c>
      <c r="C297">
        <v>3</v>
      </c>
      <c r="D297" t="s">
        <v>4</v>
      </c>
      <c r="F297" s="2" t="str">
        <f t="shared" si="97"/>
        <v>Yes</v>
      </c>
      <c r="G297" t="s">
        <v>5</v>
      </c>
      <c r="H297" t="s">
        <v>46</v>
      </c>
      <c r="J297" s="2" t="s">
        <v>19</v>
      </c>
      <c r="K297" t="s">
        <v>120</v>
      </c>
      <c r="L297" t="s">
        <v>12</v>
      </c>
      <c r="M297" t="s">
        <v>66</v>
      </c>
      <c r="N297" t="str">
        <f>IF(K297="N/A","No", IF(K297&gt;5000,"Yes","No"))</f>
        <v>No</v>
      </c>
      <c r="O297" t="str">
        <f>IF(K297="Not","No",IF(K297="n/a","N/A",IF(K297&gt;$Y$2,"Yes","No")))</f>
        <v>N/A</v>
      </c>
      <c r="Q297" s="2" t="s">
        <v>118</v>
      </c>
      <c r="R297" t="str">
        <f>IF(COUNTIF(R294:R296,"Yes"),"Yes","No")</f>
        <v>Yes</v>
      </c>
      <c r="S297" t="str">
        <f>IF(COUNTIF(S294:S296,"Yes"),"Yes","No")</f>
        <v>Yes</v>
      </c>
      <c r="U297" t="s">
        <v>164</v>
      </c>
      <c r="V297" t="s">
        <v>5</v>
      </c>
      <c r="W297" t="s">
        <v>5</v>
      </c>
      <c r="X297" t="str">
        <f t="shared" si="100"/>
        <v>Yes</v>
      </c>
    </row>
    <row r="298" spans="1:32" x14ac:dyDescent="0.2">
      <c r="A298" t="s">
        <v>63</v>
      </c>
      <c r="B298" t="s">
        <v>24</v>
      </c>
      <c r="C298">
        <v>2.8</v>
      </c>
      <c r="D298" t="s">
        <v>4</v>
      </c>
      <c r="F298" s="2" t="str">
        <f t="shared" si="97"/>
        <v>Yes</v>
      </c>
      <c r="G298" t="s">
        <v>9</v>
      </c>
      <c r="H298" t="s">
        <v>46</v>
      </c>
      <c r="J298" s="2" t="s">
        <v>22</v>
      </c>
      <c r="K298">
        <v>29145</v>
      </c>
      <c r="L298" t="s">
        <v>12</v>
      </c>
      <c r="M298" t="s">
        <v>325</v>
      </c>
      <c r="N298" t="str">
        <f>IF(K298="N/A","No", IF(K298&gt;5000,"Yes","No"))</f>
        <v>Yes</v>
      </c>
      <c r="O298" t="str">
        <f>IF(K298="Not","No",IF(K298="n/a","N/A",IF(K298&gt;$Y$2,"Yes","No")))</f>
        <v>Yes</v>
      </c>
      <c r="U298" t="s">
        <v>162</v>
      </c>
      <c r="V298" t="str">
        <f>R295</f>
        <v>Yes</v>
      </c>
      <c r="W298" t="str">
        <f>S295</f>
        <v>Yes</v>
      </c>
      <c r="X298" t="str">
        <f t="shared" si="100"/>
        <v>Yes</v>
      </c>
    </row>
    <row r="299" spans="1:32" x14ac:dyDescent="0.2">
      <c r="A299" t="s">
        <v>63</v>
      </c>
      <c r="B299" t="s">
        <v>24</v>
      </c>
      <c r="C299">
        <v>3</v>
      </c>
      <c r="D299" t="s">
        <v>4</v>
      </c>
      <c r="F299" s="2" t="str">
        <f t="shared" si="97"/>
        <v>Yes</v>
      </c>
      <c r="G299" t="s">
        <v>5</v>
      </c>
      <c r="H299" t="s">
        <v>46</v>
      </c>
      <c r="J299" s="2" t="s">
        <v>25</v>
      </c>
      <c r="K299">
        <v>0</v>
      </c>
      <c r="L299" t="s">
        <v>12</v>
      </c>
      <c r="M299" t="s">
        <v>59</v>
      </c>
      <c r="N299" t="str">
        <f>IF(K299="N/A","No", IF(K299&gt;20,"Yes","No"))</f>
        <v>No</v>
      </c>
      <c r="O299" t="str">
        <f t="shared" ref="O299:O300" si="101">IF(K299="Not","No",IF(K299="n/a","N/A",IF(K299&gt;$Y$6,"Yes","No")))</f>
        <v>No</v>
      </c>
      <c r="U299" t="s">
        <v>101</v>
      </c>
      <c r="V299" t="s">
        <v>9</v>
      </c>
      <c r="W299" t="s">
        <v>9</v>
      </c>
      <c r="X299" t="str">
        <f>IF(V299="N/A","N/A",IF(W299="N/A", "N/A", IF(V299=W299, "Yes","No")))</f>
        <v>Yes</v>
      </c>
    </row>
    <row r="300" spans="1:32" x14ac:dyDescent="0.2">
      <c r="A300" t="s">
        <v>83</v>
      </c>
      <c r="B300" t="s">
        <v>327</v>
      </c>
      <c r="C300">
        <v>53</v>
      </c>
      <c r="D300" t="s">
        <v>12</v>
      </c>
      <c r="F300" s="2" t="str">
        <f>IF(C300&gt;$W$3,"Yes","No")</f>
        <v>No</v>
      </c>
      <c r="G300" t="s">
        <v>9</v>
      </c>
      <c r="J300" s="2" t="s">
        <v>29</v>
      </c>
      <c r="K300">
        <v>0</v>
      </c>
      <c r="L300" t="s">
        <v>12</v>
      </c>
      <c r="M300" t="s">
        <v>60</v>
      </c>
      <c r="N300" t="str">
        <f>IF(K300="N/A","No", IF(K300&gt;20,"Yes","No"))</f>
        <v>No</v>
      </c>
      <c r="O300" t="str">
        <f t="shared" si="101"/>
        <v>No</v>
      </c>
      <c r="U300" t="s">
        <v>104</v>
      </c>
      <c r="V300" t="s">
        <v>9</v>
      </c>
      <c r="W300" t="str">
        <f>O301</f>
        <v>No</v>
      </c>
      <c r="X300" t="str">
        <f>IF(V300="N/A","N/A",IF(W300="N/A", "N/A", IF(V300=W300, "Yes","No")))</f>
        <v>Yes</v>
      </c>
    </row>
    <row r="301" spans="1:32" x14ac:dyDescent="0.2">
      <c r="A301" t="s">
        <v>293</v>
      </c>
      <c r="B301" t="s">
        <v>174</v>
      </c>
      <c r="C301">
        <v>0.06</v>
      </c>
      <c r="D301" t="s">
        <v>4</v>
      </c>
      <c r="F301" s="2" t="str">
        <f t="shared" ref="F301:F303" si="102">IF(C301&gt;=$W$2,"Yes","No")</f>
        <v>No</v>
      </c>
      <c r="G301" t="s">
        <v>9</v>
      </c>
      <c r="H301" t="s">
        <v>43</v>
      </c>
      <c r="J301" s="2" t="s">
        <v>34</v>
      </c>
      <c r="K301">
        <v>0</v>
      </c>
      <c r="L301" t="s">
        <v>12</v>
      </c>
      <c r="M301" t="s">
        <v>326</v>
      </c>
      <c r="N301" t="str">
        <f>IF(K301="N/A","No", IF(K301&gt;230,"Yes","No"))</f>
        <v>No</v>
      </c>
      <c r="O301" t="str">
        <f>IF(K301="Not","No",IF(K301="n/a","N/A",IF(K301&gt;$Y$5,"Yes","No")))</f>
        <v>No</v>
      </c>
      <c r="U301" t="s">
        <v>106</v>
      </c>
      <c r="V301" t="str">
        <f>R296</f>
        <v>No</v>
      </c>
      <c r="W301" t="str">
        <f>S296</f>
        <v>No</v>
      </c>
      <c r="X301" t="str">
        <f>IF(V301="N/A","N/A",IF(W301="N/A", "N/A", IF(V301=W301, "Yes","No")))</f>
        <v>Yes</v>
      </c>
    </row>
    <row r="302" spans="1:32" x14ac:dyDescent="0.2">
      <c r="A302" t="s">
        <v>70</v>
      </c>
      <c r="B302" t="s">
        <v>77</v>
      </c>
      <c r="C302">
        <v>2.5</v>
      </c>
      <c r="D302" t="s">
        <v>4</v>
      </c>
      <c r="F302" s="2" t="str">
        <f t="shared" si="102"/>
        <v>Yes</v>
      </c>
      <c r="G302" t="s">
        <v>9</v>
      </c>
      <c r="H302" t="s">
        <v>43</v>
      </c>
      <c r="J302" s="2" t="s">
        <v>208</v>
      </c>
      <c r="K302" t="s">
        <v>120</v>
      </c>
      <c r="L302" t="s">
        <v>12</v>
      </c>
      <c r="M302" t="s">
        <v>320</v>
      </c>
      <c r="N302" t="str">
        <f>IF(K302="N/A","No", IF(K302&gt;20,"Yes","No"))</f>
        <v>No</v>
      </c>
      <c r="O302" t="str">
        <f>IF(K302="Not","No",IF(K302="n/a","N/A",IF(K302&gt;$Y$7,"Yes","No")))</f>
        <v>N/A</v>
      </c>
      <c r="U302" t="s">
        <v>121</v>
      </c>
      <c r="V302" t="str">
        <f>R297</f>
        <v>Yes</v>
      </c>
      <c r="W302" t="str">
        <f>S297</f>
        <v>Yes</v>
      </c>
      <c r="X302" t="str">
        <f>IF(V302="N/A","N/A",IF(W302="N/A", "N/A", IF(V302=W302, "Yes","No")))</f>
        <v>Yes</v>
      </c>
    </row>
    <row r="303" spans="1:32" x14ac:dyDescent="0.2">
      <c r="A303" t="s">
        <v>64</v>
      </c>
      <c r="B303" t="s">
        <v>24</v>
      </c>
      <c r="C303">
        <v>2.2000000000000002</v>
      </c>
      <c r="D303" t="s">
        <v>4</v>
      </c>
      <c r="F303" s="2" t="str">
        <f t="shared" si="102"/>
        <v>Yes</v>
      </c>
      <c r="G303" t="s">
        <v>9</v>
      </c>
      <c r="H303" t="s">
        <v>43</v>
      </c>
    </row>
    <row r="304" spans="1:32" x14ac:dyDescent="0.2">
      <c r="A304" t="s">
        <v>293</v>
      </c>
      <c r="B304" t="s">
        <v>32</v>
      </c>
      <c r="C304">
        <v>3</v>
      </c>
      <c r="D304" t="s">
        <v>33</v>
      </c>
      <c r="F304" s="2" t="str">
        <f t="shared" ref="F304" si="103">IF(C304&gt;$W$6,"Yes","No")</f>
        <v>No</v>
      </c>
      <c r="G304" t="s">
        <v>9</v>
      </c>
    </row>
    <row r="305" spans="1:32" x14ac:dyDescent="0.2">
      <c r="A305" t="s">
        <v>293</v>
      </c>
      <c r="B305" t="s">
        <v>54</v>
      </c>
      <c r="C305">
        <v>43</v>
      </c>
      <c r="D305" t="s">
        <v>33</v>
      </c>
      <c r="F305" s="2" t="str">
        <f>IF(C305&gt;$W$5,"Yes","No")</f>
        <v>No</v>
      </c>
      <c r="G305" t="s">
        <v>9</v>
      </c>
    </row>
    <row r="307" spans="1:32" x14ac:dyDescent="0.2">
      <c r="A307" s="1">
        <f>VLOOKUP(C307,'Grid - LRA Samples'!$A$2:$B$108, 2,FALSE)</f>
        <v>1263</v>
      </c>
      <c r="B307" t="s">
        <v>319</v>
      </c>
      <c r="C307">
        <v>55</v>
      </c>
    </row>
    <row r="308" spans="1:32" x14ac:dyDescent="0.2">
      <c r="A308" s="5" t="s">
        <v>0</v>
      </c>
      <c r="E308" s="2" t="s">
        <v>274</v>
      </c>
      <c r="F308" s="2" t="s">
        <v>275</v>
      </c>
      <c r="G308" t="s">
        <v>119</v>
      </c>
      <c r="J308" s="5" t="s">
        <v>1</v>
      </c>
      <c r="N308" s="2" t="s">
        <v>277</v>
      </c>
      <c r="O308" t="s">
        <v>278</v>
      </c>
      <c r="Q308" s="5" t="s">
        <v>115</v>
      </c>
      <c r="R308" s="5" t="s">
        <v>0</v>
      </c>
      <c r="S308" s="5" t="s">
        <v>1</v>
      </c>
      <c r="U308" s="5" t="s">
        <v>115</v>
      </c>
      <c r="V308" s="5" t="s">
        <v>0</v>
      </c>
      <c r="W308" s="5" t="s">
        <v>1</v>
      </c>
      <c r="X308" s="5" t="s">
        <v>122</v>
      </c>
      <c r="AA308" t="str">
        <f>IF(R309="Yes","LRA-Soil","")</f>
        <v/>
      </c>
      <c r="AB308" t="str">
        <f>IF(R310="Yes","LRA-Paint","")</f>
        <v/>
      </c>
      <c r="AC308" t="str">
        <f>IF(R311="Yes","LRA-Dust","")</f>
        <v/>
      </c>
      <c r="AD308" t="str">
        <f>IF(S309="Yes","LSK-Soil","")</f>
        <v/>
      </c>
      <c r="AE308" t="str">
        <f>IF(S310="Yes","LSK-Paint","")</f>
        <v/>
      </c>
      <c r="AF308" t="str">
        <f>IF(S311="Yes","LSK-Dust","")</f>
        <v/>
      </c>
    </row>
    <row r="309" spans="1:32" x14ac:dyDescent="0.2">
      <c r="A309" t="s">
        <v>63</v>
      </c>
      <c r="B309" t="s">
        <v>18</v>
      </c>
      <c r="C309">
        <v>0</v>
      </c>
      <c r="D309" t="s">
        <v>4</v>
      </c>
      <c r="F309" s="2" t="str">
        <f t="shared" ref="F309:F311" si="104">IF(C309&gt;=$W$2,"Yes","No")</f>
        <v>No</v>
      </c>
      <c r="G309" t="s">
        <v>9</v>
      </c>
      <c r="H309" t="s">
        <v>46</v>
      </c>
      <c r="J309" s="2" t="s">
        <v>6</v>
      </c>
      <c r="K309">
        <v>12</v>
      </c>
      <c r="L309" t="s">
        <v>12</v>
      </c>
      <c r="M309" t="s">
        <v>51</v>
      </c>
      <c r="N309" t="str">
        <f>IF(K309="N/A","No", IF(K309&gt;1200,"Yes","No"))</f>
        <v>No</v>
      </c>
      <c r="O309" t="str">
        <f>IF(K309="Not","No",IF(K309="n/a","N/A",IF(K309&gt;=$Y$3,"Yes","No")))</f>
        <v>No</v>
      </c>
      <c r="Q309" s="2" t="s">
        <v>116</v>
      </c>
      <c r="R309" t="str">
        <f>_xlfn.XLOOKUP("ppm",D309:D313,F309:F313,"N/A")</f>
        <v>No</v>
      </c>
      <c r="S309" t="str">
        <f>IF(COUNTIF(O309:O311,"Yes"),"Yes","No")</f>
        <v>No</v>
      </c>
      <c r="U309" t="s">
        <v>92</v>
      </c>
      <c r="V309" t="s">
        <v>120</v>
      </c>
      <c r="W309" t="s">
        <v>120</v>
      </c>
      <c r="X309" t="str">
        <f>IF(V309="N/A","N/A",IF(W309="N/A", "N/A", IF(V309=W309, "Yes","No")))</f>
        <v>N/A</v>
      </c>
    </row>
    <row r="310" spans="1:32" x14ac:dyDescent="0.2">
      <c r="A310" t="s">
        <v>83</v>
      </c>
      <c r="B310" t="s">
        <v>69</v>
      </c>
      <c r="C310" s="26" t="s">
        <v>328</v>
      </c>
      <c r="D310" t="s">
        <v>12</v>
      </c>
      <c r="F310" s="29" t="s">
        <v>9</v>
      </c>
      <c r="G310" t="s">
        <v>9</v>
      </c>
      <c r="J310" s="2" t="s">
        <v>11</v>
      </c>
      <c r="K310">
        <v>3</v>
      </c>
      <c r="L310" t="s">
        <v>12</v>
      </c>
      <c r="M310" t="s">
        <v>51</v>
      </c>
      <c r="N310" t="str">
        <f t="shared" ref="N310:N311" si="105">IF(K310="N/A","No", IF(K310&gt;1200,"Yes","No"))</f>
        <v>No</v>
      </c>
      <c r="O310" t="str">
        <f t="shared" ref="O310:O311" si="106">IF(K310="Not","No",IF(K310="n/a","N/A",IF(K310&gt;$Y$3,"Yes","No")))</f>
        <v>No</v>
      </c>
      <c r="Q310" s="2" t="s">
        <v>98</v>
      </c>
      <c r="R310" s="30" t="s">
        <v>9</v>
      </c>
      <c r="S310" t="str">
        <f>IF(COUNTIF(O312:O313,"Yes"),"Yes","No")</f>
        <v>No</v>
      </c>
      <c r="U310" t="s">
        <v>95</v>
      </c>
      <c r="V310" t="str">
        <f>R309</f>
        <v>No</v>
      </c>
      <c r="W310" t="str">
        <f>S309</f>
        <v>No</v>
      </c>
      <c r="X310" t="str">
        <f t="shared" ref="X310:X313" si="107">IF(V310="N/A","N/A",IF(W310="N/A", "N/A", IF(V310=W310, "Yes","No")))</f>
        <v>Yes</v>
      </c>
    </row>
    <row r="311" spans="1:32" x14ac:dyDescent="0.2">
      <c r="A311" t="s">
        <v>71</v>
      </c>
      <c r="B311" t="s">
        <v>40</v>
      </c>
      <c r="C311">
        <v>0</v>
      </c>
      <c r="D311" t="s">
        <v>4</v>
      </c>
      <c r="F311" s="2" t="str">
        <f t="shared" si="104"/>
        <v>No</v>
      </c>
      <c r="G311" t="s">
        <v>9</v>
      </c>
      <c r="H311" t="s">
        <v>43</v>
      </c>
      <c r="J311" s="2" t="s">
        <v>15</v>
      </c>
      <c r="K311">
        <v>14</v>
      </c>
      <c r="L311" t="s">
        <v>12</v>
      </c>
      <c r="M311" t="s">
        <v>51</v>
      </c>
      <c r="N311" t="str">
        <f t="shared" si="105"/>
        <v>No</v>
      </c>
      <c r="O311" t="str">
        <f t="shared" si="106"/>
        <v>No</v>
      </c>
      <c r="Q311" s="2" t="s">
        <v>117</v>
      </c>
      <c r="R311" t="str">
        <f>_xlfn.XLOOKUP("ug/ft2",D309:D313,F309:F313,"N/A")</f>
        <v>No</v>
      </c>
      <c r="S311" t="str">
        <f>IF(COUNTIF(O314:O317,"Yes"),"Yes","No")</f>
        <v>No</v>
      </c>
      <c r="U311" t="s">
        <v>163</v>
      </c>
      <c r="V311" t="s">
        <v>5</v>
      </c>
      <c r="W311" t="s">
        <v>120</v>
      </c>
      <c r="X311" t="str">
        <f t="shared" si="107"/>
        <v>N/A</v>
      </c>
    </row>
    <row r="312" spans="1:32" x14ac:dyDescent="0.2">
      <c r="A312" t="s">
        <v>71</v>
      </c>
      <c r="B312" t="s">
        <v>32</v>
      </c>
      <c r="C312">
        <v>3</v>
      </c>
      <c r="D312" t="s">
        <v>33</v>
      </c>
      <c r="F312" s="2" t="str">
        <f t="shared" ref="F312:F313" si="108">IF(C312&gt;$W$6,"Yes","No")</f>
        <v>No</v>
      </c>
      <c r="G312" t="s">
        <v>9</v>
      </c>
      <c r="J312" s="2" t="s">
        <v>19</v>
      </c>
      <c r="K312">
        <v>7</v>
      </c>
      <c r="L312" t="s">
        <v>12</v>
      </c>
      <c r="M312" t="s">
        <v>51</v>
      </c>
      <c r="N312" t="str">
        <f>IF(K312="N/A","No", IF(K312&gt;5000,"Yes","No"))</f>
        <v>No</v>
      </c>
      <c r="O312" t="str">
        <f>IF(K312="Not","No",IF(K312="n/a","N/A",IF(K312&gt;$Y$2,"Yes","No")))</f>
        <v>No</v>
      </c>
      <c r="Q312" s="2" t="s">
        <v>118</v>
      </c>
      <c r="R312" t="str">
        <f>IF(COUNTIF(R309:R311,"Yes"),"Yes","No")</f>
        <v>No</v>
      </c>
      <c r="S312" t="str">
        <f>IF(COUNTIF(S309:S311,"Yes"),"Yes","No")</f>
        <v>No</v>
      </c>
      <c r="U312" t="s">
        <v>164</v>
      </c>
      <c r="V312" t="s">
        <v>5</v>
      </c>
      <c r="W312" t="s">
        <v>120</v>
      </c>
      <c r="X312" t="str">
        <f t="shared" si="107"/>
        <v>N/A</v>
      </c>
    </row>
    <row r="313" spans="1:32" x14ac:dyDescent="0.2">
      <c r="A313" t="s">
        <v>64</v>
      </c>
      <c r="B313" t="s">
        <v>32</v>
      </c>
      <c r="C313">
        <v>3</v>
      </c>
      <c r="D313" t="s">
        <v>33</v>
      </c>
      <c r="F313" s="2" t="str">
        <f t="shared" si="108"/>
        <v>No</v>
      </c>
      <c r="G313" t="s">
        <v>9</v>
      </c>
      <c r="J313" s="2" t="s">
        <v>22</v>
      </c>
      <c r="K313" t="s">
        <v>120</v>
      </c>
      <c r="L313" t="s">
        <v>12</v>
      </c>
      <c r="M313" t="s">
        <v>66</v>
      </c>
      <c r="N313" t="str">
        <f>IF(K313="N/A","No", IF(K313&gt;5000,"Yes","No"))</f>
        <v>No</v>
      </c>
      <c r="O313" t="str">
        <f>IF(K313="Not","No",IF(K313="n/a","N/A",IF(K313&gt;$Y$2,"Yes","No")))</f>
        <v>N/A</v>
      </c>
      <c r="U313" t="s">
        <v>162</v>
      </c>
      <c r="V313" t="str">
        <f>R310</f>
        <v>No</v>
      </c>
      <c r="W313" t="str">
        <f>S310</f>
        <v>No</v>
      </c>
      <c r="X313" t="str">
        <f t="shared" si="107"/>
        <v>Yes</v>
      </c>
    </row>
    <row r="314" spans="1:32" x14ac:dyDescent="0.2">
      <c r="F314" s="2"/>
      <c r="J314" s="2" t="s">
        <v>25</v>
      </c>
      <c r="K314">
        <v>0</v>
      </c>
      <c r="L314" t="s">
        <v>12</v>
      </c>
      <c r="M314" t="s">
        <v>51</v>
      </c>
      <c r="N314" t="str">
        <f>IF(K314="N/A","No", IF(K314&gt;20,"Yes","No"))</f>
        <v>No</v>
      </c>
      <c r="O314" t="str">
        <f t="shared" ref="O314:O315" si="109">IF(K314="Not","No",IF(K314="n/a","N/A",IF(K314&gt;$Y$6,"Yes","No")))</f>
        <v>No</v>
      </c>
      <c r="U314" t="s">
        <v>101</v>
      </c>
      <c r="V314" t="s">
        <v>9</v>
      </c>
      <c r="W314" t="s">
        <v>120</v>
      </c>
      <c r="X314" t="str">
        <f>IF(V314="N/A","N/A",IF(W314="N/A", "N/A", IF(V314=W314, "Yes","No")))</f>
        <v>N/A</v>
      </c>
    </row>
    <row r="315" spans="1:32" x14ac:dyDescent="0.2">
      <c r="F315" s="2"/>
      <c r="J315" s="2" t="s">
        <v>29</v>
      </c>
      <c r="K315">
        <v>0</v>
      </c>
      <c r="L315" t="s">
        <v>12</v>
      </c>
      <c r="M315" t="s">
        <v>51</v>
      </c>
      <c r="N315" t="str">
        <f>IF(K315="N/A","No", IF(K315&gt;20,"Yes","No"))</f>
        <v>No</v>
      </c>
      <c r="O315" t="str">
        <f t="shared" si="109"/>
        <v>No</v>
      </c>
      <c r="U315" t="s">
        <v>104</v>
      </c>
      <c r="V315" t="s">
        <v>120</v>
      </c>
      <c r="W315" t="s">
        <v>120</v>
      </c>
      <c r="X315" t="str">
        <f>IF(V315="N/A","N/A",IF(W315="N/A", "N/A", IF(V315=W315, "Yes","No")))</f>
        <v>N/A</v>
      </c>
    </row>
    <row r="316" spans="1:32" x14ac:dyDescent="0.2">
      <c r="F316" s="2"/>
      <c r="J316" s="2" t="s">
        <v>34</v>
      </c>
      <c r="K316">
        <v>0</v>
      </c>
      <c r="L316" t="s">
        <v>12</v>
      </c>
      <c r="M316" t="s">
        <v>51</v>
      </c>
      <c r="N316" t="str">
        <f>IF(K316="N/A","No", IF(K316&gt;230,"Yes","No"))</f>
        <v>No</v>
      </c>
      <c r="O316" t="str">
        <f>IF(K316="Not","No",IF(K316="n/a","N/A",IF(K316&gt;$Y$5,"Yes","No")))</f>
        <v>No</v>
      </c>
      <c r="U316" t="s">
        <v>106</v>
      </c>
      <c r="V316" t="str">
        <f>R311</f>
        <v>No</v>
      </c>
      <c r="W316" t="str">
        <f>S311</f>
        <v>No</v>
      </c>
      <c r="X316" t="str">
        <f>IF(V316="N/A","N/A",IF(W316="N/A", "N/A", IF(V316=W316, "Yes","No")))</f>
        <v>Yes</v>
      </c>
    </row>
    <row r="317" spans="1:32" x14ac:dyDescent="0.2">
      <c r="F317" s="2"/>
      <c r="J317" s="2" t="s">
        <v>208</v>
      </c>
      <c r="K317" t="s">
        <v>120</v>
      </c>
      <c r="L317" t="s">
        <v>12</v>
      </c>
      <c r="M317" t="s">
        <v>320</v>
      </c>
      <c r="N317" t="str">
        <f>IF(K317="N/A","No", IF(K317&gt;20,"Yes","No"))</f>
        <v>No</v>
      </c>
      <c r="O317" t="str">
        <f>IF(K317="Not","No",IF(K317="n/a","N/A",IF(K317&gt;$Y$7,"Yes","No")))</f>
        <v>N/A</v>
      </c>
      <c r="U317" t="s">
        <v>121</v>
      </c>
      <c r="V317" t="str">
        <f>R312</f>
        <v>No</v>
      </c>
      <c r="W317" t="str">
        <f>S312</f>
        <v>No</v>
      </c>
      <c r="X317" t="str">
        <f>IF(V317="N/A","N/A",IF(W317="N/A", "N/A", IF(V317=W317, "Yes","No")))</f>
        <v>Yes</v>
      </c>
    </row>
    <row r="318" spans="1:32" x14ac:dyDescent="0.2">
      <c r="F318" s="2"/>
    </row>
    <row r="320" spans="1:32" x14ac:dyDescent="0.2">
      <c r="A320" s="1">
        <f>VLOOKUP(C320,'Grid - LRA Samples'!$A$2:$B$108, 2,FALSE)</f>
        <v>1269</v>
      </c>
      <c r="B320" t="s">
        <v>319</v>
      </c>
      <c r="C320">
        <v>57</v>
      </c>
    </row>
    <row r="321" spans="1:32" x14ac:dyDescent="0.2">
      <c r="A321" s="5" t="s">
        <v>0</v>
      </c>
      <c r="E321" s="2" t="s">
        <v>274</v>
      </c>
      <c r="F321" s="2" t="s">
        <v>275</v>
      </c>
      <c r="G321" t="s">
        <v>119</v>
      </c>
      <c r="J321" s="5" t="s">
        <v>1</v>
      </c>
      <c r="N321" s="2" t="s">
        <v>277</v>
      </c>
      <c r="O321" t="s">
        <v>278</v>
      </c>
      <c r="Q321" s="5" t="s">
        <v>115</v>
      </c>
      <c r="R321" s="5" t="s">
        <v>0</v>
      </c>
      <c r="S321" s="5" t="s">
        <v>1</v>
      </c>
      <c r="U321" s="5" t="s">
        <v>115</v>
      </c>
      <c r="V321" s="5" t="s">
        <v>0</v>
      </c>
      <c r="W321" s="5" t="s">
        <v>1</v>
      </c>
      <c r="X321" s="5" t="s">
        <v>122</v>
      </c>
      <c r="AA321" t="str">
        <f>IF(R322="Yes","LRA-Soil","")</f>
        <v/>
      </c>
      <c r="AB321" t="str">
        <f>IF(R323="Yes","LRA-Paint","")</f>
        <v>LRA-Paint</v>
      </c>
      <c r="AC321" t="str">
        <f>IF(R324="Yes","LRA-Dust","")</f>
        <v>LRA-Dust</v>
      </c>
      <c r="AD321" t="str">
        <f>IF(S322="Yes","LSK-Soil","")</f>
        <v/>
      </c>
      <c r="AE321" t="str">
        <f>IF(S323="Yes","LSK-Paint","")</f>
        <v>LSK-Paint</v>
      </c>
      <c r="AF321" t="str">
        <f>IF(S324="Yes","LSK-Dust","")</f>
        <v/>
      </c>
    </row>
    <row r="322" spans="1:32" x14ac:dyDescent="0.2">
      <c r="A322" t="s">
        <v>250</v>
      </c>
      <c r="B322" t="s">
        <v>211</v>
      </c>
      <c r="C322">
        <v>1</v>
      </c>
      <c r="D322" t="s">
        <v>4</v>
      </c>
      <c r="E322" s="2"/>
      <c r="F322" s="2" t="str">
        <f t="shared" ref="F322:F337" si="110">IF(C322&gt;=$W$2,"Yes","No")</f>
        <v>Yes</v>
      </c>
      <c r="G322" t="s">
        <v>5</v>
      </c>
      <c r="H322" t="s">
        <v>46</v>
      </c>
      <c r="J322" s="2" t="s">
        <v>6</v>
      </c>
      <c r="K322">
        <v>73</v>
      </c>
      <c r="L322" t="s">
        <v>12</v>
      </c>
      <c r="M322" t="s">
        <v>36</v>
      </c>
      <c r="N322" t="str">
        <f>IF(K322="N/A","No", IF(K322&gt;1200,"Yes","No"))</f>
        <v>No</v>
      </c>
      <c r="O322" t="str">
        <f>IF(K322="Not","No",IF(K322="n/a","N/A",IF(K322&gt;=$Y$3,"Yes","No")))</f>
        <v>No</v>
      </c>
      <c r="Q322" s="2" t="s">
        <v>116</v>
      </c>
      <c r="R322" t="str">
        <f>_xlfn.XLOOKUP("ppm",D322:D339,F322:F339,"N/A")</f>
        <v>No</v>
      </c>
      <c r="S322" t="str">
        <f>IF(COUNTIF(O322:O324,"Yes"),"Yes","No")</f>
        <v>No</v>
      </c>
      <c r="U322" t="s">
        <v>92</v>
      </c>
      <c r="V322" t="s">
        <v>120</v>
      </c>
      <c r="W322" t="s">
        <v>5</v>
      </c>
      <c r="X322" t="str">
        <f>IF(V322="N/A","N/A",IF(W322="N/A", "N/A", IF(V322=W322, "Yes","No")))</f>
        <v>N/A</v>
      </c>
    </row>
    <row r="323" spans="1:32" x14ac:dyDescent="0.2">
      <c r="A323" t="s">
        <v>235</v>
      </c>
      <c r="B323" t="s">
        <v>236</v>
      </c>
      <c r="C323">
        <v>12</v>
      </c>
      <c r="D323" t="s">
        <v>4</v>
      </c>
      <c r="F323" s="2" t="str">
        <f t="shared" si="110"/>
        <v>Yes</v>
      </c>
      <c r="G323" t="s">
        <v>5</v>
      </c>
      <c r="H323" t="s">
        <v>46</v>
      </c>
      <c r="J323" s="2" t="s">
        <v>11</v>
      </c>
      <c r="K323">
        <v>294</v>
      </c>
      <c r="L323" t="s">
        <v>12</v>
      </c>
      <c r="M323" t="s">
        <v>38</v>
      </c>
      <c r="N323" t="str">
        <f t="shared" ref="N323:N324" si="111">IF(K323="N/A","No", IF(K323&gt;1200,"Yes","No"))</f>
        <v>No</v>
      </c>
      <c r="O323" t="str">
        <f t="shared" ref="O323:O324" si="112">IF(K323="Not","No",IF(K323="n/a","N/A",IF(K323&gt;$Y$3,"Yes","No")))</f>
        <v>No</v>
      </c>
      <c r="Q323" s="2" t="s">
        <v>98</v>
      </c>
      <c r="R323" t="str">
        <f>_xlfn.XLOOKUP("mg/cm2",D322:D339,G322:G339,"N/A",1,-1)</f>
        <v>Yes</v>
      </c>
      <c r="S323" t="str">
        <f>IF(COUNTIF(O325:O326,"Yes"),"Yes","No")</f>
        <v>Yes</v>
      </c>
      <c r="U323" t="s">
        <v>95</v>
      </c>
      <c r="V323" t="str">
        <f>R322</f>
        <v>No</v>
      </c>
      <c r="W323" t="str">
        <f>S322</f>
        <v>No</v>
      </c>
      <c r="X323" t="str">
        <f t="shared" ref="X323:X326" si="113">IF(V323="N/A","N/A",IF(W323="N/A", "N/A", IF(V323=W323, "Yes","No")))</f>
        <v>Yes</v>
      </c>
    </row>
    <row r="324" spans="1:32" x14ac:dyDescent="0.2">
      <c r="A324" t="s">
        <v>235</v>
      </c>
      <c r="B324" t="s">
        <v>211</v>
      </c>
      <c r="C324">
        <v>2.4</v>
      </c>
      <c r="D324" t="s">
        <v>4</v>
      </c>
      <c r="F324" s="2" t="str">
        <f t="shared" si="110"/>
        <v>Yes</v>
      </c>
      <c r="G324" t="s">
        <v>5</v>
      </c>
      <c r="H324" t="s">
        <v>46</v>
      </c>
      <c r="J324" s="2" t="s">
        <v>15</v>
      </c>
      <c r="K324">
        <v>35</v>
      </c>
      <c r="L324" t="s">
        <v>12</v>
      </c>
      <c r="M324" t="s">
        <v>41</v>
      </c>
      <c r="N324" t="str">
        <f t="shared" si="111"/>
        <v>No</v>
      </c>
      <c r="O324" t="str">
        <f t="shared" si="112"/>
        <v>No</v>
      </c>
      <c r="Q324" s="2" t="s">
        <v>117</v>
      </c>
      <c r="R324" t="str">
        <f>_xlfn.XLOOKUP("ug/ft2",D322:D339,F322:F339,"N/A")</f>
        <v>Yes</v>
      </c>
      <c r="S324" t="str">
        <f>IF(COUNTIF(O327:O330,"Yes"),"Yes","No")</f>
        <v>No</v>
      </c>
      <c r="U324" t="s">
        <v>163</v>
      </c>
      <c r="V324" t="s">
        <v>5</v>
      </c>
      <c r="W324" t="s">
        <v>9</v>
      </c>
      <c r="X324" t="str">
        <f t="shared" si="113"/>
        <v>No</v>
      </c>
    </row>
    <row r="325" spans="1:32" x14ac:dyDescent="0.2">
      <c r="A325" t="s">
        <v>185</v>
      </c>
      <c r="B325" t="s">
        <v>211</v>
      </c>
      <c r="C325">
        <v>4.5</v>
      </c>
      <c r="D325" t="s">
        <v>4</v>
      </c>
      <c r="F325" s="2" t="str">
        <f t="shared" si="110"/>
        <v>Yes</v>
      </c>
      <c r="G325" t="s">
        <v>5</v>
      </c>
      <c r="H325" t="s">
        <v>46</v>
      </c>
      <c r="J325" s="2" t="s">
        <v>19</v>
      </c>
      <c r="K325">
        <v>3</v>
      </c>
      <c r="L325" t="s">
        <v>12</v>
      </c>
      <c r="M325" t="s">
        <v>329</v>
      </c>
      <c r="N325" t="str">
        <f>IF(K325="N/A","No", IF(K325&gt;5000,"Yes","No"))</f>
        <v>No</v>
      </c>
      <c r="O325" t="str">
        <f>IF(K325="Not","No",IF(K325="n/a","N/A",IF(K325&gt;$Y$2,"Yes","No")))</f>
        <v>No</v>
      </c>
      <c r="Q325" s="2" t="s">
        <v>118</v>
      </c>
      <c r="R325" t="str">
        <f>IF(COUNTIF(R322:R324,"Yes"),"Yes","No")</f>
        <v>Yes</v>
      </c>
      <c r="S325" t="str">
        <f>IF(COUNTIF(S322:S324,"Yes"),"Yes","No")</f>
        <v>Yes</v>
      </c>
      <c r="U325" t="s">
        <v>164</v>
      </c>
      <c r="V325" t="s">
        <v>5</v>
      </c>
      <c r="W325" t="s">
        <v>5</v>
      </c>
      <c r="X325" t="str">
        <f t="shared" si="113"/>
        <v>Yes</v>
      </c>
    </row>
    <row r="326" spans="1:32" x14ac:dyDescent="0.2">
      <c r="A326" t="s">
        <v>200</v>
      </c>
      <c r="B326" t="s">
        <v>286</v>
      </c>
      <c r="C326">
        <v>235</v>
      </c>
      <c r="D326" t="s">
        <v>12</v>
      </c>
      <c r="F326" s="2" t="str">
        <f>IF(C326&gt;$W$3,"Yes","No")</f>
        <v>No</v>
      </c>
      <c r="G326" t="s">
        <v>9</v>
      </c>
      <c r="H326" t="s">
        <v>46</v>
      </c>
      <c r="J326" s="2" t="s">
        <v>22</v>
      </c>
      <c r="K326">
        <v>224856</v>
      </c>
      <c r="L326" t="s">
        <v>12</v>
      </c>
      <c r="M326" t="s">
        <v>330</v>
      </c>
      <c r="N326" t="str">
        <f>IF(K326="N/A","No", IF(K326&gt;5000,"Yes","No"))</f>
        <v>Yes</v>
      </c>
      <c r="O326" t="str">
        <f>IF(K326="Not","No",IF(K326="n/a","N/A",IF(K326&gt;$Y$2,"Yes","No")))</f>
        <v>Yes</v>
      </c>
      <c r="U326" t="s">
        <v>162</v>
      </c>
      <c r="V326" t="str">
        <f>R323</f>
        <v>Yes</v>
      </c>
      <c r="W326" t="str">
        <f>S323</f>
        <v>Yes</v>
      </c>
      <c r="X326" t="str">
        <f t="shared" si="113"/>
        <v>Yes</v>
      </c>
    </row>
    <row r="327" spans="1:32" x14ac:dyDescent="0.2">
      <c r="A327" t="s">
        <v>287</v>
      </c>
      <c r="B327" t="s">
        <v>211</v>
      </c>
      <c r="C327">
        <v>1.7</v>
      </c>
      <c r="D327" t="s">
        <v>4</v>
      </c>
      <c r="F327" s="2" t="str">
        <f t="shared" si="110"/>
        <v>Yes</v>
      </c>
      <c r="G327" t="s">
        <v>5</v>
      </c>
      <c r="J327" s="2" t="s">
        <v>25</v>
      </c>
      <c r="K327">
        <v>5</v>
      </c>
      <c r="L327" t="s">
        <v>12</v>
      </c>
      <c r="M327" t="s">
        <v>331</v>
      </c>
      <c r="N327" t="str">
        <f>IF(K327="N/A","No", IF(K327&gt;20,"Yes","No"))</f>
        <v>No</v>
      </c>
      <c r="O327" t="str">
        <f t="shared" ref="O327:O328" si="114">IF(K327="Not","No",IF(K327="n/a","N/A",IF(K327&gt;$Y$6,"Yes","No")))</f>
        <v>No</v>
      </c>
      <c r="U327" t="s">
        <v>101</v>
      </c>
      <c r="V327" t="s">
        <v>5</v>
      </c>
      <c r="W327" t="s">
        <v>9</v>
      </c>
      <c r="X327" t="str">
        <f>IF(V327="N/A","N/A",IF(W327="N/A", "N/A", IF(V327=W327, "Yes","No")))</f>
        <v>No</v>
      </c>
    </row>
    <row r="328" spans="1:32" x14ac:dyDescent="0.2">
      <c r="A328" t="s">
        <v>213</v>
      </c>
      <c r="B328" t="s">
        <v>189</v>
      </c>
      <c r="C328">
        <v>1.4</v>
      </c>
      <c r="D328" t="s">
        <v>4</v>
      </c>
      <c r="F328" s="2" t="str">
        <f t="shared" si="110"/>
        <v>Yes</v>
      </c>
      <c r="G328" t="s">
        <v>5</v>
      </c>
      <c r="H328" t="s">
        <v>43</v>
      </c>
      <c r="J328" s="2" t="s">
        <v>29</v>
      </c>
      <c r="K328">
        <v>0</v>
      </c>
      <c r="L328" t="s">
        <v>12</v>
      </c>
      <c r="M328" t="s">
        <v>332</v>
      </c>
      <c r="N328" t="str">
        <f>IF(K328="N/A","No", IF(K328&gt;20,"Yes","No"))</f>
        <v>No</v>
      </c>
      <c r="O328" t="str">
        <f t="shared" si="114"/>
        <v>No</v>
      </c>
      <c r="U328" t="s">
        <v>104</v>
      </c>
      <c r="V328" t="s">
        <v>9</v>
      </c>
      <c r="W328" t="s">
        <v>9</v>
      </c>
      <c r="X328" t="str">
        <f>IF(V328="N/A","N/A",IF(W328="N/A", "N/A", IF(V328=W328, "Yes","No")))</f>
        <v>Yes</v>
      </c>
    </row>
    <row r="329" spans="1:32" x14ac:dyDescent="0.2">
      <c r="A329" t="s">
        <v>213</v>
      </c>
      <c r="B329" t="s">
        <v>189</v>
      </c>
      <c r="C329">
        <v>1.2</v>
      </c>
      <c r="D329" t="s">
        <v>4</v>
      </c>
      <c r="F329" s="2" t="str">
        <f t="shared" si="110"/>
        <v>Yes</v>
      </c>
      <c r="G329" t="s">
        <v>9</v>
      </c>
      <c r="H329" t="s">
        <v>43</v>
      </c>
      <c r="J329" s="2" t="s">
        <v>34</v>
      </c>
      <c r="K329">
        <v>0</v>
      </c>
      <c r="L329" t="s">
        <v>12</v>
      </c>
      <c r="M329" t="s">
        <v>207</v>
      </c>
      <c r="N329" t="str">
        <f>IF(K329="N/A","No", IF(K329&gt;230,"Yes","No"))</f>
        <v>No</v>
      </c>
      <c r="O329" t="str">
        <f>IF(K329="Not","No",IF(K329="n/a","N/A",IF(K329&gt;$Y$5,"Yes","No")))</f>
        <v>No</v>
      </c>
      <c r="U329" t="s">
        <v>106</v>
      </c>
      <c r="V329" t="str">
        <f>R324</f>
        <v>Yes</v>
      </c>
      <c r="W329" t="str">
        <f>S324</f>
        <v>No</v>
      </c>
      <c r="X329" t="str">
        <f>IF(V329="N/A","N/A",IF(W329="N/A", "N/A", IF(V329=W329, "Yes","No")))</f>
        <v>No</v>
      </c>
    </row>
    <row r="330" spans="1:32" x14ac:dyDescent="0.2">
      <c r="A330" t="s">
        <v>239</v>
      </c>
      <c r="B330" t="s">
        <v>221</v>
      </c>
      <c r="C330">
        <v>1.4</v>
      </c>
      <c r="D330" t="s">
        <v>4</v>
      </c>
      <c r="F330" s="2" t="str">
        <f t="shared" si="110"/>
        <v>Yes</v>
      </c>
      <c r="G330" t="s">
        <v>9</v>
      </c>
      <c r="H330" t="s">
        <v>43</v>
      </c>
      <c r="J330" s="2" t="s">
        <v>208</v>
      </c>
      <c r="K330" t="s">
        <v>120</v>
      </c>
      <c r="L330" t="s">
        <v>12</v>
      </c>
      <c r="M330" t="s">
        <v>320</v>
      </c>
      <c r="N330" t="str">
        <f>IF(K330="N/A","No", IF(K330&gt;20,"Yes","No"))</f>
        <v>No</v>
      </c>
      <c r="O330" t="str">
        <f>IF(K330="Not","No",IF(K330="n/a","N/A",IF(K330&gt;$Y$7,"Yes","No")))</f>
        <v>N/A</v>
      </c>
      <c r="U330" t="s">
        <v>121</v>
      </c>
      <c r="V330" t="str">
        <f>R325</f>
        <v>Yes</v>
      </c>
      <c r="W330" t="str">
        <f>S325</f>
        <v>Yes</v>
      </c>
      <c r="X330" t="str">
        <f>IF(V330="N/A","N/A",IF(W330="N/A", "N/A", IF(V330=W330, "Yes","No")))</f>
        <v>Yes</v>
      </c>
    </row>
    <row r="331" spans="1:32" x14ac:dyDescent="0.2">
      <c r="A331" t="s">
        <v>239</v>
      </c>
      <c r="B331" t="s">
        <v>236</v>
      </c>
      <c r="C331">
        <v>1.7</v>
      </c>
      <c r="D331" t="s">
        <v>4</v>
      </c>
      <c r="F331" s="2" t="str">
        <f t="shared" si="110"/>
        <v>Yes</v>
      </c>
      <c r="G331" t="s">
        <v>9</v>
      </c>
      <c r="H331" t="s">
        <v>43</v>
      </c>
    </row>
    <row r="332" spans="1:32" x14ac:dyDescent="0.2">
      <c r="A332" t="s">
        <v>239</v>
      </c>
      <c r="B332" t="s">
        <v>211</v>
      </c>
      <c r="C332">
        <v>1.3</v>
      </c>
      <c r="D332" t="s">
        <v>4</v>
      </c>
      <c r="F332" s="2" t="str">
        <f t="shared" si="110"/>
        <v>Yes</v>
      </c>
      <c r="G332" t="s">
        <v>9</v>
      </c>
      <c r="H332" t="s">
        <v>43</v>
      </c>
    </row>
    <row r="333" spans="1:32" x14ac:dyDescent="0.2">
      <c r="A333" t="s">
        <v>239</v>
      </c>
      <c r="B333" t="s">
        <v>211</v>
      </c>
      <c r="C333">
        <v>1.5</v>
      </c>
      <c r="D333" t="s">
        <v>4</v>
      </c>
      <c r="F333" s="2" t="str">
        <f t="shared" si="110"/>
        <v>Yes</v>
      </c>
      <c r="G333" t="s">
        <v>9</v>
      </c>
      <c r="H333" t="s">
        <v>43</v>
      </c>
    </row>
    <row r="334" spans="1:32" x14ac:dyDescent="0.2">
      <c r="A334" t="s">
        <v>239</v>
      </c>
      <c r="B334" t="s">
        <v>211</v>
      </c>
      <c r="C334">
        <v>2.7</v>
      </c>
      <c r="D334" t="s">
        <v>4</v>
      </c>
      <c r="F334" s="2" t="str">
        <f t="shared" si="110"/>
        <v>Yes</v>
      </c>
      <c r="G334" t="s">
        <v>9</v>
      </c>
      <c r="H334" t="s">
        <v>43</v>
      </c>
    </row>
    <row r="335" spans="1:32" x14ac:dyDescent="0.2">
      <c r="A335" t="s">
        <v>201</v>
      </c>
      <c r="B335" t="s">
        <v>211</v>
      </c>
      <c r="C335">
        <v>1.7</v>
      </c>
      <c r="D335" t="s">
        <v>4</v>
      </c>
      <c r="F335" s="2" t="str">
        <f t="shared" si="110"/>
        <v>Yes</v>
      </c>
      <c r="G335" t="s">
        <v>5</v>
      </c>
      <c r="H335" t="s">
        <v>43</v>
      </c>
    </row>
    <row r="336" spans="1:32" x14ac:dyDescent="0.2">
      <c r="A336" t="s">
        <v>201</v>
      </c>
      <c r="B336" t="s">
        <v>211</v>
      </c>
      <c r="C336">
        <v>1.7</v>
      </c>
      <c r="D336" t="s">
        <v>4</v>
      </c>
      <c r="F336" s="2" t="str">
        <f t="shared" si="110"/>
        <v>Yes</v>
      </c>
      <c r="G336" t="s">
        <v>9</v>
      </c>
      <c r="H336" t="s">
        <v>43</v>
      </c>
    </row>
    <row r="337" spans="1:32" x14ac:dyDescent="0.2">
      <c r="A337" t="s">
        <v>249</v>
      </c>
      <c r="B337" t="s">
        <v>211</v>
      </c>
      <c r="C337">
        <v>1.8</v>
      </c>
      <c r="D337" t="s">
        <v>4</v>
      </c>
      <c r="F337" s="2" t="str">
        <f t="shared" si="110"/>
        <v>Yes</v>
      </c>
      <c r="G337" t="s">
        <v>5</v>
      </c>
      <c r="H337" t="s">
        <v>43</v>
      </c>
    </row>
    <row r="338" spans="1:32" x14ac:dyDescent="0.2">
      <c r="A338" t="s">
        <v>213</v>
      </c>
      <c r="B338" t="s">
        <v>214</v>
      </c>
      <c r="C338">
        <v>15</v>
      </c>
      <c r="D338" t="s">
        <v>33</v>
      </c>
      <c r="F338" s="2" t="str">
        <f t="shared" ref="F338" si="115">IF(C338&gt;$W$6,"Yes","No")</f>
        <v>Yes</v>
      </c>
      <c r="G338" t="s">
        <v>5</v>
      </c>
    </row>
    <row r="339" spans="1:32" x14ac:dyDescent="0.2">
      <c r="A339" t="s">
        <v>213</v>
      </c>
      <c r="B339" t="s">
        <v>54</v>
      </c>
      <c r="C339">
        <v>54</v>
      </c>
      <c r="D339" t="s">
        <v>33</v>
      </c>
      <c r="F339" s="2" t="str">
        <f>IF(C339&gt;$W$5,"Yes","No")</f>
        <v>No</v>
      </c>
      <c r="G339" t="s">
        <v>9</v>
      </c>
    </row>
    <row r="342" spans="1:32" x14ac:dyDescent="0.2">
      <c r="A342" s="1">
        <f>VLOOKUP(C342,'Grid - LRA Samples'!$A$2:$B$108, 2,FALSE)</f>
        <v>571</v>
      </c>
      <c r="B342" t="s">
        <v>319</v>
      </c>
      <c r="C342">
        <v>62</v>
      </c>
    </row>
    <row r="343" spans="1:32" x14ac:dyDescent="0.2">
      <c r="A343" s="5" t="s">
        <v>0</v>
      </c>
      <c r="E343" s="2" t="s">
        <v>274</v>
      </c>
      <c r="F343" s="2" t="s">
        <v>275</v>
      </c>
      <c r="G343" t="s">
        <v>119</v>
      </c>
      <c r="J343" s="5" t="s">
        <v>1</v>
      </c>
      <c r="N343" s="2" t="s">
        <v>277</v>
      </c>
      <c r="O343" t="s">
        <v>278</v>
      </c>
      <c r="Q343" s="5" t="s">
        <v>115</v>
      </c>
      <c r="R343" s="5" t="s">
        <v>0</v>
      </c>
      <c r="S343" s="5" t="s">
        <v>1</v>
      </c>
      <c r="U343" s="5" t="s">
        <v>115</v>
      </c>
      <c r="V343" s="5" t="s">
        <v>0</v>
      </c>
      <c r="W343" s="5" t="s">
        <v>1</v>
      </c>
      <c r="X343" s="5" t="s">
        <v>122</v>
      </c>
      <c r="AA343" t="str">
        <f>IF(R344="Yes","LRA-Soil","")</f>
        <v/>
      </c>
      <c r="AB343" t="str">
        <f>IF(R345="Yes","LRA-Paint","")</f>
        <v>LRA-Paint</v>
      </c>
      <c r="AC343" t="str">
        <f>IF(R346="Yes","LRA-Dust","")</f>
        <v/>
      </c>
      <c r="AD343" t="str">
        <f>IF(S344="Yes","LSK-Soil","")</f>
        <v>LSK-Soil</v>
      </c>
      <c r="AE343" t="str">
        <f>IF(S345="Yes","LSK-Paint","")</f>
        <v>LSK-Paint</v>
      </c>
      <c r="AF343" t="str">
        <f>IF(S346="Yes","LSK-Dust","")</f>
        <v>LSK-Dust</v>
      </c>
    </row>
    <row r="344" spans="1:32" x14ac:dyDescent="0.2">
      <c r="A344" t="s">
        <v>153</v>
      </c>
      <c r="B344" t="s">
        <v>18</v>
      </c>
      <c r="C344">
        <v>0.01</v>
      </c>
      <c r="D344" t="s">
        <v>4</v>
      </c>
      <c r="F344" s="2" t="str">
        <f t="shared" ref="F344:F354" si="116">IF(C344&gt;=$W$2,"Yes","No")</f>
        <v>No</v>
      </c>
      <c r="G344" t="s">
        <v>9</v>
      </c>
      <c r="H344" t="s">
        <v>46</v>
      </c>
      <c r="J344" s="2" t="s">
        <v>6</v>
      </c>
      <c r="K344">
        <v>515.6</v>
      </c>
      <c r="L344" t="s">
        <v>12</v>
      </c>
      <c r="M344" t="s">
        <v>160</v>
      </c>
      <c r="N344" t="str">
        <f>IF(K344="N/A","No", IF(K344&gt;1200,"Yes","No"))</f>
        <v>No</v>
      </c>
      <c r="O344" t="str">
        <f>IF(K344="Not","No",IF(K344="n/a","N/A",IF(K344&gt;=$Y$3,"Yes","No")))</f>
        <v>Yes</v>
      </c>
      <c r="Q344" s="2" t="s">
        <v>116</v>
      </c>
      <c r="R344" t="str">
        <f>_xlfn.XLOOKUP("mg/Kg",D344:D357,F344:F357,"N/A")</f>
        <v>No</v>
      </c>
      <c r="S344" t="str">
        <f>IF(COUNTIF(O344:O346,"Yes"),"Yes","No")</f>
        <v>Yes</v>
      </c>
      <c r="U344" t="s">
        <v>92</v>
      </c>
      <c r="V344" t="s">
        <v>120</v>
      </c>
      <c r="W344" t="s">
        <v>120</v>
      </c>
      <c r="X344" t="str">
        <f>IF(V344="N/A","N/A",IF(W344="N/A", "N/A", IF(V344=W344, "Yes","No")))</f>
        <v>N/A</v>
      </c>
    </row>
    <row r="345" spans="1:32" x14ac:dyDescent="0.2">
      <c r="A345" t="s">
        <v>83</v>
      </c>
      <c r="B345" t="s">
        <v>69</v>
      </c>
      <c r="C345">
        <v>190</v>
      </c>
      <c r="D345" t="s">
        <v>37</v>
      </c>
      <c r="F345" s="2" t="str">
        <f>IF(C345&gt;=$W$3,"Yes","No")</f>
        <v>No</v>
      </c>
      <c r="G345" t="s">
        <v>9</v>
      </c>
      <c r="J345" s="2" t="s">
        <v>11</v>
      </c>
      <c r="K345">
        <v>1167.0999999999999</v>
      </c>
      <c r="L345" t="s">
        <v>12</v>
      </c>
      <c r="M345" t="s">
        <v>38</v>
      </c>
      <c r="N345" t="str">
        <f t="shared" ref="N345:N346" si="117">IF(K345="N/A","No", IF(K345&gt;1200,"Yes","No"))</f>
        <v>No</v>
      </c>
      <c r="O345" t="str">
        <f t="shared" ref="O345:O346" si="118">IF(K345="Not","No",IF(K345="n/a","N/A",IF(K345&gt;$Y$3,"Yes","No")))</f>
        <v>Yes</v>
      </c>
      <c r="Q345" s="2" t="s">
        <v>98</v>
      </c>
      <c r="R345" t="str">
        <f>_xlfn.XLOOKUP("mg/cm2",D344:D357,G344:G357,"N/A",1,-1)</f>
        <v>Yes</v>
      </c>
      <c r="S345" t="str">
        <f>IF(COUNTIF(O347:O348,"Yes"),"Yes","No")</f>
        <v>Yes</v>
      </c>
      <c r="U345" t="s">
        <v>95</v>
      </c>
      <c r="V345" t="str">
        <f>R344</f>
        <v>No</v>
      </c>
      <c r="W345" t="str">
        <f>S344</f>
        <v>Yes</v>
      </c>
      <c r="X345" t="str">
        <f t="shared" ref="X345:X348" si="119">IF(V345="N/A","N/A",IF(W345="N/A", "N/A", IF(V345=W345, "Yes","No")))</f>
        <v>No</v>
      </c>
    </row>
    <row r="346" spans="1:32" x14ac:dyDescent="0.2">
      <c r="A346" t="s">
        <v>245</v>
      </c>
      <c r="B346" t="s">
        <v>174</v>
      </c>
      <c r="C346">
        <v>7.1</v>
      </c>
      <c r="D346" t="s">
        <v>4</v>
      </c>
      <c r="F346" s="2" t="str">
        <f t="shared" si="116"/>
        <v>Yes</v>
      </c>
      <c r="G346" t="s">
        <v>5</v>
      </c>
      <c r="H346" t="s">
        <v>43</v>
      </c>
      <c r="J346" s="2" t="s">
        <v>15</v>
      </c>
      <c r="K346">
        <v>127.4</v>
      </c>
      <c r="L346" t="s">
        <v>12</v>
      </c>
      <c r="M346" t="s">
        <v>324</v>
      </c>
      <c r="N346" t="str">
        <f t="shared" si="117"/>
        <v>No</v>
      </c>
      <c r="O346" t="str">
        <f t="shared" si="118"/>
        <v>No</v>
      </c>
      <c r="Q346" s="2" t="s">
        <v>117</v>
      </c>
      <c r="R346" t="str">
        <f>_xlfn.XLOOKUP("ug/ft2",D344:D357,F344:F357,"N/A")</f>
        <v>No</v>
      </c>
      <c r="S346" t="str">
        <f>IF(COUNTIF(O349:O351,"Yes"),"Yes","No")</f>
        <v>Yes</v>
      </c>
      <c r="U346" t="s">
        <v>163</v>
      </c>
      <c r="V346" t="s">
        <v>5</v>
      </c>
      <c r="W346" t="s">
        <v>5</v>
      </c>
      <c r="X346" t="str">
        <f t="shared" si="119"/>
        <v>Yes</v>
      </c>
    </row>
    <row r="347" spans="1:32" x14ac:dyDescent="0.2">
      <c r="A347" t="s">
        <v>113</v>
      </c>
      <c r="B347" t="s">
        <v>40</v>
      </c>
      <c r="C347">
        <v>4.0999999999999996</v>
      </c>
      <c r="D347" t="s">
        <v>4</v>
      </c>
      <c r="F347" s="2" t="str">
        <f t="shared" si="116"/>
        <v>Yes</v>
      </c>
      <c r="G347" t="s">
        <v>5</v>
      </c>
      <c r="H347" t="s">
        <v>43</v>
      </c>
      <c r="J347" s="2" t="s">
        <v>19</v>
      </c>
      <c r="K347">
        <v>328.3</v>
      </c>
      <c r="L347" t="s">
        <v>12</v>
      </c>
      <c r="M347" t="s">
        <v>70</v>
      </c>
      <c r="N347" t="str">
        <f>IF(K347="N/A","No", IF(K347&gt;5000,"Yes","No"))</f>
        <v>No</v>
      </c>
      <c r="O347" t="str">
        <f>IF(K347="Not","No",IF(K347="n/a","N/A",IF(K347&gt;$Y$2,"Yes","No")))</f>
        <v>No</v>
      </c>
      <c r="Q347" s="2" t="s">
        <v>118</v>
      </c>
      <c r="R347" t="str">
        <f>IF(COUNTIF(R344:R346,"Yes"),"Yes","No")</f>
        <v>Yes</v>
      </c>
      <c r="S347" t="str">
        <f>IF(COUNTIF(S344:S346,"Yes"),"Yes","No")</f>
        <v>Yes</v>
      </c>
      <c r="U347" t="s">
        <v>164</v>
      </c>
      <c r="V347" t="s">
        <v>9</v>
      </c>
      <c r="W347" t="s">
        <v>9</v>
      </c>
      <c r="X347" t="str">
        <f t="shared" si="119"/>
        <v>Yes</v>
      </c>
    </row>
    <row r="348" spans="1:32" x14ac:dyDescent="0.2">
      <c r="A348" t="s">
        <v>109</v>
      </c>
      <c r="B348" t="s">
        <v>40</v>
      </c>
      <c r="C348">
        <v>6</v>
      </c>
      <c r="D348" t="s">
        <v>4</v>
      </c>
      <c r="F348" s="2" t="str">
        <f t="shared" si="116"/>
        <v>Yes</v>
      </c>
      <c r="G348" t="s">
        <v>5</v>
      </c>
      <c r="H348" t="s">
        <v>43</v>
      </c>
      <c r="J348" s="2" t="s">
        <v>22</v>
      </c>
      <c r="K348">
        <v>10726.7</v>
      </c>
      <c r="L348" t="s">
        <v>12</v>
      </c>
      <c r="M348" t="s">
        <v>392</v>
      </c>
      <c r="N348" t="str">
        <f>IF(K348="N/A","No", IF(K348&gt;5000,"Yes","No"))</f>
        <v>Yes</v>
      </c>
      <c r="O348" t="str">
        <f>IF(K348="Not","No",IF(K348="n/a","N/A",IF(K348&gt;$Y$2,"Yes","No")))</f>
        <v>Yes</v>
      </c>
      <c r="U348" t="s">
        <v>162</v>
      </c>
      <c r="V348" t="str">
        <f>R345</f>
        <v>Yes</v>
      </c>
      <c r="W348" t="str">
        <f>S345</f>
        <v>Yes</v>
      </c>
      <c r="X348" t="str">
        <f t="shared" si="119"/>
        <v>Yes</v>
      </c>
    </row>
    <row r="349" spans="1:32" x14ac:dyDescent="0.2">
      <c r="A349" t="s">
        <v>391</v>
      </c>
      <c r="B349" t="s">
        <v>40</v>
      </c>
      <c r="C349">
        <v>4.8</v>
      </c>
      <c r="D349" t="s">
        <v>4</v>
      </c>
      <c r="F349" s="2" t="str">
        <f t="shared" si="116"/>
        <v>Yes</v>
      </c>
      <c r="G349" t="s">
        <v>5</v>
      </c>
      <c r="H349" t="s">
        <v>43</v>
      </c>
      <c r="J349" s="2" t="s">
        <v>25</v>
      </c>
      <c r="K349" t="s">
        <v>393</v>
      </c>
      <c r="L349" t="s">
        <v>12</v>
      </c>
      <c r="M349" t="s">
        <v>394</v>
      </c>
      <c r="N349" t="str">
        <f>IF(K349="N/A","No", IF(K349&gt;20,"Yes","No"))</f>
        <v>Yes</v>
      </c>
      <c r="O349" t="s">
        <v>9</v>
      </c>
      <c r="U349" t="s">
        <v>101</v>
      </c>
      <c r="V349" t="s">
        <v>9</v>
      </c>
      <c r="W349" t="s">
        <v>5</v>
      </c>
      <c r="X349" t="str">
        <f>IF(V349="N/A","N/A",IF(W349="N/A", "N/A", IF(V349=W349, "Yes","No")))</f>
        <v>No</v>
      </c>
    </row>
    <row r="350" spans="1:32" x14ac:dyDescent="0.2">
      <c r="A350" t="s">
        <v>322</v>
      </c>
      <c r="B350" t="s">
        <v>40</v>
      </c>
      <c r="C350">
        <v>3.4</v>
      </c>
      <c r="D350" t="s">
        <v>4</v>
      </c>
      <c r="F350" s="2" t="str">
        <f t="shared" si="116"/>
        <v>Yes</v>
      </c>
      <c r="G350" t="s">
        <v>5</v>
      </c>
      <c r="H350" t="s">
        <v>43</v>
      </c>
      <c r="J350" s="2" t="s">
        <v>29</v>
      </c>
      <c r="K350" t="s">
        <v>393</v>
      </c>
      <c r="L350" t="s">
        <v>12</v>
      </c>
      <c r="M350" t="s">
        <v>72</v>
      </c>
      <c r="N350" t="str">
        <f>IF(K350="N/A","No", IF(K350&gt;20,"Yes","No"))</f>
        <v>Yes</v>
      </c>
      <c r="O350" t="s">
        <v>9</v>
      </c>
      <c r="U350" t="s">
        <v>104</v>
      </c>
      <c r="V350" t="s">
        <v>120</v>
      </c>
      <c r="W350" t="s">
        <v>9</v>
      </c>
      <c r="X350" t="str">
        <f>IF(V350="N/A","N/A",IF(W350="N/A", "N/A", IF(V350=W350, "Yes","No")))</f>
        <v>N/A</v>
      </c>
    </row>
    <row r="351" spans="1:32" x14ac:dyDescent="0.2">
      <c r="A351" t="s">
        <v>70</v>
      </c>
      <c r="B351" t="s">
        <v>77</v>
      </c>
      <c r="C351">
        <v>2.1</v>
      </c>
      <c r="D351" t="s">
        <v>4</v>
      </c>
      <c r="F351" s="2" t="str">
        <f t="shared" si="116"/>
        <v>Yes</v>
      </c>
      <c r="G351" t="s">
        <v>9</v>
      </c>
      <c r="H351" t="s">
        <v>43</v>
      </c>
      <c r="J351" s="2" t="s">
        <v>34</v>
      </c>
      <c r="K351">
        <v>32.4</v>
      </c>
      <c r="L351" t="s">
        <v>12</v>
      </c>
      <c r="M351" t="s">
        <v>74</v>
      </c>
      <c r="N351" t="str">
        <f>IF(K351="N/A","No", IF(K351&gt;230,"Yes","No"))</f>
        <v>No</v>
      </c>
      <c r="O351" t="str">
        <f t="shared" ref="O351" si="120">IF(K351="Not","No",IF(K351="n/a","N/A",IF(K351&gt;$Y$6,"Yes","No")))</f>
        <v>Yes</v>
      </c>
      <c r="U351" t="s">
        <v>106</v>
      </c>
      <c r="V351" t="str">
        <f>R346</f>
        <v>No</v>
      </c>
      <c r="W351" t="str">
        <f>S346</f>
        <v>Yes</v>
      </c>
      <c r="X351" t="str">
        <f>IF(V351="N/A","N/A",IF(W351="N/A", "N/A", IF(V351=W351, "Yes","No")))</f>
        <v>No</v>
      </c>
    </row>
    <row r="352" spans="1:32" x14ac:dyDescent="0.2">
      <c r="A352" t="s">
        <v>70</v>
      </c>
      <c r="B352" t="s">
        <v>40</v>
      </c>
      <c r="C352">
        <v>5.6</v>
      </c>
      <c r="D352" t="s">
        <v>4</v>
      </c>
      <c r="F352" s="2" t="str">
        <f t="shared" si="116"/>
        <v>Yes</v>
      </c>
      <c r="G352" t="s">
        <v>5</v>
      </c>
      <c r="H352" t="s">
        <v>43</v>
      </c>
      <c r="J352" s="2"/>
      <c r="U352" t="s">
        <v>121</v>
      </c>
      <c r="V352" t="str">
        <f>R347</f>
        <v>Yes</v>
      </c>
      <c r="W352" t="str">
        <f>S347</f>
        <v>Yes</v>
      </c>
      <c r="X352" t="str">
        <f>IF(V352="N/A","N/A",IF(W352="N/A", "N/A", IF(V352=W352, "Yes","No")))</f>
        <v>Yes</v>
      </c>
    </row>
    <row r="353" spans="1:32" x14ac:dyDescent="0.2">
      <c r="A353" t="s">
        <v>158</v>
      </c>
      <c r="B353" t="s">
        <v>40</v>
      </c>
      <c r="C353">
        <v>3.6</v>
      </c>
      <c r="D353" t="s">
        <v>4</v>
      </c>
      <c r="F353" s="2" t="str">
        <f t="shared" si="116"/>
        <v>Yes</v>
      </c>
      <c r="G353" t="s">
        <v>5</v>
      </c>
      <c r="H353" t="s">
        <v>43</v>
      </c>
    </row>
    <row r="354" spans="1:32" x14ac:dyDescent="0.2">
      <c r="A354" t="s">
        <v>64</v>
      </c>
      <c r="B354" t="s">
        <v>10</v>
      </c>
      <c r="C354">
        <v>4.2</v>
      </c>
      <c r="D354" t="s">
        <v>4</v>
      </c>
      <c r="F354" s="2" t="str">
        <f t="shared" si="116"/>
        <v>Yes</v>
      </c>
      <c r="G354" t="s">
        <v>5</v>
      </c>
      <c r="H354" t="s">
        <v>43</v>
      </c>
    </row>
    <row r="355" spans="1:32" x14ac:dyDescent="0.2">
      <c r="A355" t="s">
        <v>109</v>
      </c>
      <c r="B355" t="s">
        <v>32</v>
      </c>
      <c r="C355">
        <v>3</v>
      </c>
      <c r="D355" t="s">
        <v>33</v>
      </c>
      <c r="F355" s="2" t="str">
        <f t="shared" ref="F355:F357" si="121">IF(C355&gt;$W$6,"Yes","No")</f>
        <v>No</v>
      </c>
      <c r="G355" t="s">
        <v>9</v>
      </c>
    </row>
    <row r="356" spans="1:32" x14ac:dyDescent="0.2">
      <c r="A356" t="s">
        <v>293</v>
      </c>
      <c r="B356" t="s">
        <v>32</v>
      </c>
      <c r="C356">
        <v>3</v>
      </c>
      <c r="D356" t="s">
        <v>33</v>
      </c>
      <c r="F356" s="2" t="str">
        <f t="shared" si="121"/>
        <v>No</v>
      </c>
      <c r="G356" t="s">
        <v>9</v>
      </c>
    </row>
    <row r="357" spans="1:32" x14ac:dyDescent="0.2">
      <c r="A357" t="s">
        <v>391</v>
      </c>
      <c r="B357" t="s">
        <v>32</v>
      </c>
      <c r="C357">
        <v>4</v>
      </c>
      <c r="D357" t="s">
        <v>33</v>
      </c>
      <c r="F357" s="2" t="str">
        <f t="shared" si="121"/>
        <v>No</v>
      </c>
      <c r="G357" t="s">
        <v>9</v>
      </c>
    </row>
    <row r="360" spans="1:32" x14ac:dyDescent="0.2">
      <c r="A360" s="1">
        <f>VLOOKUP(C360,'Grid - LRA Samples'!$A$2:$B$108, 2,FALSE)</f>
        <v>778</v>
      </c>
      <c r="B360" t="s">
        <v>319</v>
      </c>
      <c r="C360">
        <v>63</v>
      </c>
    </row>
    <row r="361" spans="1:32" x14ac:dyDescent="0.2">
      <c r="A361" s="5" t="s">
        <v>0</v>
      </c>
      <c r="E361" s="2" t="s">
        <v>274</v>
      </c>
      <c r="F361" s="2" t="s">
        <v>275</v>
      </c>
      <c r="G361" t="s">
        <v>119</v>
      </c>
      <c r="J361" s="5" t="s">
        <v>1</v>
      </c>
      <c r="N361" s="2" t="s">
        <v>277</v>
      </c>
      <c r="O361" t="s">
        <v>278</v>
      </c>
      <c r="Q361" s="5" t="s">
        <v>115</v>
      </c>
      <c r="R361" s="5" t="s">
        <v>0</v>
      </c>
      <c r="S361" s="5" t="s">
        <v>1</v>
      </c>
      <c r="U361" s="5" t="s">
        <v>115</v>
      </c>
      <c r="V361" s="5" t="s">
        <v>0</v>
      </c>
      <c r="W361" s="5" t="s">
        <v>1</v>
      </c>
      <c r="X361" s="5" t="s">
        <v>122</v>
      </c>
      <c r="AA361" t="str">
        <f>IF(R362="Yes","LRA-Soil","")</f>
        <v/>
      </c>
      <c r="AB361" t="str">
        <f>IF(R363="Yes","LRA-Paint","")</f>
        <v>LRA-Paint</v>
      </c>
      <c r="AC361" t="str">
        <f>IF(R364="Yes","LRA-Dust","")</f>
        <v/>
      </c>
      <c r="AD361" t="str">
        <f>IF(S362="Yes","LSK-Soil","")</f>
        <v/>
      </c>
      <c r="AE361" t="str">
        <f>IF(S363="Yes","LSK-Paint","")</f>
        <v/>
      </c>
      <c r="AF361" t="str">
        <f>IF(S364="Yes","LSK-Dust","")</f>
        <v/>
      </c>
    </row>
    <row r="362" spans="1:32" x14ac:dyDescent="0.2">
      <c r="A362" t="s">
        <v>185</v>
      </c>
      <c r="B362" t="s">
        <v>217</v>
      </c>
      <c r="C362">
        <v>3.6</v>
      </c>
      <c r="D362" t="s">
        <v>4</v>
      </c>
      <c r="E362" t="s">
        <v>5</v>
      </c>
      <c r="F362" s="2" t="str">
        <f t="shared" ref="F362:F372" si="122">IF(C362&gt;=$W$2,"Yes","No")</f>
        <v>Yes</v>
      </c>
      <c r="G362" t="s">
        <v>5</v>
      </c>
      <c r="H362" t="s">
        <v>46</v>
      </c>
      <c r="J362" s="2" t="s">
        <v>6</v>
      </c>
      <c r="K362">
        <v>62</v>
      </c>
      <c r="L362" t="s">
        <v>12</v>
      </c>
      <c r="M362" t="s">
        <v>36</v>
      </c>
      <c r="N362" t="str">
        <f>IF(K362="N/A","No", IF(K362&gt;1200,"Yes","No"))</f>
        <v>No</v>
      </c>
      <c r="O362" t="str">
        <f>IF(K362="Not","No",IF(K362="n/a","N/A",IF(K362&gt;=$Y$3,"Yes","No")))</f>
        <v>No</v>
      </c>
      <c r="Q362" s="2" t="s">
        <v>116</v>
      </c>
      <c r="R362" t="str">
        <f>_xlfn.XLOOKUP("mg/Kg",D362:D373,F362:F373,"N/A")</f>
        <v>No</v>
      </c>
      <c r="S362" t="str">
        <f>IF(COUNTIF(O362:O364,"Yes"),"Yes","No")</f>
        <v>No</v>
      </c>
      <c r="U362" t="s">
        <v>92</v>
      </c>
      <c r="V362" t="s">
        <v>120</v>
      </c>
      <c r="W362" t="s">
        <v>9</v>
      </c>
      <c r="X362" t="str">
        <f>IF(V362="N/A","N/A",IF(W362="N/A", "N/A", IF(V362=W362, "Yes","No")))</f>
        <v>N/A</v>
      </c>
    </row>
    <row r="363" spans="1:32" x14ac:dyDescent="0.2">
      <c r="A363" t="s">
        <v>185</v>
      </c>
      <c r="B363" t="s">
        <v>211</v>
      </c>
      <c r="C363">
        <v>3.1</v>
      </c>
      <c r="D363" t="s">
        <v>4</v>
      </c>
      <c r="E363" t="s">
        <v>5</v>
      </c>
      <c r="F363" s="2" t="str">
        <f t="shared" si="122"/>
        <v>Yes</v>
      </c>
      <c r="G363" t="s">
        <v>5</v>
      </c>
      <c r="H363" t="s">
        <v>46</v>
      </c>
      <c r="J363" s="2" t="s">
        <v>11</v>
      </c>
      <c r="K363">
        <v>15</v>
      </c>
      <c r="L363" t="s">
        <v>12</v>
      </c>
      <c r="M363" t="s">
        <v>176</v>
      </c>
      <c r="N363" t="str">
        <f t="shared" ref="N363:N364" si="123">IF(K363="N/A","No", IF(K363&gt;1200,"Yes","No"))</f>
        <v>No</v>
      </c>
      <c r="O363" t="str">
        <f t="shared" ref="O363:O364" si="124">IF(K363="Not","No",IF(K363="n/a","N/A",IF(K363&gt;$Y$3,"Yes","No")))</f>
        <v>No</v>
      </c>
      <c r="Q363" s="2" t="s">
        <v>98</v>
      </c>
      <c r="R363" s="30" t="s">
        <v>5</v>
      </c>
      <c r="S363" t="str">
        <f>IF(COUNTIF(O365:O366,"Yes"),"Yes","No")</f>
        <v>No</v>
      </c>
      <c r="U363" t="s">
        <v>95</v>
      </c>
      <c r="V363" t="str">
        <f>R362</f>
        <v>No</v>
      </c>
      <c r="W363" t="str">
        <f>S362</f>
        <v>No</v>
      </c>
      <c r="X363" t="str">
        <f t="shared" ref="X363:X366" si="125">IF(V363="N/A","N/A",IF(W363="N/A", "N/A", IF(V363=W363, "Yes","No")))</f>
        <v>Yes</v>
      </c>
    </row>
    <row r="364" spans="1:32" x14ac:dyDescent="0.2">
      <c r="A364" t="s">
        <v>185</v>
      </c>
      <c r="B364" t="s">
        <v>211</v>
      </c>
      <c r="C364">
        <v>3.2</v>
      </c>
      <c r="D364" t="s">
        <v>4</v>
      </c>
      <c r="E364" t="s">
        <v>5</v>
      </c>
      <c r="F364" s="2" t="str">
        <f t="shared" si="122"/>
        <v>Yes</v>
      </c>
      <c r="G364" t="s">
        <v>5</v>
      </c>
      <c r="H364" t="s">
        <v>46</v>
      </c>
      <c r="J364" s="2" t="s">
        <v>15</v>
      </c>
      <c r="K364">
        <v>7</v>
      </c>
      <c r="L364" t="s">
        <v>12</v>
      </c>
      <c r="M364" t="s">
        <v>41</v>
      </c>
      <c r="N364" t="str">
        <f t="shared" si="123"/>
        <v>No</v>
      </c>
      <c r="O364" t="str">
        <f t="shared" si="124"/>
        <v>No</v>
      </c>
      <c r="Q364" s="2" t="s">
        <v>117</v>
      </c>
      <c r="R364" t="str">
        <f>_xlfn.XLOOKUP("ug/ft2",D362:D373,F362:F373,"N/A")</f>
        <v>No</v>
      </c>
      <c r="S364" t="str">
        <f>IF(COUNTIF(O367:O370,"Yes"),"Yes","No")</f>
        <v>No</v>
      </c>
      <c r="U364" t="s">
        <v>163</v>
      </c>
      <c r="V364" t="s">
        <v>9</v>
      </c>
      <c r="W364" t="str">
        <f>O366</f>
        <v>No</v>
      </c>
      <c r="X364" t="str">
        <f t="shared" si="125"/>
        <v>Yes</v>
      </c>
    </row>
    <row r="365" spans="1:32" x14ac:dyDescent="0.2">
      <c r="A365" t="s">
        <v>185</v>
      </c>
      <c r="B365" t="s">
        <v>211</v>
      </c>
      <c r="C365">
        <v>2.2000000000000002</v>
      </c>
      <c r="D365" t="s">
        <v>4</v>
      </c>
      <c r="E365" t="s">
        <v>5</v>
      </c>
      <c r="F365" s="2" t="str">
        <f t="shared" si="122"/>
        <v>Yes</v>
      </c>
      <c r="G365" t="s">
        <v>5</v>
      </c>
      <c r="H365" t="s">
        <v>46</v>
      </c>
      <c r="J365" s="2" t="s">
        <v>19</v>
      </c>
      <c r="K365">
        <v>2699</v>
      </c>
      <c r="L365" t="s">
        <v>12</v>
      </c>
      <c r="M365" t="s">
        <v>395</v>
      </c>
      <c r="N365" t="str">
        <f>IF(K365="N/A","No", IF(K365&gt;5000,"Yes","No"))</f>
        <v>No</v>
      </c>
      <c r="O365" t="str">
        <f>IF(K365="Not","No",IF(K365="n/a","N/A",IF(K365&gt;$Y$2,"Yes","No")))</f>
        <v>No</v>
      </c>
      <c r="Q365" s="2" t="s">
        <v>118</v>
      </c>
      <c r="R365" t="str">
        <f>IF(COUNTIF(R362:R364,"Yes"),"Yes","No")</f>
        <v>Yes</v>
      </c>
      <c r="S365" t="str">
        <f>IF(COUNTIF(S362:S364,"Yes"),"Yes","No")</f>
        <v>No</v>
      </c>
      <c r="U365" t="s">
        <v>164</v>
      </c>
      <c r="V365" t="s">
        <v>5</v>
      </c>
      <c r="W365" t="str">
        <f>O365</f>
        <v>No</v>
      </c>
      <c r="X365" t="str">
        <f t="shared" si="125"/>
        <v>No</v>
      </c>
    </row>
    <row r="366" spans="1:32" x14ac:dyDescent="0.2">
      <c r="A366" t="s">
        <v>187</v>
      </c>
      <c r="B366" t="s">
        <v>294</v>
      </c>
      <c r="C366">
        <v>55</v>
      </c>
      <c r="D366" t="s">
        <v>37</v>
      </c>
      <c r="E366" t="s">
        <v>9</v>
      </c>
      <c r="F366" s="2" t="str">
        <f>IF(C366&gt;=$W$3,"Yes","No")</f>
        <v>No</v>
      </c>
      <c r="G366" t="s">
        <v>9</v>
      </c>
      <c r="J366" s="2" t="s">
        <v>22</v>
      </c>
      <c r="K366">
        <v>0</v>
      </c>
      <c r="L366" t="s">
        <v>12</v>
      </c>
      <c r="M366" t="s">
        <v>396</v>
      </c>
      <c r="N366" t="str">
        <f>IF(K366="N/A","No", IF(K366&gt;5000,"Yes","No"))</f>
        <v>No</v>
      </c>
      <c r="O366" t="str">
        <f>IF(K366="Not","No",IF(K366="n/a","N/A",IF(K366&gt;$Y$2,"Yes","No")))</f>
        <v>No</v>
      </c>
      <c r="U366" t="s">
        <v>162</v>
      </c>
      <c r="V366" t="str">
        <f>R363</f>
        <v>Yes</v>
      </c>
      <c r="W366" t="str">
        <f>S363</f>
        <v>No</v>
      </c>
      <c r="X366" t="str">
        <f t="shared" si="125"/>
        <v>No</v>
      </c>
    </row>
    <row r="367" spans="1:32" x14ac:dyDescent="0.2">
      <c r="A367" t="s">
        <v>289</v>
      </c>
      <c r="B367" t="s">
        <v>221</v>
      </c>
      <c r="C367">
        <v>0.12</v>
      </c>
      <c r="D367" t="s">
        <v>4</v>
      </c>
      <c r="E367" t="s">
        <v>9</v>
      </c>
      <c r="F367" s="2" t="str">
        <f t="shared" si="122"/>
        <v>No</v>
      </c>
      <c r="G367" t="s">
        <v>9</v>
      </c>
      <c r="H367" t="s">
        <v>43</v>
      </c>
      <c r="J367" s="2" t="s">
        <v>25</v>
      </c>
      <c r="K367">
        <v>0</v>
      </c>
      <c r="L367" t="s">
        <v>12</v>
      </c>
      <c r="M367" t="s">
        <v>48</v>
      </c>
      <c r="N367" t="str">
        <f>IF(K367="N/A","No", IF(K367&gt;20,"Yes","No"))</f>
        <v>No</v>
      </c>
      <c r="O367" t="str">
        <f t="shared" ref="O367:O368" si="126">IF(K367="Not","No",IF(K367="n/a","N/A",IF(K367&gt;$Y$6,"Yes","No")))</f>
        <v>No</v>
      </c>
      <c r="U367" t="s">
        <v>101</v>
      </c>
      <c r="V367" t="s">
        <v>5</v>
      </c>
      <c r="W367" t="s">
        <v>120</v>
      </c>
      <c r="X367" t="str">
        <f>IF(V367="N/A","N/A",IF(W367="N/A", "N/A", IF(V367=W367, "Yes","No")))</f>
        <v>N/A</v>
      </c>
    </row>
    <row r="368" spans="1:32" x14ac:dyDescent="0.2">
      <c r="A368" t="s">
        <v>289</v>
      </c>
      <c r="B368" t="s">
        <v>189</v>
      </c>
      <c r="C368">
        <v>0.12</v>
      </c>
      <c r="D368" t="s">
        <v>4</v>
      </c>
      <c r="E368" t="s">
        <v>9</v>
      </c>
      <c r="F368" s="2" t="str">
        <f t="shared" si="122"/>
        <v>No</v>
      </c>
      <c r="G368" t="s">
        <v>9</v>
      </c>
      <c r="H368" t="s">
        <v>43</v>
      </c>
      <c r="J368" s="2" t="s">
        <v>29</v>
      </c>
      <c r="K368">
        <v>0</v>
      </c>
      <c r="L368" t="s">
        <v>12</v>
      </c>
      <c r="M368" t="s">
        <v>72</v>
      </c>
      <c r="N368" t="str">
        <f>IF(K368="N/A","No", IF(K368&gt;20,"Yes","No"))</f>
        <v>No</v>
      </c>
      <c r="O368" t="str">
        <f t="shared" si="126"/>
        <v>No</v>
      </c>
      <c r="U368" t="s">
        <v>104</v>
      </c>
      <c r="V368" t="s">
        <v>120</v>
      </c>
      <c r="W368" t="s">
        <v>9</v>
      </c>
      <c r="X368" t="str">
        <f>IF(V368="N/A","N/A",IF(W368="N/A", "N/A", IF(V368=W368, "Yes","No")))</f>
        <v>N/A</v>
      </c>
    </row>
    <row r="369" spans="1:32" x14ac:dyDescent="0.2">
      <c r="A369" t="s">
        <v>190</v>
      </c>
      <c r="B369" t="s">
        <v>238</v>
      </c>
      <c r="C369">
        <v>0</v>
      </c>
      <c r="D369" t="s">
        <v>4</v>
      </c>
      <c r="E369" t="s">
        <v>9</v>
      </c>
      <c r="F369" s="2" t="str">
        <f t="shared" si="122"/>
        <v>No</v>
      </c>
      <c r="G369" t="s">
        <v>9</v>
      </c>
      <c r="H369" t="s">
        <v>43</v>
      </c>
      <c r="J369" s="2" t="s">
        <v>34</v>
      </c>
      <c r="K369" t="s">
        <v>120</v>
      </c>
      <c r="L369" t="s">
        <v>12</v>
      </c>
      <c r="M369" t="s">
        <v>66</v>
      </c>
      <c r="N369" t="str">
        <f>IF(K369="N/A","No", IF(K369&gt;230,"Yes","No"))</f>
        <v>No</v>
      </c>
      <c r="O369" t="str">
        <f>IF(K369="Not","No",IF(K369="n/a","N/A",IF(K369&gt;$Y$5,"Yes","No")))</f>
        <v>N/A</v>
      </c>
      <c r="U369" t="s">
        <v>106</v>
      </c>
      <c r="V369" t="str">
        <f>R364</f>
        <v>No</v>
      </c>
      <c r="W369" t="str">
        <f>S364</f>
        <v>No</v>
      </c>
      <c r="X369" t="str">
        <f>IF(V369="N/A","N/A",IF(W369="N/A", "N/A", IF(V369=W369, "Yes","No")))</f>
        <v>Yes</v>
      </c>
    </row>
    <row r="370" spans="1:32" x14ac:dyDescent="0.2">
      <c r="A370" t="s">
        <v>249</v>
      </c>
      <c r="B370" t="s">
        <v>211</v>
      </c>
      <c r="C370">
        <v>0.21</v>
      </c>
      <c r="D370" t="s">
        <v>4</v>
      </c>
      <c r="E370" t="s">
        <v>9</v>
      </c>
      <c r="F370" s="2" t="str">
        <f t="shared" si="122"/>
        <v>No</v>
      </c>
      <c r="G370" t="s">
        <v>9</v>
      </c>
      <c r="H370" t="s">
        <v>43</v>
      </c>
      <c r="J370" s="2" t="s">
        <v>208</v>
      </c>
      <c r="K370" t="s">
        <v>120</v>
      </c>
      <c r="L370" t="s">
        <v>12</v>
      </c>
      <c r="M370" t="s">
        <v>66</v>
      </c>
      <c r="N370" t="str">
        <f>IF(K370="N/A","No", IF(K370&gt;20,"Yes","No"))</f>
        <v>No</v>
      </c>
      <c r="O370" t="str">
        <f>IF(K370="Not","No",IF(K370="n/a","N/A",IF(K370&gt;$Y$7,"Yes","No")))</f>
        <v>N/A</v>
      </c>
      <c r="U370" t="s">
        <v>121</v>
      </c>
      <c r="V370" t="str">
        <f>R365</f>
        <v>Yes</v>
      </c>
      <c r="W370" t="str">
        <f>S365</f>
        <v>No</v>
      </c>
      <c r="X370" t="str">
        <f>IF(V370="N/A","N/A",IF(W370="N/A", "N/A", IF(V370=W370, "Yes","No")))</f>
        <v>No</v>
      </c>
    </row>
    <row r="371" spans="1:32" x14ac:dyDescent="0.2">
      <c r="A371" t="s">
        <v>191</v>
      </c>
      <c r="B371" t="s">
        <v>238</v>
      </c>
      <c r="C371">
        <v>0.42</v>
      </c>
      <c r="D371" t="s">
        <v>4</v>
      </c>
      <c r="E371" t="s">
        <v>9</v>
      </c>
      <c r="F371" s="2" t="str">
        <f t="shared" si="122"/>
        <v>No</v>
      </c>
      <c r="G371" t="s">
        <v>9</v>
      </c>
      <c r="H371" t="s">
        <v>43</v>
      </c>
    </row>
    <row r="372" spans="1:32" x14ac:dyDescent="0.2">
      <c r="A372" t="s">
        <v>237</v>
      </c>
      <c r="B372" t="s">
        <v>189</v>
      </c>
      <c r="C372">
        <v>0.6</v>
      </c>
      <c r="D372" t="s">
        <v>4</v>
      </c>
      <c r="E372" t="s">
        <v>9</v>
      </c>
      <c r="F372" s="2" t="str">
        <f t="shared" si="122"/>
        <v>No</v>
      </c>
      <c r="G372" t="s">
        <v>9</v>
      </c>
      <c r="H372" t="s">
        <v>43</v>
      </c>
    </row>
    <row r="373" spans="1:32" x14ac:dyDescent="0.2">
      <c r="A373" t="s">
        <v>191</v>
      </c>
      <c r="B373" t="s">
        <v>214</v>
      </c>
      <c r="C373">
        <v>4</v>
      </c>
      <c r="D373" t="s">
        <v>33</v>
      </c>
      <c r="E373" t="s">
        <v>9</v>
      </c>
      <c r="F373" s="2" t="str">
        <f t="shared" ref="F373" si="127">IF(C373&gt;$W$6,"Yes","No")</f>
        <v>No</v>
      </c>
      <c r="G373" t="s">
        <v>9</v>
      </c>
    </row>
    <row r="374" spans="1:32" x14ac:dyDescent="0.2">
      <c r="F374" s="2"/>
    </row>
    <row r="375" spans="1:32" x14ac:dyDescent="0.2">
      <c r="F375" s="2"/>
    </row>
    <row r="376" spans="1:32" x14ac:dyDescent="0.2">
      <c r="A376" s="1">
        <f>VLOOKUP(C376,'Grid - LRA Samples'!$A$2:$B$108, 2,FALSE)</f>
        <v>1305</v>
      </c>
      <c r="B376" t="s">
        <v>319</v>
      </c>
      <c r="C376">
        <v>69</v>
      </c>
    </row>
    <row r="377" spans="1:32" x14ac:dyDescent="0.2">
      <c r="A377" s="5" t="s">
        <v>0</v>
      </c>
      <c r="E377" s="2" t="s">
        <v>274</v>
      </c>
      <c r="F377" s="2" t="s">
        <v>275</v>
      </c>
      <c r="G377" t="s">
        <v>119</v>
      </c>
      <c r="J377" s="5" t="s">
        <v>1</v>
      </c>
      <c r="N377" s="2" t="s">
        <v>277</v>
      </c>
      <c r="O377" t="s">
        <v>278</v>
      </c>
      <c r="Q377" s="5" t="s">
        <v>115</v>
      </c>
      <c r="R377" s="5" t="s">
        <v>0</v>
      </c>
      <c r="S377" s="5" t="s">
        <v>1</v>
      </c>
      <c r="U377" s="5" t="s">
        <v>115</v>
      </c>
      <c r="V377" s="5" t="s">
        <v>0</v>
      </c>
      <c r="W377" s="5" t="s">
        <v>1</v>
      </c>
      <c r="X377" s="5" t="s">
        <v>122</v>
      </c>
      <c r="AA377" t="str">
        <f>IF(R378="Yes","LRA-Soil","")</f>
        <v>LRA-Soil</v>
      </c>
      <c r="AB377" t="str">
        <f>IF(R379="Yes","LRA-Paint","")</f>
        <v>LRA-Paint</v>
      </c>
      <c r="AC377" t="str">
        <f>IF(R380="Yes","LRA-Dust","")</f>
        <v>LRA-Dust</v>
      </c>
      <c r="AD377" t="str">
        <f>IF(S378="Yes","LSK-Soil","")</f>
        <v>LSK-Soil</v>
      </c>
      <c r="AE377" t="str">
        <f>IF(S379="Yes","LSK-Paint","")</f>
        <v>LSK-Paint</v>
      </c>
      <c r="AF377" t="str">
        <f>IF(S380="Yes","LSK-Dust","")</f>
        <v/>
      </c>
    </row>
    <row r="378" spans="1:32" x14ac:dyDescent="0.2">
      <c r="A378" t="s">
        <v>153</v>
      </c>
      <c r="B378" t="s">
        <v>3</v>
      </c>
      <c r="C378">
        <v>14.6</v>
      </c>
      <c r="D378" t="s">
        <v>4</v>
      </c>
      <c r="F378" s="2" t="str">
        <f t="shared" ref="F378:F384" si="128">IF(C378&gt;=$W$2,"Yes","No")</f>
        <v>Yes</v>
      </c>
      <c r="G378" t="s">
        <v>5</v>
      </c>
      <c r="H378" t="s">
        <v>46</v>
      </c>
      <c r="J378" s="2" t="s">
        <v>6</v>
      </c>
      <c r="K378">
        <v>167</v>
      </c>
      <c r="L378" t="s">
        <v>12</v>
      </c>
      <c r="M378" t="s">
        <v>400</v>
      </c>
      <c r="N378" t="str">
        <f>IF(K378="N/A","No", IF(K378&gt;1200,"Yes","No"))</f>
        <v>No</v>
      </c>
      <c r="O378" t="str">
        <f>IF(K378="Not","No",IF(K378="n/a","N/A",IF(K378&gt;=$Y$3,"Yes","No")))</f>
        <v>No</v>
      </c>
      <c r="Q378" s="2" t="s">
        <v>116</v>
      </c>
      <c r="R378" t="str">
        <f>_xlfn.XLOOKUP("ppm",D378:D393,F378:F393,"N/A")</f>
        <v>Yes</v>
      </c>
      <c r="S378" t="str">
        <f>IF(COUNTIF(O378:O380,"Yes"),"Yes","No")</f>
        <v>Yes</v>
      </c>
      <c r="U378" t="s">
        <v>92</v>
      </c>
      <c r="V378" t="s">
        <v>120</v>
      </c>
      <c r="W378" t="str">
        <f>O378</f>
        <v>No</v>
      </c>
      <c r="X378" t="str">
        <f>IF(V378="N/A","N/A",IF(W378="N/A", "N/A", IF(V378=W378, "Yes","No")))</f>
        <v>N/A</v>
      </c>
    </row>
    <row r="379" spans="1:32" x14ac:dyDescent="0.2">
      <c r="A379" t="s">
        <v>63</v>
      </c>
      <c r="B379" t="s">
        <v>10</v>
      </c>
      <c r="C379">
        <v>12.4</v>
      </c>
      <c r="D379" t="s">
        <v>4</v>
      </c>
      <c r="F379" s="2" t="str">
        <f t="shared" si="128"/>
        <v>Yes</v>
      </c>
      <c r="G379" t="s">
        <v>5</v>
      </c>
      <c r="H379" t="s">
        <v>46</v>
      </c>
      <c r="J379" s="2" t="s">
        <v>11</v>
      </c>
      <c r="K379">
        <v>1443</v>
      </c>
      <c r="L379" t="s">
        <v>12</v>
      </c>
      <c r="M379" t="s">
        <v>401</v>
      </c>
      <c r="N379" t="str">
        <f t="shared" ref="N379:N380" si="129">IF(K379="N/A","No", IF(K379&gt;1200,"Yes","No"))</f>
        <v>Yes</v>
      </c>
      <c r="O379" t="str">
        <f t="shared" ref="O379:O380" si="130">IF(K379="Not","No",IF(K379="n/a","N/A",IF(K379&gt;$Y$3,"Yes","No")))</f>
        <v>Yes</v>
      </c>
      <c r="Q379" s="2" t="s">
        <v>98</v>
      </c>
      <c r="R379" t="str">
        <f>_xlfn.XLOOKUP("mg/cm2",D378:D393,G378:G393,"N/A",1,-1)</f>
        <v>Yes</v>
      </c>
      <c r="S379" t="str">
        <f>IF(COUNTIF(O381:O382,"Yes"),"Yes","No")</f>
        <v>Yes</v>
      </c>
      <c r="U379" t="s">
        <v>95</v>
      </c>
      <c r="V379" t="str">
        <f>R378</f>
        <v>Yes</v>
      </c>
      <c r="W379" t="str">
        <f>S378</f>
        <v>Yes</v>
      </c>
      <c r="X379" t="str">
        <f t="shared" ref="X379:X382" si="131">IF(V379="N/A","N/A",IF(W379="N/A", "N/A", IF(V379=W379, "Yes","No")))</f>
        <v>Yes</v>
      </c>
    </row>
    <row r="380" spans="1:32" x14ac:dyDescent="0.2">
      <c r="A380" t="s">
        <v>63</v>
      </c>
      <c r="B380" t="s">
        <v>203</v>
      </c>
      <c r="C380">
        <v>13</v>
      </c>
      <c r="D380" t="s">
        <v>4</v>
      </c>
      <c r="F380" s="2" t="str">
        <f t="shared" si="128"/>
        <v>Yes</v>
      </c>
      <c r="G380" t="s">
        <v>5</v>
      </c>
      <c r="H380" t="s">
        <v>46</v>
      </c>
      <c r="J380" s="2" t="s">
        <v>15</v>
      </c>
      <c r="K380" t="s">
        <v>120</v>
      </c>
      <c r="L380" t="s">
        <v>12</v>
      </c>
      <c r="M380" t="s">
        <v>66</v>
      </c>
      <c r="N380" t="str">
        <f t="shared" si="129"/>
        <v>No</v>
      </c>
      <c r="O380" t="str">
        <f t="shared" si="130"/>
        <v>N/A</v>
      </c>
      <c r="Q380" s="2" t="s">
        <v>117</v>
      </c>
      <c r="R380" t="str">
        <f>_xlfn.XLOOKUP("ug/ft2",D378:D393,F378:F393,"N/A")</f>
        <v>Yes</v>
      </c>
      <c r="S380" t="str">
        <f>IF(COUNTIF(O383:O386,"Yes"),"Yes","No")</f>
        <v>No</v>
      </c>
      <c r="U380" t="s">
        <v>163</v>
      </c>
      <c r="V380" t="s">
        <v>5</v>
      </c>
      <c r="W380" t="s">
        <v>9</v>
      </c>
      <c r="X380" t="str">
        <f t="shared" si="131"/>
        <v>No</v>
      </c>
    </row>
    <row r="381" spans="1:32" x14ac:dyDescent="0.2">
      <c r="A381" t="s">
        <v>63</v>
      </c>
      <c r="B381" t="s">
        <v>18</v>
      </c>
      <c r="C381">
        <v>14.6</v>
      </c>
      <c r="D381" t="s">
        <v>4</v>
      </c>
      <c r="F381" s="2" t="str">
        <f t="shared" si="128"/>
        <v>Yes</v>
      </c>
      <c r="G381" t="s">
        <v>5</v>
      </c>
      <c r="H381" t="s">
        <v>46</v>
      </c>
      <c r="J381" s="2" t="s">
        <v>19</v>
      </c>
      <c r="K381">
        <v>0</v>
      </c>
      <c r="L381" t="s">
        <v>12</v>
      </c>
      <c r="M381" t="s">
        <v>70</v>
      </c>
      <c r="N381" t="str">
        <f>IF(K381="N/A","No", IF(K381&gt;5000,"Yes","No"))</f>
        <v>No</v>
      </c>
      <c r="O381" t="str">
        <f>IF(K381="Not","No",IF(K381="n/a","N/A",IF(K381&gt;$Y$2,"Yes","No")))</f>
        <v>No</v>
      </c>
      <c r="Q381" s="2" t="s">
        <v>118</v>
      </c>
      <c r="R381" t="str">
        <f>IF(COUNTIF(R378:R380,"Yes"),"Yes","No")</f>
        <v>Yes</v>
      </c>
      <c r="S381" t="str">
        <f>IF(COUNTIF(S378:S380,"Yes"),"Yes","No")</f>
        <v>Yes</v>
      </c>
      <c r="U381" t="s">
        <v>164</v>
      </c>
      <c r="V381" t="s">
        <v>5</v>
      </c>
      <c r="W381" t="s">
        <v>5</v>
      </c>
      <c r="X381" t="str">
        <f t="shared" si="131"/>
        <v>Yes</v>
      </c>
    </row>
    <row r="382" spans="1:32" x14ac:dyDescent="0.2">
      <c r="A382" t="s">
        <v>63</v>
      </c>
      <c r="B382" t="s">
        <v>24</v>
      </c>
      <c r="C382">
        <v>21.1</v>
      </c>
      <c r="D382" t="s">
        <v>4</v>
      </c>
      <c r="F382" s="2" t="str">
        <f t="shared" si="128"/>
        <v>Yes</v>
      </c>
      <c r="G382" t="s">
        <v>5</v>
      </c>
      <c r="H382" t="s">
        <v>46</v>
      </c>
      <c r="J382" s="2" t="s">
        <v>22</v>
      </c>
      <c r="K382">
        <v>146104</v>
      </c>
      <c r="L382" t="s">
        <v>12</v>
      </c>
      <c r="M382" t="s">
        <v>402</v>
      </c>
      <c r="N382" t="str">
        <f>IF(K382="N/A","No", IF(K382&gt;5000,"Yes","No"))</f>
        <v>Yes</v>
      </c>
      <c r="O382" t="str">
        <f>IF(K382="Not","No",IF(K382="n/a","N/A",IF(K382&gt;$Y$2,"Yes","No")))</f>
        <v>Yes</v>
      </c>
      <c r="U382" t="s">
        <v>162</v>
      </c>
      <c r="V382" t="str">
        <f>R379</f>
        <v>Yes</v>
      </c>
      <c r="W382" t="str">
        <f>S379</f>
        <v>Yes</v>
      </c>
      <c r="X382" t="str">
        <f t="shared" si="131"/>
        <v>Yes</v>
      </c>
    </row>
    <row r="383" spans="1:32" x14ac:dyDescent="0.2">
      <c r="A383" t="s">
        <v>63</v>
      </c>
      <c r="B383" t="s">
        <v>24</v>
      </c>
      <c r="C383">
        <v>2.9</v>
      </c>
      <c r="D383" t="s">
        <v>4</v>
      </c>
      <c r="F383" s="2" t="str">
        <f t="shared" si="128"/>
        <v>Yes</v>
      </c>
      <c r="G383" t="s">
        <v>5</v>
      </c>
      <c r="H383" t="s">
        <v>46</v>
      </c>
      <c r="J383" s="2" t="s">
        <v>25</v>
      </c>
      <c r="K383">
        <v>64</v>
      </c>
      <c r="L383" t="s">
        <v>12</v>
      </c>
      <c r="M383" t="s">
        <v>48</v>
      </c>
      <c r="N383" t="str">
        <f>IF(K383="N/A","No", IF(K383&gt;230,"Yes","No"))</f>
        <v>No</v>
      </c>
      <c r="O383" t="str">
        <f>IF(K383="Not","No",IF(K383="n/a","N/A",IF(K383&gt;$Y$5,"Yes","No")))</f>
        <v>No</v>
      </c>
      <c r="U383" t="s">
        <v>101</v>
      </c>
      <c r="V383" t="s">
        <v>5</v>
      </c>
      <c r="W383" t="s">
        <v>9</v>
      </c>
      <c r="X383" t="str">
        <f>IF(V383="N/A","N/A",IF(W383="N/A", "N/A", IF(V383=W383, "Yes","No")))</f>
        <v>No</v>
      </c>
    </row>
    <row r="384" spans="1:32" x14ac:dyDescent="0.2">
      <c r="A384" t="s">
        <v>63</v>
      </c>
      <c r="B384" t="s">
        <v>24</v>
      </c>
      <c r="C384">
        <v>14.6</v>
      </c>
      <c r="D384" t="s">
        <v>4</v>
      </c>
      <c r="F384" s="2" t="str">
        <f t="shared" si="128"/>
        <v>Yes</v>
      </c>
      <c r="G384" t="s">
        <v>5</v>
      </c>
      <c r="H384" t="s">
        <v>46</v>
      </c>
      <c r="J384" s="2" t="s">
        <v>29</v>
      </c>
      <c r="K384">
        <v>0</v>
      </c>
      <c r="L384" t="s">
        <v>12</v>
      </c>
      <c r="M384" t="s">
        <v>72</v>
      </c>
      <c r="N384" t="str">
        <f>IF(K384="N/A","No", IF(K384&gt;20,"Yes","No"))</f>
        <v>No</v>
      </c>
      <c r="O384" t="str">
        <f t="shared" ref="O384:O385" si="132">IF(K384="Not","No",IF(K384="n/a","N/A",IF(K384&gt;$Y$6,"Yes","No")))</f>
        <v>No</v>
      </c>
      <c r="U384" t="s">
        <v>104</v>
      </c>
      <c r="V384" t="s">
        <v>5</v>
      </c>
      <c r="W384" t="s">
        <v>9</v>
      </c>
      <c r="X384" t="str">
        <f>IF(V384="N/A","N/A",IF(W384="N/A", "N/A", IF(V384=W384, "Yes","No")))</f>
        <v>No</v>
      </c>
    </row>
    <row r="385" spans="1:32" x14ac:dyDescent="0.2">
      <c r="A385" t="s">
        <v>75</v>
      </c>
      <c r="B385" t="s">
        <v>301</v>
      </c>
      <c r="C385">
        <v>1430</v>
      </c>
      <c r="D385" t="s">
        <v>12</v>
      </c>
      <c r="F385" s="2" t="str">
        <f t="shared" ref="F385" si="133">IF(C385&gt;$W$3,"Yes","No")</f>
        <v>Yes</v>
      </c>
      <c r="G385" t="s">
        <v>5</v>
      </c>
      <c r="J385" s="2" t="s">
        <v>34</v>
      </c>
      <c r="K385">
        <v>0</v>
      </c>
      <c r="L385" t="s">
        <v>12</v>
      </c>
      <c r="M385" t="s">
        <v>81</v>
      </c>
      <c r="N385" t="str">
        <f>IF(K385="N/A","No", IF(K385&gt;20,"Yes","No"))</f>
        <v>No</v>
      </c>
      <c r="O385" t="str">
        <f t="shared" si="132"/>
        <v>No</v>
      </c>
      <c r="U385" t="s">
        <v>106</v>
      </c>
      <c r="V385" t="str">
        <f>R380</f>
        <v>Yes</v>
      </c>
      <c r="W385" t="str">
        <f>S380</f>
        <v>No</v>
      </c>
      <c r="X385" t="str">
        <f>IF(V385="N/A","N/A",IF(W385="N/A", "N/A", IF(V385=W385, "Yes","No")))</f>
        <v>No</v>
      </c>
    </row>
    <row r="386" spans="1:32" x14ac:dyDescent="0.2">
      <c r="A386" t="s">
        <v>245</v>
      </c>
      <c r="B386" t="s">
        <v>40</v>
      </c>
      <c r="C386">
        <v>1.5</v>
      </c>
      <c r="D386" t="s">
        <v>4</v>
      </c>
      <c r="F386" s="2" t="str">
        <f t="shared" ref="F386:F390" si="134">IF(C386&gt;=$W$2,"Yes","No")</f>
        <v>Yes</v>
      </c>
      <c r="G386" t="s">
        <v>5</v>
      </c>
      <c r="H386" t="s">
        <v>43</v>
      </c>
      <c r="J386" s="2"/>
      <c r="U386" t="s">
        <v>121</v>
      </c>
      <c r="V386" t="str">
        <f>R381</f>
        <v>Yes</v>
      </c>
      <c r="W386" t="str">
        <f>S381</f>
        <v>Yes</v>
      </c>
      <c r="X386" t="str">
        <f>IF(V386="N/A","N/A",IF(W386="N/A", "N/A", IF(V386=W386, "Yes","No")))</f>
        <v>Yes</v>
      </c>
    </row>
    <row r="387" spans="1:32" x14ac:dyDescent="0.2">
      <c r="A387" t="s">
        <v>113</v>
      </c>
      <c r="B387" t="s">
        <v>40</v>
      </c>
      <c r="C387">
        <v>2.2999999999999998</v>
      </c>
      <c r="D387" t="s">
        <v>4</v>
      </c>
      <c r="F387" s="2" t="str">
        <f t="shared" si="134"/>
        <v>Yes</v>
      </c>
      <c r="G387" t="s">
        <v>5</v>
      </c>
      <c r="H387" t="s">
        <v>43</v>
      </c>
    </row>
    <row r="388" spans="1:32" x14ac:dyDescent="0.2">
      <c r="A388" t="s">
        <v>70</v>
      </c>
      <c r="B388" t="s">
        <v>40</v>
      </c>
      <c r="C388">
        <v>2.2999999999999998</v>
      </c>
      <c r="D388" t="s">
        <v>4</v>
      </c>
      <c r="F388" s="2" t="str">
        <f t="shared" si="134"/>
        <v>Yes</v>
      </c>
      <c r="G388" t="s">
        <v>5</v>
      </c>
      <c r="H388" t="s">
        <v>43</v>
      </c>
    </row>
    <row r="389" spans="1:32" x14ac:dyDescent="0.2">
      <c r="A389" t="s">
        <v>70</v>
      </c>
      <c r="B389" t="s">
        <v>40</v>
      </c>
      <c r="C389">
        <v>2.7</v>
      </c>
      <c r="D389" t="s">
        <v>4</v>
      </c>
      <c r="F389" s="2" t="str">
        <f t="shared" si="134"/>
        <v>Yes</v>
      </c>
      <c r="G389" t="s">
        <v>5</v>
      </c>
      <c r="H389" t="s">
        <v>43</v>
      </c>
    </row>
    <row r="390" spans="1:32" x14ac:dyDescent="0.2">
      <c r="A390" t="s">
        <v>70</v>
      </c>
      <c r="B390" t="s">
        <v>40</v>
      </c>
      <c r="C390">
        <v>1.3</v>
      </c>
      <c r="D390" t="s">
        <v>4</v>
      </c>
      <c r="F390" s="2" t="str">
        <f t="shared" si="134"/>
        <v>Yes</v>
      </c>
      <c r="G390" t="s">
        <v>5</v>
      </c>
      <c r="H390" t="s">
        <v>43</v>
      </c>
      <c r="AF390" t="str">
        <f>IF(S380="Yes","LSK-Dust","")</f>
        <v/>
      </c>
    </row>
    <row r="391" spans="1:32" x14ac:dyDescent="0.2">
      <c r="A391" t="s">
        <v>293</v>
      </c>
      <c r="B391" t="s">
        <v>54</v>
      </c>
      <c r="C391">
        <v>880</v>
      </c>
      <c r="D391" t="s">
        <v>33</v>
      </c>
      <c r="F391" s="2" t="str">
        <f t="shared" ref="F391:F392" si="135">IF(C391&gt;$W$5,"Yes","No")</f>
        <v>Yes</v>
      </c>
      <c r="G391" t="s">
        <v>5</v>
      </c>
    </row>
    <row r="392" spans="1:32" x14ac:dyDescent="0.2">
      <c r="A392" t="s">
        <v>71</v>
      </c>
      <c r="B392" t="s">
        <v>54</v>
      </c>
      <c r="C392">
        <v>2000</v>
      </c>
      <c r="D392" t="s">
        <v>33</v>
      </c>
      <c r="F392" s="2" t="str">
        <f t="shared" si="135"/>
        <v>Yes</v>
      </c>
      <c r="G392" t="s">
        <v>5</v>
      </c>
    </row>
    <row r="393" spans="1:32" x14ac:dyDescent="0.2">
      <c r="A393" t="s">
        <v>64</v>
      </c>
      <c r="B393" t="s">
        <v>32</v>
      </c>
      <c r="C393">
        <v>29</v>
      </c>
      <c r="D393" t="s">
        <v>33</v>
      </c>
      <c r="F393" s="2" t="str">
        <f t="shared" ref="F393" si="136">IF(C393&gt;$W$6,"Yes","No")</f>
        <v>Yes</v>
      </c>
      <c r="G393" t="s">
        <v>5</v>
      </c>
    </row>
    <row r="395" spans="1:32" x14ac:dyDescent="0.2">
      <c r="A395" s="1">
        <f>VLOOKUP(C395,'Grid - LRA Samples'!$A$2:$B$108, 2,FALSE)</f>
        <v>1310</v>
      </c>
      <c r="B395" t="s">
        <v>319</v>
      </c>
      <c r="C395">
        <v>70</v>
      </c>
    </row>
    <row r="396" spans="1:32" x14ac:dyDescent="0.2">
      <c r="A396" s="5" t="s">
        <v>0</v>
      </c>
      <c r="E396" s="2" t="s">
        <v>274</v>
      </c>
      <c r="F396" s="2" t="s">
        <v>275</v>
      </c>
      <c r="G396" t="s">
        <v>119</v>
      </c>
      <c r="J396" s="5" t="s">
        <v>1</v>
      </c>
      <c r="N396" s="2" t="s">
        <v>277</v>
      </c>
      <c r="O396" t="s">
        <v>278</v>
      </c>
      <c r="Q396" s="5" t="s">
        <v>115</v>
      </c>
      <c r="R396" s="5" t="s">
        <v>0</v>
      </c>
      <c r="S396" s="5" t="s">
        <v>1</v>
      </c>
      <c r="U396" s="5" t="s">
        <v>115</v>
      </c>
      <c r="V396" s="5" t="s">
        <v>0</v>
      </c>
      <c r="W396" s="5" t="s">
        <v>1</v>
      </c>
      <c r="X396" s="5" t="s">
        <v>122</v>
      </c>
      <c r="AA396" t="str">
        <f>IF(R397="Yes","LRA-Soil","")</f>
        <v/>
      </c>
      <c r="AB396" t="str">
        <f>IF(R398="Yes","LRA-Paint","")</f>
        <v>LRA-Paint</v>
      </c>
      <c r="AC396" t="str">
        <f>IF(R399="Yes","LRA-Dust","")</f>
        <v/>
      </c>
      <c r="AD396" t="str">
        <f>IF(S397="Yes","LSK-Soil","")</f>
        <v/>
      </c>
      <c r="AE396" t="str">
        <f>IF(S398="Yes","LSK-Paint","")</f>
        <v/>
      </c>
      <c r="AF396" t="str">
        <f>IF(S399="Yes","LSK-Dust","")</f>
        <v/>
      </c>
    </row>
    <row r="397" spans="1:32" x14ac:dyDescent="0.2">
      <c r="A397" t="s">
        <v>63</v>
      </c>
      <c r="B397" t="s">
        <v>24</v>
      </c>
      <c r="C397">
        <v>0.14000000000000001</v>
      </c>
      <c r="D397" t="s">
        <v>4</v>
      </c>
      <c r="F397" s="2" t="str">
        <f t="shared" ref="F397:F402" si="137">IF(C397&gt;=$W$2,"Yes","No")</f>
        <v>No</v>
      </c>
      <c r="G397" t="s">
        <v>9</v>
      </c>
      <c r="H397" t="s">
        <v>46</v>
      </c>
      <c r="J397" s="2" t="s">
        <v>6</v>
      </c>
      <c r="K397">
        <v>10</v>
      </c>
      <c r="L397" t="s">
        <v>12</v>
      </c>
      <c r="M397" t="s">
        <v>403</v>
      </c>
      <c r="N397" t="str">
        <f>IF(K397="N/A","No", IF(K397&gt;1200,"Yes","No"))</f>
        <v>No</v>
      </c>
      <c r="O397" t="str">
        <f>IF(K397="Not","No",IF(K397="n/a","N/A",IF(K397&gt;=$Y$3,"Yes","No")))</f>
        <v>No</v>
      </c>
      <c r="Q397" s="2" t="s">
        <v>116</v>
      </c>
      <c r="R397" t="str">
        <f>_xlfn.XLOOKUP("ppm",D397:D404,F397:F404,"N/A")</f>
        <v>No</v>
      </c>
      <c r="S397" t="str">
        <f>IF(COUNTIF(O397:O399,"Yes"),"Yes","No")</f>
        <v>No</v>
      </c>
      <c r="U397" t="s">
        <v>92</v>
      </c>
      <c r="V397" t="s">
        <v>120</v>
      </c>
      <c r="W397" t="s">
        <v>120</v>
      </c>
      <c r="X397" t="str">
        <f>IF(V397="N/A","N/A",IF(W397="N/A", "N/A", IF(V397=W397, "Yes","No")))</f>
        <v>N/A</v>
      </c>
    </row>
    <row r="398" spans="1:32" x14ac:dyDescent="0.2">
      <c r="A398" t="s">
        <v>75</v>
      </c>
      <c r="B398" t="s">
        <v>301</v>
      </c>
      <c r="C398">
        <v>59</v>
      </c>
      <c r="D398" t="s">
        <v>12</v>
      </c>
      <c r="F398" s="2" t="str">
        <f t="shared" ref="F398" si="138">IF(C398&gt;$W$3,"Yes","No")</f>
        <v>No</v>
      </c>
      <c r="G398" t="s">
        <v>9</v>
      </c>
      <c r="J398" s="2" t="s">
        <v>11</v>
      </c>
      <c r="K398">
        <v>41</v>
      </c>
      <c r="L398" t="s">
        <v>12</v>
      </c>
      <c r="M398" t="s">
        <v>404</v>
      </c>
      <c r="N398" t="str">
        <f t="shared" ref="N398:N399" si="139">IF(K398="N/A","No", IF(K398&gt;1200,"Yes","No"))</f>
        <v>No</v>
      </c>
      <c r="O398" t="str">
        <f t="shared" ref="O398:O399" si="140">IF(K398="Not","No",IF(K398="n/a","N/A",IF(K398&gt;$Y$3,"Yes","No")))</f>
        <v>No</v>
      </c>
      <c r="Q398" s="2" t="s">
        <v>98</v>
      </c>
      <c r="R398" s="30" t="s">
        <v>5</v>
      </c>
      <c r="S398" t="str">
        <f>IF(COUNTIF(O400:O401,"Yes"),"Yes","No")</f>
        <v>No</v>
      </c>
      <c r="U398" t="s">
        <v>95</v>
      </c>
      <c r="V398" t="str">
        <f>R397</f>
        <v>No</v>
      </c>
      <c r="W398" t="str">
        <f>S397</f>
        <v>No</v>
      </c>
      <c r="X398" t="str">
        <f t="shared" ref="X398:X401" si="141">IF(V398="N/A","N/A",IF(W398="N/A", "N/A", IF(V398=W398, "Yes","No")))</f>
        <v>Yes</v>
      </c>
    </row>
    <row r="399" spans="1:32" x14ac:dyDescent="0.2">
      <c r="A399" t="s">
        <v>113</v>
      </c>
      <c r="B399" t="s">
        <v>40</v>
      </c>
      <c r="C399">
        <v>3.2</v>
      </c>
      <c r="D399" t="s">
        <v>4</v>
      </c>
      <c r="F399" s="2" t="str">
        <f t="shared" si="137"/>
        <v>Yes</v>
      </c>
      <c r="G399" t="s">
        <v>9</v>
      </c>
      <c r="H399" t="s">
        <v>43</v>
      </c>
      <c r="J399" s="2" t="s">
        <v>15</v>
      </c>
      <c r="K399">
        <v>33</v>
      </c>
      <c r="L399" t="s">
        <v>12</v>
      </c>
      <c r="M399" t="s">
        <v>67</v>
      </c>
      <c r="N399" t="str">
        <f t="shared" si="139"/>
        <v>No</v>
      </c>
      <c r="O399" t="str">
        <f t="shared" si="140"/>
        <v>No</v>
      </c>
      <c r="Q399" s="2" t="s">
        <v>117</v>
      </c>
      <c r="R399" t="str">
        <f>_xlfn.XLOOKUP("ug/ft2",D397:D404,F397:F404,"N/A")</f>
        <v>No</v>
      </c>
      <c r="S399" t="str">
        <f>IF(COUNTIF(O402:O405,"Yes"),"Yes","No")</f>
        <v>No</v>
      </c>
      <c r="U399" t="s">
        <v>163</v>
      </c>
      <c r="V399" t="s">
        <v>5</v>
      </c>
      <c r="W399" t="s">
        <v>9</v>
      </c>
      <c r="X399" t="str">
        <f t="shared" si="141"/>
        <v>No</v>
      </c>
    </row>
    <row r="400" spans="1:32" x14ac:dyDescent="0.2">
      <c r="A400" t="s">
        <v>71</v>
      </c>
      <c r="B400" t="s">
        <v>40</v>
      </c>
      <c r="C400">
        <v>1.5</v>
      </c>
      <c r="D400" t="s">
        <v>4</v>
      </c>
      <c r="F400" s="2" t="str">
        <f t="shared" si="137"/>
        <v>Yes</v>
      </c>
      <c r="G400" t="s">
        <v>9</v>
      </c>
      <c r="H400" t="s">
        <v>43</v>
      </c>
      <c r="J400" s="2" t="s">
        <v>19</v>
      </c>
      <c r="K400">
        <v>507</v>
      </c>
      <c r="L400" t="s">
        <v>12</v>
      </c>
      <c r="M400" t="s">
        <v>70</v>
      </c>
      <c r="N400" t="str">
        <f>IF(K400="N/A","No", IF(K400&gt;5000,"Yes","No"))</f>
        <v>No</v>
      </c>
      <c r="O400" t="str">
        <f>IF(K400="Not","No",IF(K400="n/a","N/A",IF(K400&gt;$Y$2,"Yes","No")))</f>
        <v>No</v>
      </c>
      <c r="Q400" s="2" t="s">
        <v>118</v>
      </c>
      <c r="R400" t="str">
        <f>IF(COUNTIF(R397:R399,"Yes"),"Yes","No")</f>
        <v>Yes</v>
      </c>
      <c r="S400" t="str">
        <f>IF(COUNTIF(S397:S399,"Yes"),"Yes","No")</f>
        <v>No</v>
      </c>
      <c r="U400" t="s">
        <v>164</v>
      </c>
      <c r="V400" t="s">
        <v>9</v>
      </c>
      <c r="W400" t="s">
        <v>9</v>
      </c>
      <c r="X400" t="str">
        <f t="shared" si="141"/>
        <v>Yes</v>
      </c>
    </row>
    <row r="401" spans="1:32" x14ac:dyDescent="0.2">
      <c r="A401" t="s">
        <v>70</v>
      </c>
      <c r="B401" t="s">
        <v>40</v>
      </c>
      <c r="C401">
        <v>1.7</v>
      </c>
      <c r="D401" t="s">
        <v>4</v>
      </c>
      <c r="F401" s="2" t="str">
        <f t="shared" si="137"/>
        <v>Yes</v>
      </c>
      <c r="G401" t="s">
        <v>5</v>
      </c>
      <c r="H401" t="s">
        <v>43</v>
      </c>
      <c r="J401" s="2" t="s">
        <v>22</v>
      </c>
      <c r="K401">
        <v>0</v>
      </c>
      <c r="L401" t="s">
        <v>12</v>
      </c>
      <c r="M401" t="s">
        <v>36</v>
      </c>
      <c r="N401" t="str">
        <f>IF(K401="N/A","No", IF(K401&gt;5000,"Yes","No"))</f>
        <v>No</v>
      </c>
      <c r="O401" t="str">
        <f>IF(K401="Not","No",IF(K401="n/a","N/A",IF(K401&gt;$Y$2,"Yes","No")))</f>
        <v>No</v>
      </c>
      <c r="U401" t="s">
        <v>162</v>
      </c>
      <c r="V401" t="str">
        <f>R398</f>
        <v>Yes</v>
      </c>
      <c r="W401" t="str">
        <f>S398</f>
        <v>No</v>
      </c>
      <c r="X401" t="str">
        <f t="shared" si="141"/>
        <v>No</v>
      </c>
    </row>
    <row r="402" spans="1:32" x14ac:dyDescent="0.2">
      <c r="A402" t="s">
        <v>70</v>
      </c>
      <c r="B402" t="s">
        <v>40</v>
      </c>
      <c r="C402">
        <v>1</v>
      </c>
      <c r="D402" t="s">
        <v>4</v>
      </c>
      <c r="F402" s="2" t="str">
        <f t="shared" si="137"/>
        <v>Yes</v>
      </c>
      <c r="G402" t="s">
        <v>9</v>
      </c>
      <c r="H402" t="s">
        <v>43</v>
      </c>
      <c r="J402" s="2" t="s">
        <v>25</v>
      </c>
      <c r="K402">
        <v>0</v>
      </c>
      <c r="L402" t="s">
        <v>12</v>
      </c>
      <c r="M402" t="s">
        <v>405</v>
      </c>
      <c r="N402" t="str">
        <f t="shared" ref="N402:N404" si="142">IF(K402="N/A","No", IF(K402&gt;20,"Yes","No"))</f>
        <v>No</v>
      </c>
      <c r="O402" t="str">
        <f>IF(K402="Not","No",IF(K402="n/a","N/A",IF(K402&gt;$Y$5,"Yes","No")))</f>
        <v>No</v>
      </c>
      <c r="U402" t="s">
        <v>101</v>
      </c>
      <c r="V402" t="s">
        <v>9</v>
      </c>
      <c r="W402" t="s">
        <v>9</v>
      </c>
      <c r="X402" t="str">
        <f>IF(V402="N/A","N/A",IF(W402="N/A", "N/A", IF(V402=W402, "Yes","No")))</f>
        <v>Yes</v>
      </c>
    </row>
    <row r="403" spans="1:32" x14ac:dyDescent="0.2">
      <c r="A403" t="s">
        <v>293</v>
      </c>
      <c r="B403" t="s">
        <v>32</v>
      </c>
      <c r="C403">
        <v>3</v>
      </c>
      <c r="D403" t="s">
        <v>33</v>
      </c>
      <c r="F403" s="2" t="str">
        <f t="shared" ref="F403" si="143">IF(C403&gt;$W$6,"Yes","No")</f>
        <v>No</v>
      </c>
      <c r="G403" t="s">
        <v>9</v>
      </c>
      <c r="J403" s="2" t="s">
        <v>29</v>
      </c>
      <c r="K403">
        <v>0</v>
      </c>
      <c r="L403" t="s">
        <v>12</v>
      </c>
      <c r="M403" t="s">
        <v>60</v>
      </c>
      <c r="N403" t="str">
        <f t="shared" si="142"/>
        <v>No</v>
      </c>
      <c r="O403" t="str">
        <f t="shared" ref="O403:O404" si="144">IF(K403="Not","No",IF(K403="n/a","N/A",IF(K403&gt;$Y$6,"Yes","No")))</f>
        <v>No</v>
      </c>
      <c r="U403" t="s">
        <v>104</v>
      </c>
      <c r="V403" t="s">
        <v>9</v>
      </c>
      <c r="W403" t="s">
        <v>9</v>
      </c>
      <c r="X403" t="str">
        <f>IF(V403="N/A","N/A",IF(W403="N/A", "N/A", IF(V403=W403, "Yes","No")))</f>
        <v>Yes</v>
      </c>
    </row>
    <row r="404" spans="1:32" x14ac:dyDescent="0.2">
      <c r="A404" t="s">
        <v>293</v>
      </c>
      <c r="B404" t="s">
        <v>54</v>
      </c>
      <c r="C404">
        <v>14</v>
      </c>
      <c r="D404" t="s">
        <v>33</v>
      </c>
      <c r="F404" s="2" t="str">
        <f t="shared" ref="F404" si="145">IF(C404&gt;$W$5,"Yes","No")</f>
        <v>No</v>
      </c>
      <c r="G404" t="s">
        <v>9</v>
      </c>
      <c r="J404" s="2" t="s">
        <v>34</v>
      </c>
      <c r="K404">
        <v>0</v>
      </c>
      <c r="L404" t="s">
        <v>12</v>
      </c>
      <c r="M404" t="s">
        <v>406</v>
      </c>
      <c r="N404" t="str">
        <f t="shared" si="142"/>
        <v>No</v>
      </c>
      <c r="O404" t="str">
        <f t="shared" si="144"/>
        <v>No</v>
      </c>
      <c r="U404" t="s">
        <v>106</v>
      </c>
      <c r="V404" t="str">
        <f>R399</f>
        <v>No</v>
      </c>
      <c r="W404" t="str">
        <f>S399</f>
        <v>No</v>
      </c>
      <c r="X404" t="str">
        <f>IF(V404="N/A","N/A",IF(W404="N/A", "N/A", IF(V404=W404, "Yes","No")))</f>
        <v>Yes</v>
      </c>
    </row>
    <row r="405" spans="1:32" x14ac:dyDescent="0.2">
      <c r="F405" s="2"/>
      <c r="J405" s="2"/>
      <c r="U405" t="s">
        <v>121</v>
      </c>
      <c r="V405" t="str">
        <f>R400</f>
        <v>Yes</v>
      </c>
      <c r="W405" t="str">
        <f>S400</f>
        <v>No</v>
      </c>
      <c r="X405" t="str">
        <f>IF(V405="N/A","N/A",IF(W405="N/A", "N/A", IF(V405=W405, "Yes","No")))</f>
        <v>No</v>
      </c>
    </row>
    <row r="406" spans="1:32" x14ac:dyDescent="0.2">
      <c r="F406" s="2"/>
    </row>
    <row r="407" spans="1:32" x14ac:dyDescent="0.2">
      <c r="A407" s="1">
        <f>VLOOKUP(C407,'Grid - LRA Samples'!$A$2:$B$108, 2,FALSE)</f>
        <v>1317</v>
      </c>
      <c r="B407" t="s">
        <v>319</v>
      </c>
      <c r="C407">
        <v>71</v>
      </c>
    </row>
    <row r="408" spans="1:32" x14ac:dyDescent="0.2">
      <c r="A408" s="5" t="s">
        <v>0</v>
      </c>
      <c r="E408" s="2" t="s">
        <v>274</v>
      </c>
      <c r="F408" s="2" t="s">
        <v>275</v>
      </c>
      <c r="G408" t="s">
        <v>119</v>
      </c>
      <c r="J408" s="5" t="s">
        <v>1</v>
      </c>
      <c r="N408" s="2" t="s">
        <v>277</v>
      </c>
      <c r="O408" t="s">
        <v>278</v>
      </c>
      <c r="Q408" s="5" t="s">
        <v>115</v>
      </c>
      <c r="R408" s="5" t="s">
        <v>0</v>
      </c>
      <c r="S408" s="5" t="s">
        <v>1</v>
      </c>
      <c r="U408" s="5" t="s">
        <v>115</v>
      </c>
      <c r="V408" s="5" t="s">
        <v>0</v>
      </c>
      <c r="W408" s="5" t="s">
        <v>1</v>
      </c>
      <c r="X408" s="5" t="s">
        <v>122</v>
      </c>
      <c r="AA408" t="str">
        <f>IF(R409="Yes","LRA-Soil","")</f>
        <v/>
      </c>
      <c r="AB408" t="str">
        <f>IF(R410="Yes","LRA-Paint","")</f>
        <v/>
      </c>
      <c r="AC408" t="str">
        <f>IF(R411="Yes","LRA-Dust","")</f>
        <v>LRA-Dust</v>
      </c>
      <c r="AD408" t="str">
        <f>IF(S409="Yes","LSK-Soil","")</f>
        <v/>
      </c>
      <c r="AE408" t="str">
        <f>IF(S410="Yes","LSK-Paint","")</f>
        <v/>
      </c>
      <c r="AF408" t="str">
        <f>IF(S411="Yes","LSK-Dust","")</f>
        <v/>
      </c>
    </row>
    <row r="409" spans="1:32" x14ac:dyDescent="0.2">
      <c r="A409" t="s">
        <v>63</v>
      </c>
      <c r="B409" t="s">
        <v>10</v>
      </c>
      <c r="C409">
        <v>1.5</v>
      </c>
      <c r="D409" t="s">
        <v>4</v>
      </c>
      <c r="F409" s="2" t="str">
        <f t="shared" ref="F409" si="146">IF(C409&gt;=$W$2,"Yes","No")</f>
        <v>Yes</v>
      </c>
      <c r="G409" t="s">
        <v>5</v>
      </c>
      <c r="H409" t="s">
        <v>46</v>
      </c>
      <c r="J409" s="2" t="s">
        <v>6</v>
      </c>
      <c r="K409">
        <v>374</v>
      </c>
      <c r="L409" t="s">
        <v>12</v>
      </c>
      <c r="M409" t="s">
        <v>407</v>
      </c>
      <c r="N409" t="str">
        <f>IF(K409="N/A","No", IF(K409&gt;1200,"Yes","No"))</f>
        <v>No</v>
      </c>
      <c r="O409" t="str">
        <f>IF(K409="Not","No",IF(K409="n/a","N/A",IF(K409&gt;=$Y$3,"Yes","No")))</f>
        <v>No</v>
      </c>
      <c r="Q409" s="2" t="s">
        <v>116</v>
      </c>
      <c r="R409" t="str">
        <f>_xlfn.XLOOKUP("ppm",D409:D416,F409:F416,"N/A")</f>
        <v>No</v>
      </c>
      <c r="S409" t="str">
        <f>IF(COUNTIF(O409:O411,"Yes"),"Yes","No")</f>
        <v>No</v>
      </c>
      <c r="U409" t="s">
        <v>92</v>
      </c>
      <c r="V409" t="s">
        <v>120</v>
      </c>
      <c r="W409" t="s">
        <v>120</v>
      </c>
      <c r="X409" t="str">
        <f>IF(V409="N/A","N/A",IF(W409="N/A", "N/A", IF(V409=W409, "Yes","No")))</f>
        <v>N/A</v>
      </c>
      <c r="AF409" t="str">
        <f>IF(S399="Yes","LSK-Dust","")</f>
        <v/>
      </c>
    </row>
    <row r="410" spans="1:32" x14ac:dyDescent="0.2">
      <c r="A410" t="s">
        <v>83</v>
      </c>
      <c r="B410" t="s">
        <v>399</v>
      </c>
      <c r="C410" t="s">
        <v>397</v>
      </c>
      <c r="D410" t="s">
        <v>12</v>
      </c>
      <c r="F410" s="29" t="s">
        <v>9</v>
      </c>
      <c r="G410" t="s">
        <v>9</v>
      </c>
      <c r="J410" s="2" t="s">
        <v>11</v>
      </c>
      <c r="K410">
        <v>37</v>
      </c>
      <c r="L410" t="s">
        <v>12</v>
      </c>
      <c r="M410" t="s">
        <v>408</v>
      </c>
      <c r="N410" t="str">
        <f t="shared" ref="N410:N411" si="147">IF(K410="N/A","No", IF(K410&gt;1200,"Yes","No"))</f>
        <v>No</v>
      </c>
      <c r="O410" t="str">
        <f t="shared" ref="O410:O411" si="148">IF(K410="Not","No",IF(K410="n/a","N/A",IF(K410&gt;$Y$3,"Yes","No")))</f>
        <v>No</v>
      </c>
      <c r="Q410" s="2" t="s">
        <v>98</v>
      </c>
      <c r="R410" t="str">
        <f>_xlfn.XLOOKUP("mg/cm2",D409:D413,G409:G413,"N/A",1,-1)</f>
        <v>No</v>
      </c>
      <c r="S410" t="str">
        <f>IF(COUNTIF(O412:O413,"Yes"),"Yes","No")</f>
        <v>No</v>
      </c>
      <c r="U410" t="s">
        <v>95</v>
      </c>
      <c r="V410" t="str">
        <f>R409</f>
        <v>No</v>
      </c>
      <c r="W410" t="str">
        <f>S409</f>
        <v>No</v>
      </c>
      <c r="X410" t="str">
        <f t="shared" ref="X410:X413" si="149">IF(V410="N/A","N/A",IF(W410="N/A", "N/A", IF(V410=W410, "Yes","No")))</f>
        <v>Yes</v>
      </c>
    </row>
    <row r="411" spans="1:32" x14ac:dyDescent="0.2">
      <c r="A411" t="s">
        <v>113</v>
      </c>
      <c r="B411" t="s">
        <v>155</v>
      </c>
      <c r="C411">
        <v>0.28999999999999998</v>
      </c>
      <c r="D411" t="s">
        <v>4</v>
      </c>
      <c r="F411" s="2" t="str">
        <f t="shared" ref="F411:F412" si="150">IF(C411&gt;=$W$2,"Yes","No")</f>
        <v>No</v>
      </c>
      <c r="G411" t="s">
        <v>9</v>
      </c>
      <c r="H411" t="s">
        <v>43</v>
      </c>
      <c r="J411" s="2" t="s">
        <v>15</v>
      </c>
      <c r="K411">
        <v>79</v>
      </c>
      <c r="L411" t="s">
        <v>12</v>
      </c>
      <c r="M411" t="s">
        <v>409</v>
      </c>
      <c r="N411" t="str">
        <f t="shared" si="147"/>
        <v>No</v>
      </c>
      <c r="O411" t="str">
        <f t="shared" si="148"/>
        <v>No</v>
      </c>
      <c r="Q411" s="2" t="s">
        <v>117</v>
      </c>
      <c r="R411" t="str">
        <f>_xlfn.XLOOKUP("ug/ft2",D409:D413,F409:F413,"N/A")</f>
        <v>Yes</v>
      </c>
      <c r="S411" t="str">
        <f>IF(COUNTIF(O414:O417,"Yes"),"Yes","No")</f>
        <v>No</v>
      </c>
      <c r="U411" t="s">
        <v>163</v>
      </c>
      <c r="V411" t="s">
        <v>9</v>
      </c>
      <c r="W411" t="s">
        <v>9</v>
      </c>
      <c r="X411" t="str">
        <f t="shared" si="149"/>
        <v>Yes</v>
      </c>
    </row>
    <row r="412" spans="1:32" x14ac:dyDescent="0.2">
      <c r="A412" t="s">
        <v>70</v>
      </c>
      <c r="B412" t="s">
        <v>155</v>
      </c>
      <c r="C412">
        <v>16.5</v>
      </c>
      <c r="D412" t="s">
        <v>4</v>
      </c>
      <c r="F412" s="2" t="str">
        <f t="shared" si="150"/>
        <v>Yes</v>
      </c>
      <c r="G412" t="s">
        <v>9</v>
      </c>
      <c r="H412" t="s">
        <v>43</v>
      </c>
      <c r="J412" s="2" t="s">
        <v>19</v>
      </c>
      <c r="K412">
        <v>1</v>
      </c>
      <c r="L412" t="s">
        <v>12</v>
      </c>
      <c r="M412" t="s">
        <v>70</v>
      </c>
      <c r="N412" t="str">
        <f>IF(K412="N/A","No", IF(K412&gt;5000,"Yes","No"))</f>
        <v>No</v>
      </c>
      <c r="O412" t="str">
        <f>IF(K412="Not","No",IF(K412="n/a","N/A",IF(K412&gt;$Y$2,"Yes","No")))</f>
        <v>No</v>
      </c>
      <c r="Q412" s="2" t="s">
        <v>118</v>
      </c>
      <c r="R412" t="str">
        <f>IF(COUNTIF(R409:R411,"Yes"),"Yes","No")</f>
        <v>Yes</v>
      </c>
      <c r="S412" t="str">
        <f>IF(COUNTIF(S409:S411,"Yes"),"Yes","No")</f>
        <v>No</v>
      </c>
      <c r="U412" t="s">
        <v>164</v>
      </c>
      <c r="V412" t="s">
        <v>5</v>
      </c>
      <c r="W412" t="s">
        <v>9</v>
      </c>
      <c r="X412" t="str">
        <f t="shared" si="149"/>
        <v>No</v>
      </c>
    </row>
    <row r="413" spans="1:32" x14ac:dyDescent="0.2">
      <c r="A413" t="s">
        <v>109</v>
      </c>
      <c r="B413" t="s">
        <v>32</v>
      </c>
      <c r="C413">
        <v>19</v>
      </c>
      <c r="D413" t="s">
        <v>33</v>
      </c>
      <c r="F413" s="2" t="str">
        <f t="shared" ref="F413" si="151">IF(C413&gt;$W$6,"Yes","No")</f>
        <v>Yes</v>
      </c>
      <c r="G413" t="s">
        <v>5</v>
      </c>
      <c r="J413" s="2" t="s">
        <v>22</v>
      </c>
      <c r="K413">
        <v>41</v>
      </c>
      <c r="L413" t="s">
        <v>12</v>
      </c>
      <c r="M413" t="s">
        <v>62</v>
      </c>
      <c r="N413" t="str">
        <f>IF(K413="N/A","No", IF(K413&gt;5000,"Yes","No"))</f>
        <v>No</v>
      </c>
      <c r="O413" t="str">
        <f>IF(K413="Not","No",IF(K413="n/a","N/A",IF(K413&gt;$Y$2,"Yes","No")))</f>
        <v>No</v>
      </c>
      <c r="U413" t="s">
        <v>162</v>
      </c>
      <c r="V413" t="str">
        <f>R410</f>
        <v>No</v>
      </c>
      <c r="W413" t="str">
        <f>S410</f>
        <v>No</v>
      </c>
      <c r="X413" t="str">
        <f t="shared" si="149"/>
        <v>Yes</v>
      </c>
    </row>
    <row r="414" spans="1:32" x14ac:dyDescent="0.2">
      <c r="F414" s="2"/>
      <c r="J414" s="2" t="s">
        <v>25</v>
      </c>
      <c r="K414">
        <v>0</v>
      </c>
      <c r="L414" t="s">
        <v>12</v>
      </c>
      <c r="M414" t="s">
        <v>410</v>
      </c>
      <c r="N414" t="str">
        <f>IF(K414="N/A","No", IF(K414&gt;230,"Yes","No"))</f>
        <v>No</v>
      </c>
      <c r="O414" t="str">
        <f>IF(K414="Not","No",IF(K414="n/a","N/A",IF(K414&gt;$Y$5,"Yes","No")))</f>
        <v>No</v>
      </c>
      <c r="U414" t="s">
        <v>101</v>
      </c>
      <c r="V414" t="s">
        <v>5</v>
      </c>
      <c r="W414" t="s">
        <v>9</v>
      </c>
      <c r="X414" t="str">
        <f>IF(V414="N/A","N/A",IF(W414="N/A", "N/A", IF(V414=W414, "Yes","No")))</f>
        <v>No</v>
      </c>
    </row>
    <row r="415" spans="1:32" x14ac:dyDescent="0.2">
      <c r="F415" s="2"/>
      <c r="J415" s="2" t="s">
        <v>29</v>
      </c>
      <c r="K415">
        <v>6</v>
      </c>
      <c r="L415" t="s">
        <v>12</v>
      </c>
      <c r="M415" t="s">
        <v>411</v>
      </c>
      <c r="N415" t="str">
        <f>IF(K415="N/A","No", IF(K415&gt;20,"Yes","No"))</f>
        <v>No</v>
      </c>
      <c r="O415" t="str">
        <f t="shared" ref="O415:O416" si="152">IF(K415="Not","No",IF(K415="n/a","N/A",IF(K415&gt;$Y$6,"Yes","No")))</f>
        <v>No</v>
      </c>
      <c r="U415" t="s">
        <v>104</v>
      </c>
      <c r="V415" t="s">
        <v>120</v>
      </c>
      <c r="W415" t="s">
        <v>9</v>
      </c>
      <c r="X415" t="str">
        <f>IF(V415="N/A","N/A",IF(W415="N/A", "N/A", IF(V415=W415, "Yes","No")))</f>
        <v>N/A</v>
      </c>
    </row>
    <row r="416" spans="1:32" x14ac:dyDescent="0.2">
      <c r="F416" s="2"/>
      <c r="J416" s="2" t="s">
        <v>34</v>
      </c>
      <c r="K416">
        <v>7</v>
      </c>
      <c r="L416" t="s">
        <v>12</v>
      </c>
      <c r="M416" t="s">
        <v>412</v>
      </c>
      <c r="N416" t="str">
        <f>IF(K416="N/A","No", IF(K416&gt;20,"Yes","No"))</f>
        <v>No</v>
      </c>
      <c r="O416" t="str">
        <f t="shared" si="152"/>
        <v>No</v>
      </c>
      <c r="U416" t="s">
        <v>106</v>
      </c>
      <c r="V416" t="str">
        <f>R411</f>
        <v>Yes</v>
      </c>
      <c r="W416" t="str">
        <f>S411</f>
        <v>No</v>
      </c>
      <c r="X416" t="str">
        <f>IF(V416="N/A","N/A",IF(W416="N/A", "N/A", IF(V416=W416, "Yes","No")))</f>
        <v>No</v>
      </c>
    </row>
    <row r="417" spans="1:32" x14ac:dyDescent="0.2">
      <c r="F417" s="2"/>
      <c r="J417" s="2"/>
      <c r="U417" t="s">
        <v>121</v>
      </c>
      <c r="V417" t="str">
        <f>R412</f>
        <v>Yes</v>
      </c>
      <c r="W417" t="str">
        <f>S412</f>
        <v>No</v>
      </c>
      <c r="X417" t="str">
        <f>IF(V417="N/A","N/A",IF(W417="N/A", "N/A", IF(V417=W417, "Yes","No")))</f>
        <v>No</v>
      </c>
    </row>
    <row r="419" spans="1:32" x14ac:dyDescent="0.2">
      <c r="A419" s="1">
        <f>VLOOKUP(C419,'Grid - LRA Samples'!$A$2:$B$108, 2,FALSE)</f>
        <v>1347</v>
      </c>
      <c r="B419" t="s">
        <v>319</v>
      </c>
      <c r="C419">
        <v>75</v>
      </c>
    </row>
    <row r="420" spans="1:32" x14ac:dyDescent="0.2">
      <c r="A420" s="5" t="s">
        <v>0</v>
      </c>
      <c r="E420" s="2" t="s">
        <v>274</v>
      </c>
      <c r="F420" s="2" t="s">
        <v>275</v>
      </c>
      <c r="G420" t="s">
        <v>119</v>
      </c>
      <c r="J420" s="5" t="s">
        <v>1</v>
      </c>
      <c r="N420" s="2" t="s">
        <v>277</v>
      </c>
      <c r="O420" t="s">
        <v>278</v>
      </c>
      <c r="Q420" s="5" t="s">
        <v>115</v>
      </c>
      <c r="R420" s="5" t="s">
        <v>0</v>
      </c>
      <c r="S420" s="5" t="s">
        <v>1</v>
      </c>
      <c r="U420" s="5" t="s">
        <v>115</v>
      </c>
      <c r="V420" s="5" t="s">
        <v>0</v>
      </c>
      <c r="W420" s="5" t="s">
        <v>1</v>
      </c>
      <c r="X420" s="5" t="s">
        <v>122</v>
      </c>
      <c r="AA420" t="str">
        <f>IF(R421="Yes","LRA-Soil","")</f>
        <v/>
      </c>
      <c r="AB420" t="str">
        <f>IF(R422="Yes","LRA-Paint","")</f>
        <v/>
      </c>
      <c r="AC420" t="str">
        <f>IF(R423="Yes","LRA-Dust","")</f>
        <v/>
      </c>
      <c r="AD420" t="str">
        <f>IF(S421="Yes","LSK-Soil","")</f>
        <v/>
      </c>
      <c r="AE420" t="str">
        <f>IF(S422="Yes","LSK-Paint","")</f>
        <v/>
      </c>
      <c r="AF420" t="str">
        <f>IF(S423="Yes","LSK-Dust","")</f>
        <v/>
      </c>
    </row>
    <row r="421" spans="1:32" x14ac:dyDescent="0.2">
      <c r="A421" t="s">
        <v>63</v>
      </c>
      <c r="B421" t="s">
        <v>10</v>
      </c>
      <c r="C421">
        <v>0</v>
      </c>
      <c r="D421" t="s">
        <v>4</v>
      </c>
      <c r="F421" s="2" t="str">
        <f t="shared" ref="F421:F426" si="153">IF(C421&gt;=$W$2,"Yes","No")</f>
        <v>No</v>
      </c>
      <c r="G421" t="s">
        <v>9</v>
      </c>
      <c r="H421" t="s">
        <v>46</v>
      </c>
      <c r="J421" s="2" t="s">
        <v>6</v>
      </c>
      <c r="K421">
        <v>2</v>
      </c>
      <c r="L421" t="s">
        <v>12</v>
      </c>
      <c r="M421" t="s">
        <v>415</v>
      </c>
      <c r="N421" t="str">
        <f>IF(K421="N/A","No", IF(K421&gt;1200,"Yes","No"))</f>
        <v>No</v>
      </c>
      <c r="O421" t="str">
        <f>IF(K421="Not","No",IF(K421="n/a","N/A",IF(K421&gt;=$Y$3,"Yes","No")))</f>
        <v>No</v>
      </c>
      <c r="Q421" s="2" t="s">
        <v>116</v>
      </c>
      <c r="R421" t="str">
        <f>_xlfn.XLOOKUP("ppm",D421:D428,F421:F428,"N/A")</f>
        <v>No</v>
      </c>
      <c r="S421" t="str">
        <f>IF(COUNTIF(O421:O423,"Yes"),"Yes","No")</f>
        <v>No</v>
      </c>
      <c r="U421" t="s">
        <v>92</v>
      </c>
      <c r="V421" t="s">
        <v>120</v>
      </c>
      <c r="W421" t="s">
        <v>120</v>
      </c>
      <c r="X421" t="str">
        <f>IF(V421="N/A","N/A",IF(W421="N/A", "N/A", IF(V421=W421, "Yes","No")))</f>
        <v>N/A</v>
      </c>
    </row>
    <row r="422" spans="1:32" x14ac:dyDescent="0.2">
      <c r="A422" t="s">
        <v>83</v>
      </c>
      <c r="B422" t="s">
        <v>399</v>
      </c>
      <c r="C422" t="s">
        <v>397</v>
      </c>
      <c r="D422" t="s">
        <v>12</v>
      </c>
      <c r="F422" s="29" t="s">
        <v>9</v>
      </c>
      <c r="G422" t="s">
        <v>9</v>
      </c>
      <c r="J422" s="2" t="s">
        <v>11</v>
      </c>
      <c r="K422">
        <v>9</v>
      </c>
      <c r="L422" t="s">
        <v>12</v>
      </c>
      <c r="M422" t="s">
        <v>416</v>
      </c>
      <c r="N422" t="str">
        <f t="shared" ref="N422:N423" si="154">IF(K422="N/A","No", IF(K422&gt;1200,"Yes","No"))</f>
        <v>No</v>
      </c>
      <c r="O422" t="str">
        <f t="shared" ref="O422:O423" si="155">IF(K422="Not","No",IF(K422="n/a","N/A",IF(K422&gt;$Y$3,"Yes","No")))</f>
        <v>No</v>
      </c>
      <c r="Q422" s="2" t="s">
        <v>98</v>
      </c>
      <c r="R422" t="str">
        <f>_xlfn.XLOOKUP("mg/cm2",D421:D425,G421:G425,"N/A",1,-1)</f>
        <v>No</v>
      </c>
      <c r="S422" t="str">
        <f>IF(COUNTIF(O424:O425,"Yes"),"Yes","No")</f>
        <v>No</v>
      </c>
      <c r="U422" t="s">
        <v>95</v>
      </c>
      <c r="V422" t="str">
        <f>R421</f>
        <v>No</v>
      </c>
      <c r="W422" t="str">
        <f>S421</f>
        <v>No</v>
      </c>
      <c r="X422" t="str">
        <f t="shared" ref="X422:X425" si="156">IF(V422="N/A","N/A",IF(W422="N/A", "N/A", IF(V422=W422, "Yes","No")))</f>
        <v>Yes</v>
      </c>
    </row>
    <row r="423" spans="1:32" x14ac:dyDescent="0.2">
      <c r="A423" t="s">
        <v>71</v>
      </c>
      <c r="B423" t="s">
        <v>174</v>
      </c>
      <c r="C423">
        <v>0</v>
      </c>
      <c r="D423" t="s">
        <v>4</v>
      </c>
      <c r="F423" s="2" t="str">
        <f t="shared" ref="F423" si="157">IF(C423&gt;=$W$2,"Yes","No")</f>
        <v>No</v>
      </c>
      <c r="G423" t="s">
        <v>9</v>
      </c>
      <c r="H423" t="s">
        <v>43</v>
      </c>
      <c r="J423" s="2" t="s">
        <v>15</v>
      </c>
      <c r="K423">
        <v>8</v>
      </c>
      <c r="L423" t="s">
        <v>12</v>
      </c>
      <c r="M423" t="s">
        <v>417</v>
      </c>
      <c r="N423" t="str">
        <f t="shared" si="154"/>
        <v>No</v>
      </c>
      <c r="O423" t="str">
        <f t="shared" si="155"/>
        <v>No</v>
      </c>
      <c r="Q423" s="2" t="s">
        <v>117</v>
      </c>
      <c r="R423" t="str">
        <f>_xlfn.XLOOKUP("ug/ft2",D421:D426,F421:F426,"N/A")</f>
        <v>No</v>
      </c>
      <c r="S423" t="str">
        <f>IF(COUNTIF(O426:O429,"Yes"),"Yes","No")</f>
        <v>No</v>
      </c>
      <c r="U423" t="s">
        <v>163</v>
      </c>
      <c r="V423" t="s">
        <v>9</v>
      </c>
      <c r="W423" t="s">
        <v>9</v>
      </c>
      <c r="X423" t="str">
        <f t="shared" si="156"/>
        <v>Yes</v>
      </c>
    </row>
    <row r="424" spans="1:32" x14ac:dyDescent="0.2">
      <c r="A424" t="s">
        <v>71</v>
      </c>
      <c r="B424" t="s">
        <v>32</v>
      </c>
      <c r="C424">
        <v>3</v>
      </c>
      <c r="D424" t="s">
        <v>33</v>
      </c>
      <c r="F424" s="2" t="str">
        <f t="shared" ref="F424" si="158">IF(C424&gt;$W$6,"Yes","No")</f>
        <v>No</v>
      </c>
      <c r="G424" t="s">
        <v>9</v>
      </c>
      <c r="J424" s="2" t="s">
        <v>19</v>
      </c>
      <c r="K424">
        <v>250</v>
      </c>
      <c r="L424" t="s">
        <v>12</v>
      </c>
      <c r="M424" t="s">
        <v>418</v>
      </c>
      <c r="N424" t="str">
        <f>IF(K424="N/A","No", IF(K424&gt;5000,"Yes","No"))</f>
        <v>No</v>
      </c>
      <c r="O424" t="str">
        <f>IF(K424="Not","No",IF(K424="n/a","N/A",IF(K424&gt;$Y$2,"Yes","No")))</f>
        <v>No</v>
      </c>
      <c r="Q424" s="2" t="s">
        <v>118</v>
      </c>
      <c r="R424" t="str">
        <f>IF(COUNTIF(R421:R423,"Yes"),"Yes","No")</f>
        <v>No</v>
      </c>
      <c r="S424" t="str">
        <f>IF(COUNTIF(S421:S423,"Yes"),"Yes","No")</f>
        <v>No</v>
      </c>
      <c r="U424" t="s">
        <v>164</v>
      </c>
      <c r="V424" t="s">
        <v>9</v>
      </c>
      <c r="W424" t="s">
        <v>9</v>
      </c>
      <c r="X424" t="str">
        <f t="shared" si="156"/>
        <v>Yes</v>
      </c>
    </row>
    <row r="425" spans="1:32" x14ac:dyDescent="0.2">
      <c r="A425" t="s">
        <v>70</v>
      </c>
      <c r="B425" t="s">
        <v>54</v>
      </c>
      <c r="C425">
        <v>12</v>
      </c>
      <c r="D425" t="s">
        <v>33</v>
      </c>
      <c r="F425" s="2" t="str">
        <f t="shared" ref="F425" si="159">IF(C425&gt;$W$5,"Yes","No")</f>
        <v>No</v>
      </c>
      <c r="G425" t="s">
        <v>9</v>
      </c>
      <c r="J425" s="2" t="s">
        <v>22</v>
      </c>
      <c r="K425" t="s">
        <v>120</v>
      </c>
      <c r="L425" t="s">
        <v>12</v>
      </c>
      <c r="M425" t="s">
        <v>66</v>
      </c>
      <c r="N425" t="str">
        <f>IF(K425="N/A","No", IF(K425&gt;5000,"Yes","No"))</f>
        <v>No</v>
      </c>
      <c r="O425" t="str">
        <f>IF(K425="Not","No",IF(K425="n/a","N/A",IF(K425&gt;$Y$2,"Yes","No")))</f>
        <v>N/A</v>
      </c>
      <c r="U425" t="s">
        <v>162</v>
      </c>
      <c r="V425" t="str">
        <f>R422</f>
        <v>No</v>
      </c>
      <c r="W425" t="str">
        <f>S422</f>
        <v>No</v>
      </c>
      <c r="X425" t="str">
        <f t="shared" si="156"/>
        <v>Yes</v>
      </c>
    </row>
    <row r="426" spans="1:32" x14ac:dyDescent="0.2">
      <c r="A426" s="14" t="s">
        <v>73</v>
      </c>
      <c r="B426" s="14" t="s">
        <v>414</v>
      </c>
      <c r="C426" s="14">
        <v>1.2</v>
      </c>
      <c r="D426" s="14" t="s">
        <v>4</v>
      </c>
      <c r="E426" s="14"/>
      <c r="F426" s="13" t="str">
        <f t="shared" si="153"/>
        <v>Yes</v>
      </c>
      <c r="G426" s="14" t="s">
        <v>5</v>
      </c>
      <c r="J426" s="2" t="s">
        <v>25</v>
      </c>
      <c r="K426">
        <v>0</v>
      </c>
      <c r="L426" t="s">
        <v>12</v>
      </c>
      <c r="M426" t="s">
        <v>59</v>
      </c>
      <c r="N426" t="str">
        <f>IF(K426="N/A","No", IF(K426&gt;230,"Yes","No"))</f>
        <v>No</v>
      </c>
      <c r="O426" t="str">
        <f>IF(K426="Not","No",IF(K426="n/a","N/A",IF(K426&gt;$Y$5,"Yes","No")))</f>
        <v>No</v>
      </c>
      <c r="U426" t="s">
        <v>101</v>
      </c>
      <c r="V426" t="s">
        <v>9</v>
      </c>
      <c r="W426" t="s">
        <v>9</v>
      </c>
      <c r="X426" t="str">
        <f>IF(V426="N/A","N/A",IF(W426="N/A", "N/A", IF(V426=W426, "Yes","No")))</f>
        <v>Yes</v>
      </c>
    </row>
    <row r="427" spans="1:32" x14ac:dyDescent="0.2">
      <c r="F427" s="2"/>
      <c r="J427" s="2" t="s">
        <v>29</v>
      </c>
      <c r="K427">
        <v>0</v>
      </c>
      <c r="L427" t="s">
        <v>12</v>
      </c>
      <c r="M427" t="s">
        <v>332</v>
      </c>
      <c r="N427" t="str">
        <f>IF(K427="N/A","No", IF(K427&gt;20,"Yes","No"))</f>
        <v>No</v>
      </c>
      <c r="O427" t="str">
        <f t="shared" ref="O427:O428" si="160">IF(K427="Not","No",IF(K427="n/a","N/A",IF(K427&gt;$Y$6,"Yes","No")))</f>
        <v>No</v>
      </c>
      <c r="U427" t="s">
        <v>104</v>
      </c>
      <c r="V427" t="s">
        <v>9</v>
      </c>
      <c r="W427" t="s">
        <v>9</v>
      </c>
      <c r="X427" t="str">
        <f>IF(V427="N/A","N/A",IF(W427="N/A", "N/A", IF(V427=W427, "Yes","No")))</f>
        <v>Yes</v>
      </c>
    </row>
    <row r="428" spans="1:32" x14ac:dyDescent="0.2">
      <c r="F428" s="2"/>
      <c r="J428" s="2" t="s">
        <v>34</v>
      </c>
      <c r="K428">
        <v>0</v>
      </c>
      <c r="L428" t="s">
        <v>12</v>
      </c>
      <c r="M428" t="s">
        <v>207</v>
      </c>
      <c r="N428" t="str">
        <f>IF(K428="N/A","No", IF(K428&gt;20,"Yes","No"))</f>
        <v>No</v>
      </c>
      <c r="O428" t="str">
        <f t="shared" si="160"/>
        <v>No</v>
      </c>
      <c r="U428" t="s">
        <v>106</v>
      </c>
      <c r="V428" t="str">
        <f>R423</f>
        <v>No</v>
      </c>
      <c r="W428" t="str">
        <f>S423</f>
        <v>No</v>
      </c>
      <c r="X428" t="str">
        <f>IF(V428="N/A","N/A",IF(W428="N/A", "N/A", IF(V428=W428, "Yes","No")))</f>
        <v>Yes</v>
      </c>
    </row>
    <row r="429" spans="1:32" x14ac:dyDescent="0.2">
      <c r="F429" s="2"/>
      <c r="J429" s="2"/>
      <c r="U429" t="s">
        <v>121</v>
      </c>
      <c r="V429" t="str">
        <f>R424</f>
        <v>No</v>
      </c>
      <c r="W429" t="str">
        <f>S424</f>
        <v>No</v>
      </c>
      <c r="X429" t="str">
        <f>IF(V429="N/A","N/A",IF(W429="N/A", "N/A", IF(V429=W429, "Yes","No")))</f>
        <v>Yes</v>
      </c>
    </row>
    <row r="431" spans="1:32" x14ac:dyDescent="0.2">
      <c r="A431" s="1">
        <f>VLOOKUP(C431,'Grid - LRA Samples'!$A$2:$B$108, 2,FALSE)</f>
        <v>1356</v>
      </c>
      <c r="B431" t="s">
        <v>319</v>
      </c>
      <c r="C431">
        <v>78</v>
      </c>
    </row>
    <row r="432" spans="1:32" x14ac:dyDescent="0.2">
      <c r="A432" s="5" t="s">
        <v>0</v>
      </c>
      <c r="E432" s="2" t="s">
        <v>274</v>
      </c>
      <c r="F432" s="2" t="s">
        <v>275</v>
      </c>
      <c r="G432" t="s">
        <v>119</v>
      </c>
      <c r="J432" s="5" t="s">
        <v>1</v>
      </c>
      <c r="N432" s="2" t="s">
        <v>277</v>
      </c>
      <c r="O432" t="s">
        <v>278</v>
      </c>
      <c r="Q432" s="5" t="s">
        <v>115</v>
      </c>
      <c r="R432" s="5" t="s">
        <v>0</v>
      </c>
      <c r="S432" s="5" t="s">
        <v>1</v>
      </c>
      <c r="U432" s="5" t="s">
        <v>115</v>
      </c>
      <c r="V432" s="5" t="s">
        <v>0</v>
      </c>
      <c r="W432" s="5" t="s">
        <v>1</v>
      </c>
      <c r="X432" s="5" t="s">
        <v>122</v>
      </c>
      <c r="AA432" t="str">
        <f>IF(R433="Yes","LRA-Soil","")</f>
        <v/>
      </c>
      <c r="AB432" t="str">
        <f>IF(R434="Yes","LRA-Paint","")</f>
        <v>LRA-Paint</v>
      </c>
      <c r="AC432" t="str">
        <f>IF(R435="Yes","LRA-Dust","")</f>
        <v/>
      </c>
      <c r="AD432" t="str">
        <f>IF(S433="Yes","LSK-Soil","")</f>
        <v/>
      </c>
      <c r="AE432" t="str">
        <f>IF(S434="Yes","LSK-Paint","")</f>
        <v/>
      </c>
      <c r="AF432" t="str">
        <f>IF(S435="Yes","LSK-Dust","")</f>
        <v/>
      </c>
    </row>
    <row r="433" spans="1:32" x14ac:dyDescent="0.2">
      <c r="A433" t="s">
        <v>63</v>
      </c>
      <c r="B433" t="s">
        <v>18</v>
      </c>
      <c r="C433">
        <v>0</v>
      </c>
      <c r="D433" t="s">
        <v>4</v>
      </c>
      <c r="F433" s="2" t="str">
        <f t="shared" ref="F433" si="161">IF(C433&gt;=$W$2,"Yes","No")</f>
        <v>No</v>
      </c>
      <c r="G433" t="s">
        <v>9</v>
      </c>
      <c r="H433" t="s">
        <v>46</v>
      </c>
      <c r="J433" s="2" t="s">
        <v>6</v>
      </c>
      <c r="K433">
        <v>279</v>
      </c>
      <c r="L433" t="s">
        <v>12</v>
      </c>
      <c r="M433" t="s">
        <v>419</v>
      </c>
      <c r="N433" t="str">
        <f>IF(K433="N/A","No", IF(K433&gt;1200,"Yes","No"))</f>
        <v>No</v>
      </c>
      <c r="O433" t="str">
        <f>IF(K433="Not","No",IF(K433="n/a","N/A",IF(K433&gt;=$Y$3,"Yes","No")))</f>
        <v>No</v>
      </c>
      <c r="Q433" s="2" t="s">
        <v>116</v>
      </c>
      <c r="R433" t="str">
        <f>_xlfn.XLOOKUP("ppm",D433:D451,F433:F451,"N/A")</f>
        <v>No</v>
      </c>
      <c r="S433" t="str">
        <f>IF(COUNTIF(O433:O435,"Yes"),"Yes","No")</f>
        <v>No</v>
      </c>
      <c r="U433" t="s">
        <v>92</v>
      </c>
      <c r="V433" t="str">
        <f>F434</f>
        <v>No</v>
      </c>
      <c r="W433" t="str">
        <f>O433</f>
        <v>No</v>
      </c>
      <c r="X433" t="str">
        <f>IF(V433="N/A","N/A",IF(W433="N/A", "N/A", IF(V433=W433, "Yes","No")))</f>
        <v>Yes</v>
      </c>
    </row>
    <row r="434" spans="1:32" x14ac:dyDescent="0.2">
      <c r="A434" t="s">
        <v>161</v>
      </c>
      <c r="B434" t="s">
        <v>28</v>
      </c>
      <c r="C434">
        <v>179</v>
      </c>
      <c r="D434" t="s">
        <v>12</v>
      </c>
      <c r="F434" s="2" t="str">
        <f t="shared" ref="F434" si="162">IF(C434&gt;$W$3,"Yes","No")</f>
        <v>No</v>
      </c>
      <c r="G434" t="s">
        <v>9</v>
      </c>
      <c r="J434" s="2" t="s">
        <v>11</v>
      </c>
      <c r="K434">
        <v>306</v>
      </c>
      <c r="L434" t="s">
        <v>12</v>
      </c>
      <c r="M434" t="s">
        <v>38</v>
      </c>
      <c r="N434" t="str">
        <f t="shared" ref="N434:N435" si="163">IF(K434="N/A","No", IF(K434&gt;1200,"Yes","No"))</f>
        <v>No</v>
      </c>
      <c r="O434" t="str">
        <f t="shared" ref="O434:O435" si="164">IF(K434="Not","No",IF(K434="n/a","N/A",IF(K434&gt;$Y$3,"Yes","No")))</f>
        <v>No</v>
      </c>
      <c r="Q434" s="2" t="s">
        <v>98</v>
      </c>
      <c r="R434" t="str">
        <f>_xlfn.XLOOKUP("mg/cm2",D433:D451,G433:G451,"N/A",1,-1)</f>
        <v>Yes</v>
      </c>
      <c r="S434" t="str">
        <f>IF(COUNTIF(O436:O437,"Yes"),"Yes","No")</f>
        <v>No</v>
      </c>
      <c r="U434" t="s">
        <v>95</v>
      </c>
      <c r="V434" t="str">
        <f>R433</f>
        <v>No</v>
      </c>
      <c r="W434" t="str">
        <f>S433</f>
        <v>No</v>
      </c>
      <c r="X434" t="str">
        <f t="shared" ref="X434:X437" si="165">IF(V434="N/A","N/A",IF(W434="N/A", "N/A", IF(V434=W434, "Yes","No")))</f>
        <v>Yes</v>
      </c>
    </row>
    <row r="435" spans="1:32" x14ac:dyDescent="0.2">
      <c r="A435" t="s">
        <v>113</v>
      </c>
      <c r="B435" t="s">
        <v>10</v>
      </c>
      <c r="C435">
        <v>14.9</v>
      </c>
      <c r="D435" t="s">
        <v>4</v>
      </c>
      <c r="F435" s="2" t="str">
        <f t="shared" ref="F435:F449" si="166">IF(C435&gt;=$W$2,"Yes","No")</f>
        <v>Yes</v>
      </c>
      <c r="G435" t="s">
        <v>5</v>
      </c>
      <c r="H435" t="s">
        <v>43</v>
      </c>
      <c r="J435" s="2" t="s">
        <v>15</v>
      </c>
      <c r="K435">
        <v>81</v>
      </c>
      <c r="L435" t="s">
        <v>12</v>
      </c>
      <c r="M435" t="s">
        <v>324</v>
      </c>
      <c r="N435" t="str">
        <f t="shared" si="163"/>
        <v>No</v>
      </c>
      <c r="O435" t="str">
        <f t="shared" si="164"/>
        <v>No</v>
      </c>
      <c r="Q435" s="2" t="s">
        <v>117</v>
      </c>
      <c r="R435" t="str">
        <f>_xlfn.XLOOKUP("ug/ft2",D433:D451,F433:F451,"N/A")</f>
        <v>No</v>
      </c>
      <c r="S435" t="str">
        <f>IF(COUNTIF(O438:O441,"Yes"),"Yes","No")</f>
        <v>No</v>
      </c>
      <c r="U435" t="s">
        <v>163</v>
      </c>
      <c r="V435" t="s">
        <v>5</v>
      </c>
      <c r="W435" t="s">
        <v>9</v>
      </c>
      <c r="X435" t="str">
        <f>IF(V435="N/A","N/A",IF(W435="N/A", "N/A", IF(V435=W435, "Yes","No")))</f>
        <v>No</v>
      </c>
    </row>
    <row r="436" spans="1:32" x14ac:dyDescent="0.2">
      <c r="A436" t="s">
        <v>109</v>
      </c>
      <c r="B436" t="s">
        <v>174</v>
      </c>
      <c r="C436">
        <v>11.2</v>
      </c>
      <c r="D436" t="s">
        <v>4</v>
      </c>
      <c r="F436" s="2" t="str">
        <f t="shared" si="166"/>
        <v>Yes</v>
      </c>
      <c r="G436" t="s">
        <v>5</v>
      </c>
      <c r="H436" t="s">
        <v>43</v>
      </c>
      <c r="J436" s="2" t="s">
        <v>19</v>
      </c>
      <c r="K436">
        <v>288</v>
      </c>
      <c r="L436" t="s">
        <v>12</v>
      </c>
      <c r="M436" t="s">
        <v>420</v>
      </c>
      <c r="N436" t="str">
        <f>IF(K436="N/A","No", IF(K436&gt;5000,"Yes","No"))</f>
        <v>No</v>
      </c>
      <c r="O436" t="str">
        <f>IF(K436="Not","No",IF(K436="n/a","N/A",IF(K436&gt;$Y$2,"Yes","No")))</f>
        <v>No</v>
      </c>
      <c r="Q436" s="2" t="s">
        <v>118</v>
      </c>
      <c r="R436" t="str">
        <f>IF(COUNTIF(R433:R435,"Yes"),"Yes","No")</f>
        <v>Yes</v>
      </c>
      <c r="S436" t="str">
        <f>IF(COUNTIF(S433:S435,"Yes"),"Yes","No")</f>
        <v>No</v>
      </c>
      <c r="U436" t="s">
        <v>164</v>
      </c>
      <c r="V436" t="s">
        <v>9</v>
      </c>
      <c r="W436" t="s">
        <v>9</v>
      </c>
      <c r="X436" t="str">
        <f>IF(V435="N/A","N/A",IF(W436="N/A", "N/A", IF(V435=W436, "Yes","No")))</f>
        <v>No</v>
      </c>
    </row>
    <row r="437" spans="1:32" x14ac:dyDescent="0.2">
      <c r="A437" t="s">
        <v>109</v>
      </c>
      <c r="B437" t="s">
        <v>10</v>
      </c>
      <c r="C437">
        <v>13.9</v>
      </c>
      <c r="D437" t="s">
        <v>4</v>
      </c>
      <c r="F437" s="2" t="str">
        <f t="shared" si="166"/>
        <v>Yes</v>
      </c>
      <c r="G437" t="s">
        <v>5</v>
      </c>
      <c r="H437" t="s">
        <v>43</v>
      </c>
      <c r="J437" s="2" t="s">
        <v>22</v>
      </c>
      <c r="K437">
        <v>78</v>
      </c>
      <c r="L437" t="s">
        <v>12</v>
      </c>
      <c r="M437" t="s">
        <v>36</v>
      </c>
      <c r="N437" t="str">
        <f>IF(K437="N/A","No", IF(K437&gt;5000,"Yes","No"))</f>
        <v>No</v>
      </c>
      <c r="O437" t="str">
        <f>IF(K437="Not","No",IF(K437="n/a","N/A",IF(K437&gt;$Y$2,"Yes","No")))</f>
        <v>No</v>
      </c>
      <c r="U437" t="s">
        <v>162</v>
      </c>
      <c r="V437" t="str">
        <f>R434</f>
        <v>Yes</v>
      </c>
      <c r="W437" t="str">
        <f>S434</f>
        <v>No</v>
      </c>
      <c r="X437" t="str">
        <f t="shared" si="165"/>
        <v>No</v>
      </c>
    </row>
    <row r="438" spans="1:32" x14ac:dyDescent="0.2">
      <c r="A438" t="s">
        <v>109</v>
      </c>
      <c r="B438" t="s">
        <v>24</v>
      </c>
      <c r="C438">
        <v>11.4</v>
      </c>
      <c r="D438" t="s">
        <v>4</v>
      </c>
      <c r="F438" s="2" t="str">
        <f t="shared" si="166"/>
        <v>Yes</v>
      </c>
      <c r="G438" t="s">
        <v>5</v>
      </c>
      <c r="H438" t="s">
        <v>43</v>
      </c>
      <c r="J438" s="2" t="s">
        <v>25</v>
      </c>
      <c r="K438">
        <v>85</v>
      </c>
      <c r="L438" t="s">
        <v>12</v>
      </c>
      <c r="M438" t="s">
        <v>59</v>
      </c>
      <c r="N438" t="str">
        <f>IF(K438="N/A","No", IF(K438&gt;230,"Yes","No"))</f>
        <v>No</v>
      </c>
      <c r="O438" t="str">
        <f>IF(K438="Not","No",IF(K438="n/a","N/A",IF(K438&gt;$Y$5,"Yes","No")))</f>
        <v>No</v>
      </c>
      <c r="U438" t="s">
        <v>101</v>
      </c>
      <c r="V438" t="s">
        <v>120</v>
      </c>
      <c r="W438" t="s">
        <v>9</v>
      </c>
      <c r="X438" t="str">
        <f>IF(V438="N/A","N/A",IF(W438="N/A", "N/A", IF(V438=W438, "Yes","No")))</f>
        <v>N/A</v>
      </c>
    </row>
    <row r="439" spans="1:32" x14ac:dyDescent="0.2">
      <c r="A439" t="s">
        <v>109</v>
      </c>
      <c r="B439" t="s">
        <v>24</v>
      </c>
      <c r="C439">
        <v>13.9</v>
      </c>
      <c r="D439" t="s">
        <v>4</v>
      </c>
      <c r="F439" s="2" t="str">
        <f t="shared" si="166"/>
        <v>Yes</v>
      </c>
      <c r="G439" t="s">
        <v>5</v>
      </c>
      <c r="H439" t="s">
        <v>43</v>
      </c>
      <c r="J439" s="2" t="s">
        <v>29</v>
      </c>
      <c r="K439">
        <v>0</v>
      </c>
      <c r="L439" t="s">
        <v>12</v>
      </c>
      <c r="M439" t="s">
        <v>421</v>
      </c>
      <c r="N439" t="str">
        <f>IF(K439="N/A","No", IF(K439&gt;20,"Yes","No"))</f>
        <v>No</v>
      </c>
      <c r="O439" t="str">
        <f t="shared" ref="O439:O440" si="167">IF(K439="Not","No",IF(K439="n/a","N/A",IF(K439&gt;$Y$6,"Yes","No")))</f>
        <v>No</v>
      </c>
      <c r="U439" t="s">
        <v>104</v>
      </c>
      <c r="V439" t="s">
        <v>9</v>
      </c>
      <c r="W439" t="s">
        <v>9</v>
      </c>
      <c r="X439" t="str">
        <f>IF(V439="N/A","N/A",IF(W439="N/A", "N/A", IF(V439=W439, "Yes","No")))</f>
        <v>Yes</v>
      </c>
    </row>
    <row r="440" spans="1:32" x14ac:dyDescent="0.2">
      <c r="A440" t="s">
        <v>109</v>
      </c>
      <c r="B440" t="s">
        <v>24</v>
      </c>
      <c r="C440">
        <v>14.6</v>
      </c>
      <c r="D440" t="s">
        <v>4</v>
      </c>
      <c r="F440" s="2" t="str">
        <f t="shared" si="166"/>
        <v>Yes</v>
      </c>
      <c r="G440" t="s">
        <v>5</v>
      </c>
      <c r="H440" t="s">
        <v>43</v>
      </c>
      <c r="J440" s="2" t="s">
        <v>34</v>
      </c>
      <c r="K440">
        <v>0</v>
      </c>
      <c r="L440" t="s">
        <v>12</v>
      </c>
      <c r="M440" t="s">
        <v>74</v>
      </c>
      <c r="N440" t="str">
        <f>IF(K440="N/A","No", IF(K440&gt;20,"Yes","No"))</f>
        <v>No</v>
      </c>
      <c r="O440" t="str">
        <f t="shared" si="167"/>
        <v>No</v>
      </c>
      <c r="U440" t="s">
        <v>106</v>
      </c>
      <c r="V440" t="str">
        <f>R435</f>
        <v>No</v>
      </c>
      <c r="W440" t="str">
        <f>S435</f>
        <v>No</v>
      </c>
      <c r="X440" t="str">
        <f>IF(V440="N/A","N/A",IF(W440="N/A", "N/A", IF(V440=W440, "Yes","No")))</f>
        <v>Yes</v>
      </c>
    </row>
    <row r="441" spans="1:32" x14ac:dyDescent="0.2">
      <c r="A441" t="s">
        <v>293</v>
      </c>
      <c r="B441" t="s">
        <v>174</v>
      </c>
      <c r="C441">
        <v>14.9</v>
      </c>
      <c r="D441" t="s">
        <v>4</v>
      </c>
      <c r="F441" s="2" t="str">
        <f t="shared" si="166"/>
        <v>Yes</v>
      </c>
      <c r="G441" t="s">
        <v>5</v>
      </c>
      <c r="H441" t="s">
        <v>43</v>
      </c>
      <c r="J441" s="2"/>
      <c r="U441" t="s">
        <v>121</v>
      </c>
      <c r="V441" t="str">
        <f>R436</f>
        <v>Yes</v>
      </c>
      <c r="W441" t="str">
        <f>S436</f>
        <v>No</v>
      </c>
      <c r="X441" t="str">
        <f>IF(V441="N/A","N/A",IF(W441="N/A", "N/A", IF(V441=W441, "Yes","No")))</f>
        <v>No</v>
      </c>
    </row>
    <row r="442" spans="1:32" x14ac:dyDescent="0.2">
      <c r="A442" t="s">
        <v>293</v>
      </c>
      <c r="B442" t="s">
        <v>10</v>
      </c>
      <c r="C442">
        <v>11.7</v>
      </c>
      <c r="D442" t="s">
        <v>4</v>
      </c>
      <c r="F442" s="2" t="str">
        <f t="shared" si="166"/>
        <v>Yes</v>
      </c>
      <c r="G442" t="s">
        <v>5</v>
      </c>
      <c r="H442" t="s">
        <v>43</v>
      </c>
    </row>
    <row r="443" spans="1:32" x14ac:dyDescent="0.2">
      <c r="A443" t="s">
        <v>293</v>
      </c>
      <c r="B443" t="s">
        <v>77</v>
      </c>
      <c r="C443">
        <v>15.2</v>
      </c>
      <c r="D443" t="s">
        <v>4</v>
      </c>
      <c r="F443" s="2" t="str">
        <f t="shared" si="166"/>
        <v>Yes</v>
      </c>
      <c r="G443" t="s">
        <v>5</v>
      </c>
      <c r="H443" t="s">
        <v>43</v>
      </c>
    </row>
    <row r="444" spans="1:32" x14ac:dyDescent="0.2">
      <c r="A444" t="s">
        <v>293</v>
      </c>
      <c r="B444" t="s">
        <v>24</v>
      </c>
      <c r="C444">
        <v>15.8</v>
      </c>
      <c r="D444" t="s">
        <v>4</v>
      </c>
      <c r="F444" s="2" t="str">
        <f t="shared" si="166"/>
        <v>Yes</v>
      </c>
      <c r="G444" t="s">
        <v>5</v>
      </c>
      <c r="H444" t="s">
        <v>43</v>
      </c>
    </row>
    <row r="445" spans="1:32" x14ac:dyDescent="0.2">
      <c r="A445" t="s">
        <v>293</v>
      </c>
      <c r="B445" t="s">
        <v>24</v>
      </c>
      <c r="C445">
        <v>14.3</v>
      </c>
      <c r="D445" t="s">
        <v>4</v>
      </c>
      <c r="F445" s="2" t="str">
        <f t="shared" si="166"/>
        <v>Yes</v>
      </c>
      <c r="G445" t="s">
        <v>5</v>
      </c>
      <c r="H445" t="s">
        <v>43</v>
      </c>
      <c r="AF445" t="str">
        <f>IF(S435="Yes","LSK-Dust","")</f>
        <v/>
      </c>
    </row>
    <row r="446" spans="1:32" x14ac:dyDescent="0.2">
      <c r="A446" t="s">
        <v>157</v>
      </c>
      <c r="B446" t="s">
        <v>10</v>
      </c>
      <c r="C446">
        <v>9</v>
      </c>
      <c r="D446" t="s">
        <v>4</v>
      </c>
      <c r="F446" s="2" t="str">
        <f t="shared" si="166"/>
        <v>Yes</v>
      </c>
      <c r="G446" t="s">
        <v>5</v>
      </c>
      <c r="H446" t="s">
        <v>43</v>
      </c>
    </row>
    <row r="447" spans="1:32" x14ac:dyDescent="0.2">
      <c r="A447" t="s">
        <v>70</v>
      </c>
      <c r="B447" t="s">
        <v>24</v>
      </c>
      <c r="C447">
        <v>7</v>
      </c>
      <c r="D447" t="s">
        <v>4</v>
      </c>
      <c r="F447" s="2" t="str">
        <f t="shared" si="166"/>
        <v>Yes</v>
      </c>
      <c r="G447" t="s">
        <v>5</v>
      </c>
      <c r="H447" t="s">
        <v>43</v>
      </c>
    </row>
    <row r="448" spans="1:32" x14ac:dyDescent="0.2">
      <c r="A448" t="s">
        <v>70</v>
      </c>
      <c r="B448" t="s">
        <v>24</v>
      </c>
      <c r="C448">
        <v>11.8</v>
      </c>
      <c r="D448" t="s">
        <v>4</v>
      </c>
      <c r="F448" s="2" t="str">
        <f t="shared" si="166"/>
        <v>Yes</v>
      </c>
      <c r="G448" t="s">
        <v>5</v>
      </c>
      <c r="H448" t="s">
        <v>43</v>
      </c>
    </row>
    <row r="449" spans="1:32" x14ac:dyDescent="0.2">
      <c r="A449" t="s">
        <v>70</v>
      </c>
      <c r="B449" t="s">
        <v>24</v>
      </c>
      <c r="C449">
        <v>10.3</v>
      </c>
      <c r="D449" t="s">
        <v>4</v>
      </c>
      <c r="F449" s="2" t="str">
        <f t="shared" si="166"/>
        <v>Yes</v>
      </c>
      <c r="G449" t="s">
        <v>5</v>
      </c>
      <c r="H449" t="s">
        <v>43</v>
      </c>
    </row>
    <row r="450" spans="1:32" x14ac:dyDescent="0.2">
      <c r="A450" t="s">
        <v>109</v>
      </c>
      <c r="B450" t="s">
        <v>54</v>
      </c>
      <c r="C450">
        <v>52</v>
      </c>
      <c r="D450" t="s">
        <v>33</v>
      </c>
      <c r="F450" s="2" t="str">
        <f t="shared" ref="F450:F451" si="168">IF(C450&gt;$W$5,"Yes","No")</f>
        <v>No</v>
      </c>
      <c r="G450" t="s">
        <v>9</v>
      </c>
    </row>
    <row r="451" spans="1:32" x14ac:dyDescent="0.2">
      <c r="A451" t="s">
        <v>293</v>
      </c>
      <c r="B451" t="s">
        <v>54</v>
      </c>
      <c r="C451">
        <v>45</v>
      </c>
      <c r="D451" t="s">
        <v>33</v>
      </c>
      <c r="F451" s="2" t="str">
        <f t="shared" si="168"/>
        <v>No</v>
      </c>
      <c r="G451" t="s">
        <v>9</v>
      </c>
    </row>
    <row r="454" spans="1:32" x14ac:dyDescent="0.2">
      <c r="A454" s="1">
        <f>VLOOKUP(C454,'Grid - LRA Samples'!$A$2:$B$108, 2,FALSE)</f>
        <v>1403</v>
      </c>
      <c r="B454" t="s">
        <v>319</v>
      </c>
      <c r="C454">
        <v>81</v>
      </c>
    </row>
    <row r="455" spans="1:32" x14ac:dyDescent="0.2">
      <c r="A455" s="5" t="s">
        <v>0</v>
      </c>
      <c r="E455" s="2" t="s">
        <v>274</v>
      </c>
      <c r="F455" s="2" t="s">
        <v>275</v>
      </c>
      <c r="G455" t="s">
        <v>119</v>
      </c>
      <c r="J455" s="5" t="s">
        <v>1</v>
      </c>
      <c r="N455" s="2" t="s">
        <v>277</v>
      </c>
      <c r="O455" t="s">
        <v>278</v>
      </c>
      <c r="Q455" s="5" t="s">
        <v>115</v>
      </c>
      <c r="R455" s="5" t="s">
        <v>0</v>
      </c>
      <c r="S455" s="5" t="s">
        <v>1</v>
      </c>
      <c r="U455" s="5" t="s">
        <v>115</v>
      </c>
      <c r="V455" s="5" t="s">
        <v>0</v>
      </c>
      <c r="W455" s="5" t="s">
        <v>1</v>
      </c>
      <c r="X455" s="5" t="s">
        <v>122</v>
      </c>
      <c r="AA455" t="str">
        <f>IF(R456="Yes","LRA-Soil","")</f>
        <v/>
      </c>
      <c r="AB455" t="str">
        <f>IF(R457="Yes","LRA-Paint","")</f>
        <v/>
      </c>
      <c r="AC455" t="str">
        <f>IF(R458="Yes","LRA-Dust","")</f>
        <v>LRA-Dust</v>
      </c>
      <c r="AD455" t="str">
        <f>IF(S456="Yes","LSK-Soil","")</f>
        <v/>
      </c>
      <c r="AE455" t="str">
        <f>IF(S457="Yes","LSK-Paint","")</f>
        <v/>
      </c>
      <c r="AF455" t="str">
        <f>IF(S458="Yes","LSK-Dust","")</f>
        <v>LSK-Dust</v>
      </c>
    </row>
    <row r="456" spans="1:32" x14ac:dyDescent="0.2">
      <c r="A456" t="s">
        <v>63</v>
      </c>
      <c r="B456" t="s">
        <v>10</v>
      </c>
      <c r="C456">
        <v>0</v>
      </c>
      <c r="D456" t="s">
        <v>4</v>
      </c>
      <c r="F456" s="2" t="str">
        <f t="shared" ref="F456" si="169">IF(C456&gt;=$W$2,"Yes","No")</f>
        <v>No</v>
      </c>
      <c r="G456" t="s">
        <v>9</v>
      </c>
      <c r="H456" t="s">
        <v>46</v>
      </c>
      <c r="J456" s="2" t="s">
        <v>6</v>
      </c>
      <c r="K456">
        <v>125</v>
      </c>
      <c r="L456" t="s">
        <v>12</v>
      </c>
      <c r="M456" t="s">
        <v>36</v>
      </c>
      <c r="N456" t="str">
        <f>IF(K456="N/A","No", IF(K456&gt;1200,"Yes","No"))</f>
        <v>No</v>
      </c>
      <c r="O456" t="str">
        <f>IF(K456="Not","No",IF(K456="n/a","N/A",IF(K456&gt;=$Y$3,"Yes","No")))</f>
        <v>No</v>
      </c>
      <c r="Q456" s="2" t="s">
        <v>116</v>
      </c>
      <c r="R456" t="str">
        <f>_xlfn.XLOOKUP("ppm",D456:D463,F456:F463,"N/A")</f>
        <v>No</v>
      </c>
      <c r="S456" t="str">
        <f>IF(COUNTIF(O456:O458,"Yes"),"Yes","No")</f>
        <v>No</v>
      </c>
      <c r="U456" t="s">
        <v>92</v>
      </c>
      <c r="V456" t="s">
        <v>120</v>
      </c>
      <c r="W456" t="s">
        <v>120</v>
      </c>
      <c r="X456" t="str">
        <f>IF(V456="N/A","N/A",IF(W456="N/A", "N/A", IF(V456=W456, "Yes","No")))</f>
        <v>N/A</v>
      </c>
    </row>
    <row r="457" spans="1:32" x14ac:dyDescent="0.2">
      <c r="A457" t="s">
        <v>200</v>
      </c>
      <c r="B457" t="s">
        <v>286</v>
      </c>
      <c r="C457">
        <v>140</v>
      </c>
      <c r="D457" t="s">
        <v>12</v>
      </c>
      <c r="E457" t="s">
        <v>9</v>
      </c>
      <c r="F457" s="2" t="str">
        <f t="shared" ref="F457" si="170">IF(C457&gt;$W$3,"Yes","No")</f>
        <v>No</v>
      </c>
      <c r="G457" t="s">
        <v>9</v>
      </c>
      <c r="J457" s="2" t="s">
        <v>11</v>
      </c>
      <c r="K457">
        <v>153</v>
      </c>
      <c r="L457" t="s">
        <v>12</v>
      </c>
      <c r="M457" t="s">
        <v>38</v>
      </c>
      <c r="N457" t="str">
        <f t="shared" ref="N457:N458" si="171">IF(K457="N/A","No", IF(K457&gt;1200,"Yes","No"))</f>
        <v>No</v>
      </c>
      <c r="O457" t="str">
        <f t="shared" ref="O457:O458" si="172">IF(K457="Not","No",IF(K457="n/a","N/A",IF(K457&gt;$Y$3,"Yes","No")))</f>
        <v>No</v>
      </c>
      <c r="Q457" s="2" t="s">
        <v>98</v>
      </c>
      <c r="R457" t="str">
        <f>_xlfn.XLOOKUP("mg/cm2",D456:D460,G456:G460,"N/A",1,-1)</f>
        <v>No</v>
      </c>
      <c r="S457" t="str">
        <f>IF(COUNTIF(O459:O460,"Yes"),"Yes","No")</f>
        <v>No</v>
      </c>
      <c r="U457" t="s">
        <v>95</v>
      </c>
      <c r="V457" t="str">
        <f>R456</f>
        <v>No</v>
      </c>
      <c r="W457" t="str">
        <f>S456</f>
        <v>No</v>
      </c>
      <c r="X457" t="str">
        <f t="shared" ref="X457:X460" si="173">IF(V457="N/A","N/A",IF(W457="N/A", "N/A", IF(V457=W457, "Yes","No")))</f>
        <v>Yes</v>
      </c>
    </row>
    <row r="458" spans="1:32" x14ac:dyDescent="0.2">
      <c r="A458" t="s">
        <v>213</v>
      </c>
      <c r="B458" t="s">
        <v>424</v>
      </c>
      <c r="C458">
        <v>0.12</v>
      </c>
      <c r="D458" t="s">
        <v>4</v>
      </c>
      <c r="E458" t="s">
        <v>9</v>
      </c>
      <c r="F458" s="2" t="str">
        <f t="shared" ref="F458" si="174">IF(C458&gt;=$W$2,"Yes","No")</f>
        <v>No</v>
      </c>
      <c r="G458" t="s">
        <v>9</v>
      </c>
      <c r="H458" t="s">
        <v>43</v>
      </c>
      <c r="J458" s="2" t="s">
        <v>15</v>
      </c>
      <c r="K458">
        <v>14</v>
      </c>
      <c r="L458" t="s">
        <v>12</v>
      </c>
      <c r="M458" t="s">
        <v>41</v>
      </c>
      <c r="N458" t="str">
        <f t="shared" si="171"/>
        <v>No</v>
      </c>
      <c r="O458" t="str">
        <f t="shared" si="172"/>
        <v>No</v>
      </c>
      <c r="Q458" s="2" t="s">
        <v>117</v>
      </c>
      <c r="R458" t="str">
        <f>_xlfn.XLOOKUP("ug/ft2",D456:D460,F456:F460,"N/A")</f>
        <v>Yes</v>
      </c>
      <c r="S458" t="str">
        <f>IF(COUNTIF(O461:O464,"Yes"),"Yes","No")</f>
        <v>Yes</v>
      </c>
      <c r="U458" t="s">
        <v>163</v>
      </c>
      <c r="V458" t="s">
        <v>9</v>
      </c>
      <c r="W458" t="s">
        <v>9</v>
      </c>
      <c r="X458" t="str">
        <f t="shared" si="173"/>
        <v>Yes</v>
      </c>
    </row>
    <row r="459" spans="1:32" x14ac:dyDescent="0.2">
      <c r="A459" t="s">
        <v>201</v>
      </c>
      <c r="B459" t="s">
        <v>214</v>
      </c>
      <c r="C459">
        <v>44</v>
      </c>
      <c r="D459" t="s">
        <v>33</v>
      </c>
      <c r="E459" t="s">
        <v>5</v>
      </c>
      <c r="F459" s="2" t="str">
        <f t="shared" ref="F459" si="175">IF(C459&gt;$W$6,"Yes","No")</f>
        <v>Yes</v>
      </c>
      <c r="G459" t="s">
        <v>5</v>
      </c>
      <c r="J459" s="2" t="s">
        <v>19</v>
      </c>
      <c r="K459">
        <v>377</v>
      </c>
      <c r="L459" t="s">
        <v>12</v>
      </c>
      <c r="M459" t="s">
        <v>426</v>
      </c>
      <c r="N459" t="str">
        <f>IF(K459="N/A","No", IF(K459&gt;5000,"Yes","No"))</f>
        <v>No</v>
      </c>
      <c r="O459" t="str">
        <f>IF(K459="Not","No",IF(K459="n/a","N/A",IF(K459&gt;$Y$2,"Yes","No")))</f>
        <v>No</v>
      </c>
      <c r="Q459" s="2" t="s">
        <v>118</v>
      </c>
      <c r="R459" t="str">
        <f>IF(COUNTIF(R456:R458,"Yes"),"Yes","No")</f>
        <v>Yes</v>
      </c>
      <c r="S459" t="str">
        <f>IF(COUNTIF(S456:S458,"Yes"),"Yes","No")</f>
        <v>Yes</v>
      </c>
      <c r="U459" t="s">
        <v>164</v>
      </c>
      <c r="V459" t="s">
        <v>9</v>
      </c>
      <c r="W459" t="s">
        <v>9</v>
      </c>
      <c r="X459" t="str">
        <f t="shared" si="173"/>
        <v>Yes</v>
      </c>
    </row>
    <row r="460" spans="1:32" x14ac:dyDescent="0.2">
      <c r="F460" s="2"/>
      <c r="J460" s="2" t="s">
        <v>22</v>
      </c>
      <c r="K460">
        <v>16</v>
      </c>
      <c r="L460" t="s">
        <v>12</v>
      </c>
      <c r="M460" t="s">
        <v>36</v>
      </c>
      <c r="N460" t="str">
        <f>IF(K460="N/A","No", IF(K460&gt;5000,"Yes","No"))</f>
        <v>No</v>
      </c>
      <c r="O460" t="str">
        <f>IF(K460="Not","No",IF(K460="n/a","N/A",IF(K460&gt;$Y$2,"Yes","No")))</f>
        <v>No</v>
      </c>
      <c r="U460" t="s">
        <v>162</v>
      </c>
      <c r="V460" t="str">
        <f>R457</f>
        <v>No</v>
      </c>
      <c r="W460" t="str">
        <f>S457</f>
        <v>No</v>
      </c>
      <c r="X460" t="str">
        <f t="shared" si="173"/>
        <v>Yes</v>
      </c>
    </row>
    <row r="461" spans="1:32" x14ac:dyDescent="0.2">
      <c r="F461" s="2"/>
      <c r="J461" s="2" t="s">
        <v>25</v>
      </c>
      <c r="K461">
        <v>0</v>
      </c>
      <c r="L461" t="s">
        <v>12</v>
      </c>
      <c r="M461" t="s">
        <v>59</v>
      </c>
      <c r="N461" t="str">
        <f>IF(K461="N/A","No", IF(K461&gt;230,"Yes","No"))</f>
        <v>No</v>
      </c>
      <c r="O461" t="str">
        <f>IF(K461="Not","No",IF(K461="n/a","N/A",IF(K461&gt;$Y$5,"Yes","No")))</f>
        <v>No</v>
      </c>
      <c r="U461" t="s">
        <v>101</v>
      </c>
      <c r="V461" t="s">
        <v>5</v>
      </c>
      <c r="W461" t="s">
        <v>5</v>
      </c>
      <c r="X461" t="str">
        <f>IF(V461="N/A","N/A",IF(W461="N/A", "N/A", IF(V461=W461, "Yes","No")))</f>
        <v>Yes</v>
      </c>
    </row>
    <row r="462" spans="1:32" x14ac:dyDescent="0.2">
      <c r="F462" s="2"/>
      <c r="J462" s="2" t="s">
        <v>29</v>
      </c>
      <c r="K462">
        <v>108</v>
      </c>
      <c r="L462" t="s">
        <v>12</v>
      </c>
      <c r="M462" t="s">
        <v>72</v>
      </c>
      <c r="N462" t="str">
        <f>IF(K462="N/A","No", IF(K462&gt;20,"Yes","No"))</f>
        <v>Yes</v>
      </c>
      <c r="O462" t="str">
        <f t="shared" ref="O462:O463" si="176">IF(K462="Not","No",IF(K462="n/a","N/A",IF(K462&gt;$Y$6,"Yes","No")))</f>
        <v>Yes</v>
      </c>
      <c r="U462" t="s">
        <v>104</v>
      </c>
      <c r="V462" t="s">
        <v>120</v>
      </c>
      <c r="W462" t="s">
        <v>9</v>
      </c>
      <c r="X462" t="str">
        <f>IF(V462="N/A","N/A",IF(W462="N/A", "N/A", IF(V462=W462, "Yes","No")))</f>
        <v>N/A</v>
      </c>
    </row>
    <row r="463" spans="1:32" x14ac:dyDescent="0.2">
      <c r="F463" s="2"/>
      <c r="J463" s="2" t="s">
        <v>34</v>
      </c>
      <c r="K463">
        <v>25</v>
      </c>
      <c r="L463" t="s">
        <v>12</v>
      </c>
      <c r="M463" t="s">
        <v>74</v>
      </c>
      <c r="N463" t="str">
        <f>IF(K463="N/A","No", IF(K463&gt;20,"Yes","No"))</f>
        <v>Yes</v>
      </c>
      <c r="O463" t="str">
        <f t="shared" si="176"/>
        <v>Yes</v>
      </c>
      <c r="U463" t="s">
        <v>106</v>
      </c>
      <c r="V463" t="str">
        <f>R458</f>
        <v>Yes</v>
      </c>
      <c r="W463" t="str">
        <f>S458</f>
        <v>Yes</v>
      </c>
      <c r="X463" t="str">
        <f>IF(V463="N/A","N/A",IF(W463="N/A", "N/A", IF(V463=W463, "Yes","No")))</f>
        <v>Yes</v>
      </c>
    </row>
    <row r="464" spans="1:32" x14ac:dyDescent="0.2">
      <c r="F464" s="2"/>
      <c r="J464" s="2"/>
      <c r="U464" t="s">
        <v>121</v>
      </c>
      <c r="V464" t="str">
        <f>R459</f>
        <v>Yes</v>
      </c>
      <c r="W464" t="str">
        <f>S459</f>
        <v>Yes</v>
      </c>
      <c r="X464" t="str">
        <f>IF(V464="N/A","N/A",IF(W464="N/A", "N/A", IF(V464=W464, "Yes","No")))</f>
        <v>Yes</v>
      </c>
    </row>
    <row r="465" spans="1:32" x14ac:dyDescent="0.2">
      <c r="A465" s="1">
        <f>VLOOKUP(C465,'Grid - LRA Samples'!$A$2:$B$108, 2,FALSE)</f>
        <v>1415</v>
      </c>
      <c r="B465" t="s">
        <v>319</v>
      </c>
      <c r="C465">
        <v>82</v>
      </c>
    </row>
    <row r="466" spans="1:32" x14ac:dyDescent="0.2">
      <c r="A466" s="5" t="s">
        <v>0</v>
      </c>
      <c r="E466" s="2" t="s">
        <v>274</v>
      </c>
      <c r="F466" s="2" t="s">
        <v>275</v>
      </c>
      <c r="G466" t="s">
        <v>119</v>
      </c>
      <c r="J466" s="5" t="s">
        <v>1</v>
      </c>
      <c r="N466" s="2" t="s">
        <v>277</v>
      </c>
      <c r="O466" t="s">
        <v>278</v>
      </c>
      <c r="Q466" s="5" t="s">
        <v>115</v>
      </c>
      <c r="R466" s="5" t="s">
        <v>0</v>
      </c>
      <c r="S466" s="5" t="s">
        <v>1</v>
      </c>
      <c r="U466" s="5" t="s">
        <v>115</v>
      </c>
      <c r="V466" s="5" t="s">
        <v>0</v>
      </c>
      <c r="W466" s="5" t="s">
        <v>1</v>
      </c>
      <c r="X466" s="5" t="s">
        <v>122</v>
      </c>
      <c r="AA466" t="str">
        <f>IF(R467="Yes","LRA-Soil","")</f>
        <v>LRA-Soil</v>
      </c>
      <c r="AB466" t="str">
        <f>IF(R468="Yes","LRA-Paint","")</f>
        <v>LRA-Paint</v>
      </c>
      <c r="AC466" t="str">
        <f>IF(R469="Yes","LRA-Dust","")</f>
        <v>LRA-Dust</v>
      </c>
      <c r="AD466" t="str">
        <f>IF(S467="Yes","LSK-Soil","")</f>
        <v>LSK-Soil</v>
      </c>
      <c r="AE466" t="str">
        <f>IF(S468="Yes","LSK-Paint","")</f>
        <v/>
      </c>
      <c r="AF466" t="str">
        <f>IF(S469="Yes","LSK-Dust","")</f>
        <v>LSK-Dust</v>
      </c>
    </row>
    <row r="467" spans="1:32" x14ac:dyDescent="0.2">
      <c r="A467" t="s">
        <v>63</v>
      </c>
      <c r="B467" t="s">
        <v>64</v>
      </c>
      <c r="C467">
        <v>2.1</v>
      </c>
      <c r="D467" t="s">
        <v>4</v>
      </c>
      <c r="F467" s="2" t="str">
        <f t="shared" ref="F467:F474" si="177">IF(C467&gt;=$W$2,"Yes","No")</f>
        <v>Yes</v>
      </c>
      <c r="G467" t="s">
        <v>5</v>
      </c>
      <c r="H467" t="s">
        <v>46</v>
      </c>
      <c r="J467" s="2" t="s">
        <v>6</v>
      </c>
      <c r="K467">
        <v>1579</v>
      </c>
      <c r="L467" t="s">
        <v>12</v>
      </c>
      <c r="M467" t="s">
        <v>36</v>
      </c>
      <c r="N467" t="str">
        <f>IF(K467="N/A","No", IF(K467&gt;1200,"Yes","No"))</f>
        <v>Yes</v>
      </c>
      <c r="O467" t="str">
        <f>IF(K467="Not","No",IF(K467="n/a","N/A",IF(K467&gt;=$Y$3,"Yes","No")))</f>
        <v>Yes</v>
      </c>
      <c r="Q467" s="2" t="s">
        <v>116</v>
      </c>
      <c r="R467" s="30" t="s">
        <v>5</v>
      </c>
      <c r="S467" t="str">
        <f>IF(COUNTIF(O467:O469,"Yes"),"Yes","No")</f>
        <v>Yes</v>
      </c>
      <c r="U467" t="s">
        <v>92</v>
      </c>
      <c r="V467" t="s">
        <v>120</v>
      </c>
      <c r="W467" t="s">
        <v>120</v>
      </c>
      <c r="X467" t="str">
        <f>IF(V467="N/A","N/A",IF(W467="N/A", "N/A", IF(V467=W467, "Yes","No")))</f>
        <v>N/A</v>
      </c>
    </row>
    <row r="468" spans="1:32" x14ac:dyDescent="0.2">
      <c r="A468" t="s">
        <v>63</v>
      </c>
      <c r="B468" t="s">
        <v>24</v>
      </c>
      <c r="C468">
        <v>2.8</v>
      </c>
      <c r="D468" t="s">
        <v>4</v>
      </c>
      <c r="F468" s="2" t="str">
        <f t="shared" si="177"/>
        <v>Yes</v>
      </c>
      <c r="G468" t="s">
        <v>5</v>
      </c>
      <c r="H468" t="s">
        <v>46</v>
      </c>
      <c r="J468" s="2" t="s">
        <v>11</v>
      </c>
      <c r="K468">
        <v>197</v>
      </c>
      <c r="L468" t="s">
        <v>12</v>
      </c>
      <c r="M468" t="s">
        <v>38</v>
      </c>
      <c r="N468" t="str">
        <f t="shared" ref="N468:N469" si="178">IF(K468="N/A","No", IF(K468&gt;1200,"Yes","No"))</f>
        <v>No</v>
      </c>
      <c r="O468" t="str">
        <f t="shared" ref="O468:O469" si="179">IF(K468="Not","No",IF(K468="n/a","N/A",IF(K468&gt;$Y$3,"Yes","No")))</f>
        <v>No</v>
      </c>
      <c r="Q468" s="2" t="s">
        <v>98</v>
      </c>
      <c r="R468" t="str">
        <f>_xlfn.XLOOKUP("mg/cm2",D467:D485,G467:G485,"N/A",1,-1)</f>
        <v>Yes</v>
      </c>
      <c r="S468" t="str">
        <f>IF(COUNTIF(O470:O471,"Yes"),"Yes","No")</f>
        <v>No</v>
      </c>
      <c r="U468" t="s">
        <v>95</v>
      </c>
      <c r="V468" t="str">
        <f>R467</f>
        <v>Yes</v>
      </c>
      <c r="W468" t="str">
        <f>S467</f>
        <v>Yes</v>
      </c>
      <c r="X468" t="str">
        <f t="shared" ref="X468:X471" si="180">IF(V468="N/A","N/A",IF(W468="N/A", "N/A", IF(V468=W468, "Yes","No")))</f>
        <v>Yes</v>
      </c>
    </row>
    <row r="469" spans="1:32" x14ac:dyDescent="0.2">
      <c r="A469" t="s">
        <v>63</v>
      </c>
      <c r="B469" t="s">
        <v>24</v>
      </c>
      <c r="C469">
        <v>3.3</v>
      </c>
      <c r="D469" t="s">
        <v>4</v>
      </c>
      <c r="F469" s="2" t="str">
        <f t="shared" si="177"/>
        <v>Yes</v>
      </c>
      <c r="G469" t="s">
        <v>5</v>
      </c>
      <c r="H469" t="s">
        <v>46</v>
      </c>
      <c r="J469" s="2" t="s">
        <v>15</v>
      </c>
      <c r="K469">
        <v>16</v>
      </c>
      <c r="L469" t="s">
        <v>12</v>
      </c>
      <c r="M469" t="s">
        <v>41</v>
      </c>
      <c r="N469" t="str">
        <f t="shared" si="178"/>
        <v>No</v>
      </c>
      <c r="O469" t="str">
        <f t="shared" si="179"/>
        <v>No</v>
      </c>
      <c r="Q469" s="2" t="s">
        <v>117</v>
      </c>
      <c r="R469" t="str">
        <f>_xlfn.XLOOKUP("ug/ft2",D467:D485,F467:F485,"N/A")</f>
        <v>Yes</v>
      </c>
      <c r="S469" t="str">
        <f>IF(COUNTIF(O472:O475,"Yes"),"Yes","No")</f>
        <v>Yes</v>
      </c>
      <c r="U469" t="s">
        <v>163</v>
      </c>
      <c r="V469" t="s">
        <v>5</v>
      </c>
      <c r="W469" t="s">
        <v>9</v>
      </c>
      <c r="X469" t="str">
        <f t="shared" si="180"/>
        <v>No</v>
      </c>
    </row>
    <row r="470" spans="1:32" x14ac:dyDescent="0.2">
      <c r="A470" t="s">
        <v>63</v>
      </c>
      <c r="B470" t="s">
        <v>24</v>
      </c>
      <c r="C470">
        <v>1</v>
      </c>
      <c r="D470" t="s">
        <v>4</v>
      </c>
      <c r="F470" s="2" t="str">
        <f t="shared" si="177"/>
        <v>Yes</v>
      </c>
      <c r="G470" t="s">
        <v>5</v>
      </c>
      <c r="H470" t="s">
        <v>46</v>
      </c>
      <c r="J470" s="2" t="s">
        <v>19</v>
      </c>
      <c r="K470">
        <v>514</v>
      </c>
      <c r="L470" t="s">
        <v>12</v>
      </c>
      <c r="M470" t="s">
        <v>70</v>
      </c>
      <c r="N470" t="str">
        <f>IF(K470="N/A","No", IF(K470&gt;5000,"Yes","No"))</f>
        <v>No</v>
      </c>
      <c r="O470" t="str">
        <f>IF(K470="Not","No",IF(K470="n/a","N/A",IF(K470&gt;$Y$2,"Yes","No")))</f>
        <v>No</v>
      </c>
      <c r="Q470" s="2" t="s">
        <v>118</v>
      </c>
      <c r="R470" t="str">
        <f>IF(COUNTIF(R467:R469,"Yes"),"Yes","No")</f>
        <v>Yes</v>
      </c>
      <c r="S470" t="str">
        <f>IF(COUNTIF(S467:S469,"Yes"),"Yes","No")</f>
        <v>Yes</v>
      </c>
      <c r="U470" t="s">
        <v>164</v>
      </c>
      <c r="V470" t="s">
        <v>5</v>
      </c>
      <c r="W470" t="s">
        <v>9</v>
      </c>
      <c r="X470" t="str">
        <f t="shared" si="180"/>
        <v>No</v>
      </c>
    </row>
    <row r="471" spans="1:32" x14ac:dyDescent="0.2">
      <c r="A471" t="s">
        <v>63</v>
      </c>
      <c r="B471" t="s">
        <v>24</v>
      </c>
      <c r="C471">
        <v>1</v>
      </c>
      <c r="D471" t="s">
        <v>4</v>
      </c>
      <c r="F471" s="2" t="str">
        <f t="shared" si="177"/>
        <v>Yes</v>
      </c>
      <c r="G471" t="s">
        <v>5</v>
      </c>
      <c r="H471" t="s">
        <v>46</v>
      </c>
      <c r="J471" s="2" t="s">
        <v>22</v>
      </c>
      <c r="K471">
        <v>380</v>
      </c>
      <c r="L471" t="s">
        <v>12</v>
      </c>
      <c r="M471" t="s">
        <v>36</v>
      </c>
      <c r="N471" t="str">
        <f>IF(K471="N/A","No", IF(K471&gt;5000,"Yes","No"))</f>
        <v>No</v>
      </c>
      <c r="O471" t="str">
        <f>IF(K471="Not","No",IF(K471="n/a","N/A",IF(K471&gt;$Y$2,"Yes","No")))</f>
        <v>No</v>
      </c>
      <c r="U471" t="s">
        <v>162</v>
      </c>
      <c r="V471" t="str">
        <f>R468</f>
        <v>Yes</v>
      </c>
      <c r="W471" t="str">
        <f>S468</f>
        <v>No</v>
      </c>
      <c r="X471" t="str">
        <f t="shared" si="180"/>
        <v>No</v>
      </c>
    </row>
    <row r="472" spans="1:32" x14ac:dyDescent="0.2">
      <c r="A472" t="s">
        <v>63</v>
      </c>
      <c r="B472" t="s">
        <v>24</v>
      </c>
      <c r="C472">
        <v>4.2</v>
      </c>
      <c r="D472" t="s">
        <v>4</v>
      </c>
      <c r="F472" s="2" t="str">
        <f t="shared" si="177"/>
        <v>Yes</v>
      </c>
      <c r="G472" t="s">
        <v>5</v>
      </c>
      <c r="H472" t="s">
        <v>46</v>
      </c>
      <c r="J472" s="2" t="s">
        <v>25</v>
      </c>
      <c r="K472">
        <v>51</v>
      </c>
      <c r="L472" t="s">
        <v>12</v>
      </c>
      <c r="M472" t="s">
        <v>59</v>
      </c>
      <c r="N472" t="str">
        <f>IF(K472="N/A","No", IF(K472&gt;230,"Yes","No"))</f>
        <v>No</v>
      </c>
      <c r="O472" t="str">
        <f>IF(K472="Not","No",IF(K472="n/a","N/A",IF(K472&gt;$Y$5,"Yes","No")))</f>
        <v>No</v>
      </c>
      <c r="U472" t="s">
        <v>101</v>
      </c>
      <c r="V472" t="s">
        <v>5</v>
      </c>
      <c r="W472" t="s">
        <v>5</v>
      </c>
      <c r="X472" t="str">
        <f>IF(V472="N/A","N/A",IF(W472="N/A", "N/A", IF(V472=W472, "Yes","No")))</f>
        <v>Yes</v>
      </c>
    </row>
    <row r="473" spans="1:32" x14ac:dyDescent="0.2">
      <c r="A473" t="s">
        <v>63</v>
      </c>
      <c r="B473" t="s">
        <v>24</v>
      </c>
      <c r="C473">
        <v>2.8</v>
      </c>
      <c r="D473" t="s">
        <v>4</v>
      </c>
      <c r="F473" s="2" t="str">
        <f t="shared" si="177"/>
        <v>Yes</v>
      </c>
      <c r="G473" t="s">
        <v>5</v>
      </c>
      <c r="H473" t="s">
        <v>46</v>
      </c>
      <c r="J473" s="2" t="s">
        <v>29</v>
      </c>
      <c r="K473">
        <v>0</v>
      </c>
      <c r="L473" t="s">
        <v>12</v>
      </c>
      <c r="M473" t="s">
        <v>72</v>
      </c>
      <c r="N473" t="str">
        <f>IF(K473="N/A","No", IF(K473&gt;20,"Yes","No"))</f>
        <v>No</v>
      </c>
      <c r="O473" t="str">
        <f t="shared" ref="O473:O474" si="181">IF(K473="Not","No",IF(K473="n/a","N/A",IF(K473&gt;$Y$6,"Yes","No")))</f>
        <v>No</v>
      </c>
      <c r="U473" t="s">
        <v>104</v>
      </c>
      <c r="V473" t="s">
        <v>5</v>
      </c>
      <c r="W473" t="s">
        <v>9</v>
      </c>
      <c r="X473" t="str">
        <f>IF(V473="N/A","N/A",IF(W473="N/A", "N/A", IF(V473=W473, "Yes","No")))</f>
        <v>No</v>
      </c>
    </row>
    <row r="474" spans="1:32" x14ac:dyDescent="0.2">
      <c r="A474" t="s">
        <v>63</v>
      </c>
      <c r="B474" t="s">
        <v>24</v>
      </c>
      <c r="C474">
        <v>3.4</v>
      </c>
      <c r="D474" t="s">
        <v>4</v>
      </c>
      <c r="F474" s="2" t="str">
        <f t="shared" si="177"/>
        <v>Yes</v>
      </c>
      <c r="G474" t="s">
        <v>5</v>
      </c>
      <c r="H474" t="s">
        <v>46</v>
      </c>
      <c r="J474" s="2" t="s">
        <v>34</v>
      </c>
      <c r="K474">
        <v>57</v>
      </c>
      <c r="L474" t="s">
        <v>12</v>
      </c>
      <c r="M474" t="s">
        <v>74</v>
      </c>
      <c r="N474" t="str">
        <f>IF(K474="N/A","No", IF(K474&gt;20,"Yes","No"))</f>
        <v>Yes</v>
      </c>
      <c r="O474" t="str">
        <f t="shared" si="181"/>
        <v>Yes</v>
      </c>
      <c r="U474" t="s">
        <v>106</v>
      </c>
      <c r="V474" t="str">
        <f>R469</f>
        <v>Yes</v>
      </c>
      <c r="W474" t="str">
        <f>S469</f>
        <v>Yes</v>
      </c>
      <c r="X474" t="str">
        <f>IF(V474="N/A","N/A",IF(W474="N/A", "N/A", IF(V474=W474, "Yes","No")))</f>
        <v>Yes</v>
      </c>
    </row>
    <row r="475" spans="1:32" x14ac:dyDescent="0.2">
      <c r="A475" t="s">
        <v>75</v>
      </c>
      <c r="B475" t="s">
        <v>69</v>
      </c>
      <c r="C475">
        <v>88</v>
      </c>
      <c r="D475" t="s">
        <v>12</v>
      </c>
      <c r="F475" s="2" t="str">
        <f t="shared" ref="F475:F476" si="182">IF(C475&gt;$W$3,"Yes","No")</f>
        <v>No</v>
      </c>
      <c r="G475" t="s">
        <v>9</v>
      </c>
      <c r="J475" s="2"/>
      <c r="U475" t="s">
        <v>121</v>
      </c>
      <c r="V475" t="str">
        <f>R470</f>
        <v>Yes</v>
      </c>
      <c r="W475" t="str">
        <f>S470</f>
        <v>Yes</v>
      </c>
      <c r="X475" t="str">
        <f>IF(V475="N/A","N/A",IF(W475="N/A", "N/A", IF(V475=W475, "Yes","No")))</f>
        <v>Yes</v>
      </c>
    </row>
    <row r="476" spans="1:32" x14ac:dyDescent="0.2">
      <c r="A476" t="s">
        <v>75</v>
      </c>
      <c r="B476" t="s">
        <v>301</v>
      </c>
      <c r="C476">
        <v>1000</v>
      </c>
      <c r="D476" t="s">
        <v>12</v>
      </c>
      <c r="F476" s="2" t="str">
        <f t="shared" si="182"/>
        <v>Yes</v>
      </c>
      <c r="G476" t="s">
        <v>9</v>
      </c>
    </row>
    <row r="477" spans="1:32" x14ac:dyDescent="0.2">
      <c r="A477" t="s">
        <v>245</v>
      </c>
      <c r="B477" t="s">
        <v>40</v>
      </c>
      <c r="C477">
        <v>1.5</v>
      </c>
      <c r="D477" t="s">
        <v>4</v>
      </c>
      <c r="F477" s="2" t="str">
        <f t="shared" ref="F477:F482" si="183">IF(C477&gt;=$W$2,"Yes","No")</f>
        <v>Yes</v>
      </c>
      <c r="G477" t="s">
        <v>5</v>
      </c>
      <c r="H477" t="s">
        <v>43</v>
      </c>
    </row>
    <row r="478" spans="1:32" x14ac:dyDescent="0.2">
      <c r="A478" t="s">
        <v>113</v>
      </c>
      <c r="B478" t="s">
        <v>10</v>
      </c>
      <c r="C478">
        <v>7.4</v>
      </c>
      <c r="D478" t="s">
        <v>4</v>
      </c>
      <c r="F478" s="2" t="str">
        <f t="shared" si="183"/>
        <v>Yes</v>
      </c>
      <c r="G478" t="s">
        <v>5</v>
      </c>
      <c r="H478" t="s">
        <v>43</v>
      </c>
    </row>
    <row r="479" spans="1:32" x14ac:dyDescent="0.2">
      <c r="A479" t="s">
        <v>109</v>
      </c>
      <c r="B479" t="s">
        <v>24</v>
      </c>
      <c r="C479">
        <v>5.7</v>
      </c>
      <c r="D479" t="s">
        <v>4</v>
      </c>
      <c r="F479" s="2" t="str">
        <f t="shared" si="183"/>
        <v>Yes</v>
      </c>
      <c r="G479" t="s">
        <v>5</v>
      </c>
      <c r="H479" t="s">
        <v>43</v>
      </c>
    </row>
    <row r="480" spans="1:32" x14ac:dyDescent="0.2">
      <c r="A480" t="s">
        <v>157</v>
      </c>
      <c r="B480" t="s">
        <v>24</v>
      </c>
      <c r="C480">
        <v>5.9</v>
      </c>
      <c r="D480" t="s">
        <v>4</v>
      </c>
      <c r="F480" s="2" t="str">
        <f t="shared" si="183"/>
        <v>Yes</v>
      </c>
      <c r="G480" t="s">
        <v>5</v>
      </c>
      <c r="H480" t="s">
        <v>43</v>
      </c>
    </row>
    <row r="481" spans="1:32" x14ac:dyDescent="0.2">
      <c r="A481" t="s">
        <v>322</v>
      </c>
      <c r="B481" t="s">
        <v>304</v>
      </c>
      <c r="C481">
        <v>1.4</v>
      </c>
      <c r="D481" t="s">
        <v>4</v>
      </c>
      <c r="F481" s="2" t="str">
        <f t="shared" si="183"/>
        <v>Yes</v>
      </c>
      <c r="G481" t="s">
        <v>5</v>
      </c>
      <c r="H481" t="s">
        <v>43</v>
      </c>
    </row>
    <row r="482" spans="1:32" x14ac:dyDescent="0.2">
      <c r="A482" t="s">
        <v>247</v>
      </c>
      <c r="B482" t="s">
        <v>40</v>
      </c>
      <c r="C482">
        <v>3.4</v>
      </c>
      <c r="D482" t="s">
        <v>4</v>
      </c>
      <c r="F482" s="2" t="str">
        <f t="shared" si="183"/>
        <v>Yes</v>
      </c>
      <c r="G482" t="s">
        <v>5</v>
      </c>
      <c r="H482" t="s">
        <v>43</v>
      </c>
    </row>
    <row r="483" spans="1:32" x14ac:dyDescent="0.2">
      <c r="A483" t="s">
        <v>427</v>
      </c>
      <c r="B483" t="s">
        <v>54</v>
      </c>
      <c r="C483">
        <v>180</v>
      </c>
      <c r="D483" t="s">
        <v>33</v>
      </c>
      <c r="F483" s="2" t="str">
        <f t="shared" ref="F483:F484" si="184">IF(C483&gt;$W$5,"Yes","No")</f>
        <v>Yes</v>
      </c>
      <c r="G483" t="s">
        <v>5</v>
      </c>
    </row>
    <row r="484" spans="1:32" x14ac:dyDescent="0.2">
      <c r="A484" t="s">
        <v>109</v>
      </c>
      <c r="B484" t="s">
        <v>54</v>
      </c>
      <c r="C484">
        <v>280</v>
      </c>
      <c r="D484" t="s">
        <v>33</v>
      </c>
      <c r="F484" s="2" t="str">
        <f t="shared" si="184"/>
        <v>Yes</v>
      </c>
      <c r="G484" t="s">
        <v>5</v>
      </c>
    </row>
    <row r="485" spans="1:32" x14ac:dyDescent="0.2">
      <c r="A485" t="s">
        <v>71</v>
      </c>
      <c r="B485" t="s">
        <v>32</v>
      </c>
      <c r="C485">
        <v>26</v>
      </c>
      <c r="D485" t="s">
        <v>33</v>
      </c>
      <c r="F485" s="2" t="str">
        <f t="shared" ref="F485" si="185">IF(C485&gt;$W$6,"Yes","No")</f>
        <v>Yes</v>
      </c>
      <c r="G485" t="s">
        <v>5</v>
      </c>
    </row>
    <row r="488" spans="1:32" x14ac:dyDescent="0.2">
      <c r="A488" s="1">
        <f>VLOOKUP(C488,'Grid - LRA Samples'!$A$2:$B$108, 2,FALSE)</f>
        <v>1436</v>
      </c>
      <c r="B488" t="s">
        <v>319</v>
      </c>
      <c r="C488">
        <v>92</v>
      </c>
    </row>
    <row r="489" spans="1:32" x14ac:dyDescent="0.2">
      <c r="A489" s="5" t="s">
        <v>0</v>
      </c>
      <c r="E489" s="2" t="s">
        <v>274</v>
      </c>
      <c r="F489" s="2" t="s">
        <v>275</v>
      </c>
      <c r="G489" t="s">
        <v>119</v>
      </c>
      <c r="J489" s="5" t="s">
        <v>1</v>
      </c>
      <c r="N489" s="2" t="s">
        <v>277</v>
      </c>
      <c r="O489" t="s">
        <v>278</v>
      </c>
      <c r="Q489" s="5" t="s">
        <v>115</v>
      </c>
      <c r="R489" s="5" t="s">
        <v>0</v>
      </c>
      <c r="S489" s="5" t="s">
        <v>1</v>
      </c>
      <c r="U489" s="5" t="s">
        <v>115</v>
      </c>
      <c r="V489" s="5" t="s">
        <v>0</v>
      </c>
      <c r="W489" s="5" t="s">
        <v>1</v>
      </c>
      <c r="X489" s="5" t="s">
        <v>122</v>
      </c>
      <c r="AA489" t="str">
        <f>IF(R490="Yes","LRA-Soil","")</f>
        <v>LRA-Soil</v>
      </c>
      <c r="AB489" t="str">
        <f>IF(R491="Yes","LRA-Paint","")</f>
        <v>LRA-Paint</v>
      </c>
      <c r="AC489" t="str">
        <f>IF(R492="Yes","LRA-Dust","")</f>
        <v>LRA-Dust</v>
      </c>
      <c r="AD489" t="str">
        <f>IF(S490="Yes","LSK-Soil","")</f>
        <v>LSK-Soil</v>
      </c>
      <c r="AE489" t="str">
        <f>IF(S491="Yes","LSK-Paint","")</f>
        <v/>
      </c>
      <c r="AF489" t="str">
        <f>IF(S492="Yes","LSK-Dust","")</f>
        <v>LSK-Dust</v>
      </c>
    </row>
    <row r="490" spans="1:32" x14ac:dyDescent="0.2">
      <c r="A490" t="s">
        <v>185</v>
      </c>
      <c r="B490" t="s">
        <v>186</v>
      </c>
      <c r="C490">
        <v>1.6</v>
      </c>
      <c r="D490" t="s">
        <v>4</v>
      </c>
      <c r="E490" t="s">
        <v>5</v>
      </c>
      <c r="F490" s="2" t="str">
        <f t="shared" ref="F490" si="186">IF(C490&gt;=$W$2,"Yes","No")</f>
        <v>Yes</v>
      </c>
      <c r="G490" t="s">
        <v>5</v>
      </c>
      <c r="H490" t="s">
        <v>46</v>
      </c>
      <c r="J490" s="2" t="s">
        <v>6</v>
      </c>
      <c r="K490">
        <v>389</v>
      </c>
      <c r="L490" t="s">
        <v>12</v>
      </c>
      <c r="M490" t="s">
        <v>36</v>
      </c>
      <c r="N490" t="str">
        <f>IF(K490="N/A","No", IF(K490&gt;1200,"Yes","No"))</f>
        <v>No</v>
      </c>
      <c r="O490" t="str">
        <f>IF(K490="Not","No",IF(K490="n/a","N/A",IF(K490&gt;=$Y$3,"Yes","No")))</f>
        <v>No</v>
      </c>
      <c r="Q490" s="2" t="s">
        <v>116</v>
      </c>
      <c r="R490" t="str">
        <f>_xlfn.XLOOKUP("ppm",D490:D494,F490:F494,"N/A")</f>
        <v>Yes</v>
      </c>
      <c r="S490" t="str">
        <f>IF(COUNTIF(O490:O492,"Yes"),"Yes","No")</f>
        <v>Yes</v>
      </c>
      <c r="U490" t="s">
        <v>92</v>
      </c>
      <c r="V490" t="s">
        <v>120</v>
      </c>
      <c r="W490" t="s">
        <v>120</v>
      </c>
      <c r="X490" t="str">
        <f>IF(V490="N/A","N/A",IF(W490="N/A", "N/A", IF(V490=W490, "Yes","No")))</f>
        <v>N/A</v>
      </c>
    </row>
    <row r="491" spans="1:32" x14ac:dyDescent="0.2">
      <c r="A491" t="s">
        <v>200</v>
      </c>
      <c r="B491" t="s">
        <v>294</v>
      </c>
      <c r="C491">
        <v>870</v>
      </c>
      <c r="D491" t="s">
        <v>12</v>
      </c>
      <c r="E491" t="s">
        <v>9</v>
      </c>
      <c r="F491" s="2" t="str">
        <f t="shared" ref="F491:F492" si="187">IF(C491&gt;$W$3,"Yes","No")</f>
        <v>Yes</v>
      </c>
      <c r="G491" s="2" t="s">
        <v>9</v>
      </c>
      <c r="J491" s="2" t="s">
        <v>11</v>
      </c>
      <c r="K491">
        <v>2064</v>
      </c>
      <c r="L491" t="s">
        <v>12</v>
      </c>
      <c r="M491" t="s">
        <v>429</v>
      </c>
      <c r="N491" t="str">
        <f t="shared" ref="N491:N492" si="188">IF(K491="N/A","No", IF(K491&gt;1200,"Yes","No"))</f>
        <v>Yes</v>
      </c>
      <c r="O491" t="str">
        <f t="shared" ref="O491:O492" si="189">IF(K491="Not","No",IF(K491="n/a","N/A",IF(K491&gt;$Y$3,"Yes","No")))</f>
        <v>Yes</v>
      </c>
      <c r="Q491" s="2" t="s">
        <v>98</v>
      </c>
      <c r="R491" s="30" t="s">
        <v>5</v>
      </c>
      <c r="S491" t="str">
        <f>IF(COUNTIF(O493:O494,"Yes"),"Yes","No")</f>
        <v>No</v>
      </c>
      <c r="U491" t="s">
        <v>95</v>
      </c>
      <c r="V491" t="str">
        <f>R490</f>
        <v>Yes</v>
      </c>
      <c r="W491" t="str">
        <f>S490</f>
        <v>Yes</v>
      </c>
      <c r="X491" t="str">
        <f t="shared" ref="X491:X494" si="190">IF(V491="N/A","N/A",IF(W491="N/A", "N/A", IF(V491=W491, "Yes","No")))</f>
        <v>Yes</v>
      </c>
    </row>
    <row r="492" spans="1:32" x14ac:dyDescent="0.2">
      <c r="A492" t="s">
        <v>200</v>
      </c>
      <c r="B492" t="s">
        <v>286</v>
      </c>
      <c r="C492">
        <v>440</v>
      </c>
      <c r="D492" t="s">
        <v>12</v>
      </c>
      <c r="E492" t="s">
        <v>9</v>
      </c>
      <c r="F492" s="2" t="str">
        <f t="shared" si="187"/>
        <v>Yes</v>
      </c>
      <c r="G492" t="s">
        <v>9</v>
      </c>
      <c r="J492" s="2" t="s">
        <v>15</v>
      </c>
      <c r="K492">
        <v>58</v>
      </c>
      <c r="L492" t="s">
        <v>12</v>
      </c>
      <c r="M492" t="s">
        <v>41</v>
      </c>
      <c r="N492" t="str">
        <f t="shared" si="188"/>
        <v>No</v>
      </c>
      <c r="O492" t="str">
        <f t="shared" si="189"/>
        <v>No</v>
      </c>
      <c r="Q492" s="2" t="s">
        <v>117</v>
      </c>
      <c r="R492" t="str">
        <f>_xlfn.XLOOKUP("ug/ft2",D490:D494,F490:F494,"N/A")</f>
        <v>Yes</v>
      </c>
      <c r="S492" t="str">
        <f>IF(COUNTIF(O495:O498,"Yes"),"Yes","No")</f>
        <v>Yes</v>
      </c>
      <c r="U492" t="s">
        <v>163</v>
      </c>
      <c r="V492" t="s">
        <v>9</v>
      </c>
      <c r="W492" t="s">
        <v>9</v>
      </c>
      <c r="X492" t="str">
        <f t="shared" si="190"/>
        <v>Yes</v>
      </c>
    </row>
    <row r="493" spans="1:32" x14ac:dyDescent="0.2">
      <c r="A493" t="s">
        <v>201</v>
      </c>
      <c r="B493" t="s">
        <v>189</v>
      </c>
      <c r="C493">
        <v>0</v>
      </c>
      <c r="D493" t="s">
        <v>4</v>
      </c>
      <c r="E493" t="s">
        <v>9</v>
      </c>
      <c r="F493" s="2" t="str">
        <f t="shared" ref="F493" si="191">IF(C493&gt;=$W$2,"Yes","No")</f>
        <v>No</v>
      </c>
      <c r="G493" t="s">
        <v>9</v>
      </c>
      <c r="H493" t="s">
        <v>43</v>
      </c>
      <c r="J493" s="2" t="s">
        <v>19</v>
      </c>
      <c r="K493">
        <v>0</v>
      </c>
      <c r="L493" t="s">
        <v>12</v>
      </c>
      <c r="M493" t="s">
        <v>402</v>
      </c>
      <c r="N493" t="str">
        <f>IF(K493="N/A","No", IF(K493&gt;5000,"Yes","No"))</f>
        <v>No</v>
      </c>
      <c r="O493" t="str">
        <f>IF(K493="Not","No",IF(K493="n/a","N/A",IF(K493&gt;$Y$2,"Yes","No")))</f>
        <v>No</v>
      </c>
      <c r="Q493" s="2" t="s">
        <v>118</v>
      </c>
      <c r="R493" t="str">
        <f>IF(COUNTIF(R490:R492,"Yes"),"Yes","No")</f>
        <v>Yes</v>
      </c>
      <c r="S493" t="str">
        <f>IF(COUNTIF(S490:S492,"Yes"),"Yes","No")</f>
        <v>Yes</v>
      </c>
      <c r="U493" t="s">
        <v>164</v>
      </c>
      <c r="V493" t="s">
        <v>5</v>
      </c>
      <c r="W493" t="s">
        <v>9</v>
      </c>
      <c r="X493" t="str">
        <f t="shared" si="190"/>
        <v>No</v>
      </c>
    </row>
    <row r="494" spans="1:32" x14ac:dyDescent="0.2">
      <c r="A494" t="s">
        <v>201</v>
      </c>
      <c r="B494" t="s">
        <v>214</v>
      </c>
      <c r="C494">
        <v>110</v>
      </c>
      <c r="D494" t="s">
        <v>33</v>
      </c>
      <c r="E494" t="s">
        <v>5</v>
      </c>
      <c r="F494" s="2" t="str">
        <f t="shared" ref="F494" si="192">IF(C494&gt;$W$6,"Yes","No")</f>
        <v>Yes</v>
      </c>
      <c r="G494" t="s">
        <v>5</v>
      </c>
      <c r="J494" s="2" t="s">
        <v>22</v>
      </c>
      <c r="K494">
        <v>0</v>
      </c>
      <c r="L494" t="s">
        <v>12</v>
      </c>
      <c r="M494" t="s">
        <v>70</v>
      </c>
      <c r="N494" t="str">
        <f>IF(K494="N/A","No", IF(K494&gt;5000,"Yes","No"))</f>
        <v>No</v>
      </c>
      <c r="O494" t="str">
        <f>IF(K494="Not","No",IF(K494="n/a","N/A",IF(K494&gt;$Y$2,"Yes","No")))</f>
        <v>No</v>
      </c>
      <c r="U494" t="s">
        <v>162</v>
      </c>
      <c r="V494" t="str">
        <f>R491</f>
        <v>Yes</v>
      </c>
      <c r="W494" t="str">
        <f>S491</f>
        <v>No</v>
      </c>
      <c r="X494" t="str">
        <f t="shared" si="190"/>
        <v>No</v>
      </c>
    </row>
    <row r="495" spans="1:32" x14ac:dyDescent="0.2">
      <c r="F495" s="2"/>
      <c r="J495" s="2" t="s">
        <v>25</v>
      </c>
      <c r="K495">
        <v>53</v>
      </c>
      <c r="L495" t="s">
        <v>12</v>
      </c>
      <c r="M495" t="s">
        <v>126</v>
      </c>
      <c r="N495" t="str">
        <f>IF(K495="N/A","No", IF(K495&gt;=20,"Yes","No"))</f>
        <v>Yes</v>
      </c>
      <c r="O495" t="str">
        <f>IF(K495="Not","No",IF(K495="n/a","N/A",IF(K495&gt;=$Y$6,"Yes","No")))</f>
        <v>Yes</v>
      </c>
      <c r="U495" t="s">
        <v>101</v>
      </c>
      <c r="V495" t="s">
        <v>5</v>
      </c>
      <c r="X495" t="str">
        <f>IF(V495="N/A","N/A",IF(W495="N/A", "N/A", IF(V495=W495, "Yes","No")))</f>
        <v>No</v>
      </c>
    </row>
    <row r="496" spans="1:32" x14ac:dyDescent="0.2">
      <c r="F496" s="2"/>
      <c r="J496" s="2" t="s">
        <v>29</v>
      </c>
      <c r="K496">
        <v>0</v>
      </c>
      <c r="L496" t="s">
        <v>12</v>
      </c>
      <c r="M496" t="s">
        <v>222</v>
      </c>
      <c r="N496" t="str">
        <f>IF(K496="N/A","No", IF(K496&gt;20,"Yes","No"))</f>
        <v>No</v>
      </c>
      <c r="O496" t="str">
        <f t="shared" ref="O496" si="193">IF(K496="Not","No",IF(K496="n/a","N/A",IF(K496&gt;$Y$6,"Yes","No")))</f>
        <v>No</v>
      </c>
      <c r="U496" t="s">
        <v>104</v>
      </c>
      <c r="V496" t="s">
        <v>120</v>
      </c>
      <c r="X496" t="str">
        <f>IF(V496="N/A","N/A",IF(W496="N/A", "N/A", IF(V496=W496, "Yes","No")))</f>
        <v>N/A</v>
      </c>
    </row>
    <row r="497" spans="1:32" x14ac:dyDescent="0.2">
      <c r="F497" s="2"/>
      <c r="J497" s="2" t="s">
        <v>34</v>
      </c>
      <c r="K497">
        <v>0</v>
      </c>
      <c r="L497" t="s">
        <v>12</v>
      </c>
      <c r="M497" t="s">
        <v>210</v>
      </c>
      <c r="N497" t="str">
        <f>IF(K497="N/A","No", IF(K497&gt;230,"Yes","No"))</f>
        <v>No</v>
      </c>
      <c r="O497" t="str">
        <f>IF(K497="Not","No",IF(K497="n/a","N/A",IF(K497&gt;$Y$5,"Yes","No")))</f>
        <v>No</v>
      </c>
      <c r="U497" t="s">
        <v>106</v>
      </c>
      <c r="V497" t="str">
        <f>R492</f>
        <v>Yes</v>
      </c>
      <c r="W497" t="str">
        <f>S492</f>
        <v>Yes</v>
      </c>
      <c r="X497" t="str">
        <f>IF(V497="N/A","N/A",IF(W497="N/A", "N/A", IF(V497=W497, "Yes","No")))</f>
        <v>Yes</v>
      </c>
    </row>
    <row r="498" spans="1:32" x14ac:dyDescent="0.2">
      <c r="J498" s="2"/>
      <c r="U498" t="s">
        <v>121</v>
      </c>
      <c r="V498" t="str">
        <f>R493</f>
        <v>Yes</v>
      </c>
      <c r="W498" t="str">
        <f>S493</f>
        <v>Yes</v>
      </c>
      <c r="X498" t="str">
        <f>IF(V498="N/A","N/A",IF(W498="N/A", "N/A", IF(V498=W498, "Yes","No")))</f>
        <v>Yes</v>
      </c>
    </row>
    <row r="500" spans="1:32" x14ac:dyDescent="0.2">
      <c r="A500" s="1">
        <f>VLOOKUP(C500,'Grid - LRA Samples'!$A$2:$B$108, 2,FALSE)</f>
        <v>1437</v>
      </c>
      <c r="B500" t="s">
        <v>319</v>
      </c>
      <c r="C500">
        <v>93</v>
      </c>
    </row>
    <row r="501" spans="1:32" x14ac:dyDescent="0.2">
      <c r="A501" s="5" t="s">
        <v>0</v>
      </c>
      <c r="E501" s="2" t="s">
        <v>274</v>
      </c>
      <c r="F501" s="2" t="s">
        <v>275</v>
      </c>
      <c r="G501" t="s">
        <v>119</v>
      </c>
      <c r="J501" s="5" t="s">
        <v>1</v>
      </c>
      <c r="N501" s="2" t="s">
        <v>277</v>
      </c>
      <c r="O501" t="s">
        <v>278</v>
      </c>
      <c r="Q501" s="5" t="s">
        <v>115</v>
      </c>
      <c r="R501" s="5" t="s">
        <v>0</v>
      </c>
      <c r="S501" s="5" t="s">
        <v>1</v>
      </c>
      <c r="U501" s="5" t="s">
        <v>115</v>
      </c>
      <c r="V501" s="5" t="s">
        <v>0</v>
      </c>
      <c r="W501" s="5" t="s">
        <v>1</v>
      </c>
      <c r="X501" s="5" t="s">
        <v>122</v>
      </c>
      <c r="AA501" t="str">
        <f>IF(R502="Yes","LRA-Soil","")</f>
        <v>LRA-Soil</v>
      </c>
      <c r="AB501" t="str">
        <f>IF(R503="Yes","LRA-Paint","")</f>
        <v>LRA-Paint</v>
      </c>
      <c r="AC501" t="str">
        <f>IF(R504="Yes","LRA-Dust","")</f>
        <v>LRA-Dust</v>
      </c>
      <c r="AD501" t="str">
        <f>IF(S502="Yes","LSK-Soil","")</f>
        <v>LSK-Soil</v>
      </c>
      <c r="AE501" t="str">
        <f>IF(S503="Yes","LSK-Paint","")</f>
        <v/>
      </c>
      <c r="AF501" t="str">
        <f>IF(S504="Yes","LSK-Dust","")</f>
        <v>LSK-Dust</v>
      </c>
    </row>
    <row r="502" spans="1:32" x14ac:dyDescent="0.2">
      <c r="A502" t="s">
        <v>63</v>
      </c>
      <c r="B502" t="s">
        <v>18</v>
      </c>
      <c r="C502">
        <v>33.700000000000003</v>
      </c>
      <c r="D502" t="s">
        <v>4</v>
      </c>
      <c r="F502" s="2" t="str">
        <f t="shared" ref="F502:F507" si="194">IF(C502&gt;=$W$2,"Yes","No")</f>
        <v>Yes</v>
      </c>
      <c r="G502" t="s">
        <v>5</v>
      </c>
      <c r="H502" t="s">
        <v>46</v>
      </c>
      <c r="J502" s="2" t="s">
        <v>6</v>
      </c>
      <c r="K502">
        <v>561</v>
      </c>
      <c r="L502" t="s">
        <v>12</v>
      </c>
      <c r="M502" t="s">
        <v>431</v>
      </c>
      <c r="N502" t="str">
        <f>IF(K502="N/A","No", IF(K502&gt;1200,"Yes","No"))</f>
        <v>No</v>
      </c>
      <c r="O502" t="str">
        <f>IF(K502="Not","No",IF(K502="n/a","N/A",IF(K502&gt;=$Y$3,"Yes","No")))</f>
        <v>Yes</v>
      </c>
      <c r="Q502" s="2" t="s">
        <v>116</v>
      </c>
      <c r="R502" s="30" t="s">
        <v>5</v>
      </c>
      <c r="S502" t="str">
        <f>IF(COUNTIF(O502:O504,"Yes"),"Yes","No")</f>
        <v>Yes</v>
      </c>
      <c r="U502" t="s">
        <v>92</v>
      </c>
      <c r="V502" t="str">
        <f>F509</f>
        <v>Yes</v>
      </c>
      <c r="W502" t="str">
        <f>O503</f>
        <v>No</v>
      </c>
      <c r="X502" t="str">
        <f>IF(V502="N/A","N/A",IF(W502="N/A", "N/A", IF(V502=W502, "Yes","No")))</f>
        <v>No</v>
      </c>
    </row>
    <row r="503" spans="1:32" x14ac:dyDescent="0.2">
      <c r="A503" t="s">
        <v>63</v>
      </c>
      <c r="B503" t="s">
        <v>18</v>
      </c>
      <c r="C503">
        <v>3</v>
      </c>
      <c r="D503" t="s">
        <v>4</v>
      </c>
      <c r="F503" s="2" t="str">
        <f t="shared" si="194"/>
        <v>Yes</v>
      </c>
      <c r="G503" s="2" t="s">
        <v>5</v>
      </c>
      <c r="H503" t="s">
        <v>46</v>
      </c>
      <c r="J503" s="2" t="s">
        <v>11</v>
      </c>
      <c r="K503">
        <v>65</v>
      </c>
      <c r="L503" t="s">
        <v>12</v>
      </c>
      <c r="M503" t="s">
        <v>176</v>
      </c>
      <c r="N503" t="str">
        <f t="shared" ref="N503:N504" si="195">IF(K503="N/A","No", IF(K503&gt;1200,"Yes","No"))</f>
        <v>No</v>
      </c>
      <c r="O503" t="str">
        <f t="shared" ref="O503:O504" si="196">IF(K503="Not","No",IF(K503="n/a","N/A",IF(K503&gt;$Y$3,"Yes","No")))</f>
        <v>No</v>
      </c>
      <c r="Q503" s="2" t="s">
        <v>98</v>
      </c>
      <c r="R503" t="str">
        <f>_xlfn.XLOOKUP("mg/cm2",D502:D523,G502:G523,"N/A",1,-1)</f>
        <v>Yes</v>
      </c>
      <c r="S503" t="str">
        <f>IF(COUNTIF(O505:O506,"Yes"),"Yes","No")</f>
        <v>No</v>
      </c>
      <c r="U503" t="s">
        <v>95</v>
      </c>
      <c r="V503" t="str">
        <f>R502</f>
        <v>Yes</v>
      </c>
      <c r="W503" t="str">
        <f>S502</f>
        <v>Yes</v>
      </c>
      <c r="X503" t="str">
        <f t="shared" ref="X503:X506" si="197">IF(V503="N/A","N/A",IF(W503="N/A", "N/A", IF(V503=W503, "Yes","No")))</f>
        <v>Yes</v>
      </c>
    </row>
    <row r="504" spans="1:32" x14ac:dyDescent="0.2">
      <c r="A504" t="s">
        <v>63</v>
      </c>
      <c r="B504" t="s">
        <v>24</v>
      </c>
      <c r="C504">
        <v>32.6</v>
      </c>
      <c r="D504" t="s">
        <v>4</v>
      </c>
      <c r="F504" s="2" t="str">
        <f t="shared" si="194"/>
        <v>Yes</v>
      </c>
      <c r="G504" t="s">
        <v>5</v>
      </c>
      <c r="H504" t="s">
        <v>46</v>
      </c>
      <c r="J504" s="2" t="s">
        <v>15</v>
      </c>
      <c r="K504">
        <v>101</v>
      </c>
      <c r="L504" t="s">
        <v>12</v>
      </c>
      <c r="M504" t="s">
        <v>41</v>
      </c>
      <c r="N504" t="str">
        <f t="shared" si="195"/>
        <v>No</v>
      </c>
      <c r="O504" t="str">
        <f t="shared" si="196"/>
        <v>No</v>
      </c>
      <c r="Q504" s="2" t="s">
        <v>117</v>
      </c>
      <c r="R504" t="str">
        <f>_xlfn.XLOOKUP("ug/ft2",D502:D523,F502:F523,"N/A")</f>
        <v>Yes</v>
      </c>
      <c r="S504" t="str">
        <f>IF(COUNTIF(O507:O510,"Yes"),"Yes","No")</f>
        <v>Yes</v>
      </c>
      <c r="U504" t="s">
        <v>163</v>
      </c>
      <c r="V504" t="s">
        <v>5</v>
      </c>
      <c r="W504" t="s">
        <v>9</v>
      </c>
      <c r="X504" t="str">
        <f t="shared" si="197"/>
        <v>No</v>
      </c>
    </row>
    <row r="505" spans="1:32" x14ac:dyDescent="0.2">
      <c r="A505" t="s">
        <v>63</v>
      </c>
      <c r="B505" t="s">
        <v>24</v>
      </c>
      <c r="C505">
        <v>2.5</v>
      </c>
      <c r="D505" t="s">
        <v>4</v>
      </c>
      <c r="F505" s="2" t="str">
        <f t="shared" si="194"/>
        <v>Yes</v>
      </c>
      <c r="G505" t="s">
        <v>5</v>
      </c>
      <c r="H505" t="s">
        <v>46</v>
      </c>
      <c r="J505" s="2" t="s">
        <v>19</v>
      </c>
      <c r="K505">
        <v>3239</v>
      </c>
      <c r="L505" t="s">
        <v>12</v>
      </c>
      <c r="M505" t="s">
        <v>432</v>
      </c>
      <c r="N505" t="str">
        <f>IF(K505="N/A","No", IF(K505&gt;5000,"Yes","No"))</f>
        <v>No</v>
      </c>
      <c r="O505" t="str">
        <f>IF(K505="Not","No",IF(K505="n/a","N/A",IF(K505&gt;$Y$2,"Yes","No")))</f>
        <v>No</v>
      </c>
      <c r="Q505" s="2" t="s">
        <v>118</v>
      </c>
      <c r="R505" t="str">
        <f>IF(COUNTIF(R502:R504,"Yes"),"Yes","No")</f>
        <v>Yes</v>
      </c>
      <c r="S505" t="str">
        <f>IF(COUNTIF(S502:S504,"Yes"),"Yes","No")</f>
        <v>Yes</v>
      </c>
      <c r="U505" t="s">
        <v>164</v>
      </c>
      <c r="V505" t="s">
        <v>5</v>
      </c>
      <c r="W505" t="s">
        <v>9</v>
      </c>
      <c r="X505" t="str">
        <f t="shared" si="197"/>
        <v>No</v>
      </c>
    </row>
    <row r="506" spans="1:32" x14ac:dyDescent="0.2">
      <c r="A506" t="s">
        <v>63</v>
      </c>
      <c r="B506" t="s">
        <v>24</v>
      </c>
      <c r="C506">
        <v>35.4</v>
      </c>
      <c r="D506" t="s">
        <v>4</v>
      </c>
      <c r="F506" s="2" t="str">
        <f t="shared" si="194"/>
        <v>Yes</v>
      </c>
      <c r="G506" t="s">
        <v>5</v>
      </c>
      <c r="H506" t="s">
        <v>46</v>
      </c>
      <c r="J506" s="2" t="s">
        <v>22</v>
      </c>
      <c r="K506">
        <v>440</v>
      </c>
      <c r="L506" t="s">
        <v>12</v>
      </c>
      <c r="M506" t="s">
        <v>325</v>
      </c>
      <c r="N506" t="str">
        <f>IF(K506="N/A","No", IF(K506&gt;5000,"Yes","No"))</f>
        <v>No</v>
      </c>
      <c r="O506" t="str">
        <f>IF(K506="Not","No",IF(K506="n/a","N/A",IF(K506&gt;$Y$2,"Yes","No")))</f>
        <v>No</v>
      </c>
      <c r="U506" t="s">
        <v>162</v>
      </c>
      <c r="V506" t="str">
        <f>R503</f>
        <v>Yes</v>
      </c>
      <c r="W506" t="str">
        <f>S503</f>
        <v>No</v>
      </c>
      <c r="X506" t="str">
        <f t="shared" si="197"/>
        <v>No</v>
      </c>
    </row>
    <row r="507" spans="1:32" x14ac:dyDescent="0.2">
      <c r="A507" t="s">
        <v>63</v>
      </c>
      <c r="B507" t="s">
        <v>24</v>
      </c>
      <c r="C507">
        <v>5.4</v>
      </c>
      <c r="D507" t="s">
        <v>4</v>
      </c>
      <c r="F507" s="2" t="str">
        <f t="shared" si="194"/>
        <v>Yes</v>
      </c>
      <c r="G507" t="s">
        <v>5</v>
      </c>
      <c r="H507" t="s">
        <v>46</v>
      </c>
      <c r="J507" s="2" t="s">
        <v>25</v>
      </c>
      <c r="K507">
        <v>491</v>
      </c>
      <c r="L507" t="s">
        <v>12</v>
      </c>
      <c r="M507" t="s">
        <v>48</v>
      </c>
      <c r="N507" t="str">
        <f>IF(K507="N/A","No", IF(K507&gt;=20,"Yes","No"))</f>
        <v>Yes</v>
      </c>
      <c r="O507" t="str">
        <f>IF(K507="Not","No",IF(K507="n/a","N/A",IF(K507&gt;=$Y$5,"Yes","No")))</f>
        <v>Yes</v>
      </c>
      <c r="U507" t="s">
        <v>101</v>
      </c>
      <c r="V507" t="s">
        <v>5</v>
      </c>
      <c r="W507" t="s">
        <v>5</v>
      </c>
      <c r="X507" t="str">
        <f>IF(V507="N/A","N/A",IF(W507="N/A", "N/A", IF(V507=W507, "Yes","No")))</f>
        <v>Yes</v>
      </c>
    </row>
    <row r="508" spans="1:32" x14ac:dyDescent="0.2">
      <c r="A508" t="s">
        <v>161</v>
      </c>
      <c r="B508" t="s">
        <v>69</v>
      </c>
      <c r="C508">
        <v>93</v>
      </c>
      <c r="D508" t="s">
        <v>12</v>
      </c>
      <c r="F508" s="2" t="str">
        <f t="shared" ref="F508:F510" si="198">IF(C508&gt;$W$3,"Yes","No")</f>
        <v>No</v>
      </c>
      <c r="G508" t="s">
        <v>9</v>
      </c>
      <c r="J508" s="2" t="s">
        <v>29</v>
      </c>
      <c r="K508">
        <v>107</v>
      </c>
      <c r="L508" t="s">
        <v>12</v>
      </c>
      <c r="M508" t="s">
        <v>72</v>
      </c>
      <c r="N508" t="str">
        <f>IF(K508="N/A","No", IF(K508&gt;20,"Yes","No"))</f>
        <v>Yes</v>
      </c>
      <c r="O508" t="str">
        <f t="shared" ref="O508" si="199">IF(K508="Not","No",IF(K508="n/a","N/A",IF(K508&gt;$Y$6,"Yes","No")))</f>
        <v>Yes</v>
      </c>
      <c r="U508" t="s">
        <v>104</v>
      </c>
      <c r="V508" t="s">
        <v>5</v>
      </c>
      <c r="W508" t="s">
        <v>5</v>
      </c>
      <c r="X508" t="str">
        <f>IF(V508="N/A","N/A",IF(W508="N/A", "N/A", IF(V508=W508, "Yes","No")))</f>
        <v>Yes</v>
      </c>
    </row>
    <row r="509" spans="1:32" x14ac:dyDescent="0.2">
      <c r="A509" t="s">
        <v>161</v>
      </c>
      <c r="B509" t="s">
        <v>69</v>
      </c>
      <c r="C509">
        <v>400</v>
      </c>
      <c r="D509" t="s">
        <v>12</v>
      </c>
      <c r="F509" s="2" t="str">
        <f>IF(C509&gt;=$W$3,"Yes","No")</f>
        <v>Yes</v>
      </c>
      <c r="G509" t="s">
        <v>5</v>
      </c>
      <c r="J509" s="2" t="s">
        <v>34</v>
      </c>
      <c r="K509">
        <v>67</v>
      </c>
      <c r="L509" t="s">
        <v>12</v>
      </c>
      <c r="M509" t="s">
        <v>81</v>
      </c>
      <c r="N509" t="str">
        <f>IF(K509="N/A","No", IF(K509&gt;230,"Yes","No"))</f>
        <v>No</v>
      </c>
      <c r="O509" t="str">
        <f>IF(K509="Not","No",IF(K509="n/a","N/A",IF(K509&gt;$Y$6,"Yes","No")))</f>
        <v>Yes</v>
      </c>
      <c r="U509" t="s">
        <v>106</v>
      </c>
      <c r="V509" t="str">
        <f>R504</f>
        <v>Yes</v>
      </c>
      <c r="W509" t="str">
        <f>S504</f>
        <v>Yes</v>
      </c>
      <c r="X509" t="str">
        <f>IF(V509="N/A","N/A",IF(W509="N/A", "N/A", IF(V509=W509, "Yes","No")))</f>
        <v>Yes</v>
      </c>
    </row>
    <row r="510" spans="1:32" x14ac:dyDescent="0.2">
      <c r="A510" t="s">
        <v>161</v>
      </c>
      <c r="B510" t="s">
        <v>69</v>
      </c>
      <c r="C510">
        <v>84</v>
      </c>
      <c r="D510" t="s">
        <v>12</v>
      </c>
      <c r="F510" s="2" t="str">
        <f t="shared" si="198"/>
        <v>No</v>
      </c>
      <c r="G510" t="s">
        <v>9</v>
      </c>
      <c r="J510" s="2"/>
      <c r="U510" t="s">
        <v>121</v>
      </c>
      <c r="V510" t="str">
        <f>R505</f>
        <v>Yes</v>
      </c>
      <c r="W510" t="str">
        <f>S505</f>
        <v>Yes</v>
      </c>
      <c r="X510" t="str">
        <f>IF(V510="N/A","N/A",IF(W510="N/A", "N/A", IF(V510=W510, "Yes","No")))</f>
        <v>Yes</v>
      </c>
    </row>
    <row r="511" spans="1:32" x14ac:dyDescent="0.2">
      <c r="A511" t="s">
        <v>109</v>
      </c>
      <c r="B511" t="s">
        <v>10</v>
      </c>
      <c r="C511">
        <v>12.5</v>
      </c>
      <c r="D511" t="s">
        <v>4</v>
      </c>
      <c r="F511" s="2" t="str">
        <f t="shared" ref="F511:F520" si="200">IF(C511&gt;=$W$2,"Yes","No")</f>
        <v>Yes</v>
      </c>
      <c r="G511" t="s">
        <v>5</v>
      </c>
      <c r="H511" t="s">
        <v>43</v>
      </c>
    </row>
    <row r="512" spans="1:32" x14ac:dyDescent="0.2">
      <c r="A512" t="s">
        <v>293</v>
      </c>
      <c r="B512" t="s">
        <v>10</v>
      </c>
      <c r="C512">
        <v>9.1999999999999993</v>
      </c>
      <c r="D512" t="s">
        <v>4</v>
      </c>
      <c r="F512" s="2" t="str">
        <f t="shared" si="200"/>
        <v>Yes</v>
      </c>
      <c r="G512" t="s">
        <v>5</v>
      </c>
      <c r="H512" t="s">
        <v>43</v>
      </c>
    </row>
    <row r="513" spans="1:32" x14ac:dyDescent="0.2">
      <c r="A513" t="s">
        <v>293</v>
      </c>
      <c r="B513" t="s">
        <v>77</v>
      </c>
      <c r="C513">
        <v>10.199999999999999</v>
      </c>
      <c r="D513" t="s">
        <v>4</v>
      </c>
      <c r="F513" s="2" t="str">
        <f t="shared" si="200"/>
        <v>Yes</v>
      </c>
      <c r="G513" t="s">
        <v>5</v>
      </c>
      <c r="H513" t="s">
        <v>43</v>
      </c>
    </row>
    <row r="514" spans="1:32" x14ac:dyDescent="0.2">
      <c r="A514" t="s">
        <v>307</v>
      </c>
      <c r="B514" t="s">
        <v>10</v>
      </c>
      <c r="C514">
        <v>7.5</v>
      </c>
      <c r="D514" t="s">
        <v>4</v>
      </c>
      <c r="F514" s="2" t="str">
        <f t="shared" si="200"/>
        <v>Yes</v>
      </c>
      <c r="G514" t="s">
        <v>5</v>
      </c>
      <c r="H514" t="s">
        <v>43</v>
      </c>
    </row>
    <row r="515" spans="1:32" x14ac:dyDescent="0.2">
      <c r="A515" t="s">
        <v>307</v>
      </c>
      <c r="B515" t="s">
        <v>77</v>
      </c>
      <c r="C515">
        <v>10.1</v>
      </c>
      <c r="D515" t="s">
        <v>4</v>
      </c>
      <c r="F515" s="2" t="str">
        <f t="shared" si="200"/>
        <v>Yes</v>
      </c>
      <c r="G515" t="s">
        <v>5</v>
      </c>
      <c r="H515" t="s">
        <v>43</v>
      </c>
    </row>
    <row r="516" spans="1:32" x14ac:dyDescent="0.2">
      <c r="A516" t="s">
        <v>64</v>
      </c>
      <c r="B516" t="s">
        <v>40</v>
      </c>
      <c r="C516">
        <v>30</v>
      </c>
      <c r="D516" t="s">
        <v>4</v>
      </c>
      <c r="F516" s="2" t="str">
        <f t="shared" si="200"/>
        <v>Yes</v>
      </c>
      <c r="G516" t="s">
        <v>5</v>
      </c>
      <c r="H516" t="s">
        <v>43</v>
      </c>
    </row>
    <row r="517" spans="1:32" x14ac:dyDescent="0.2">
      <c r="A517" t="s">
        <v>64</v>
      </c>
      <c r="B517" t="s">
        <v>40</v>
      </c>
      <c r="C517">
        <v>2.9</v>
      </c>
      <c r="D517" t="s">
        <v>4</v>
      </c>
      <c r="F517" s="2" t="str">
        <f t="shared" si="200"/>
        <v>Yes</v>
      </c>
      <c r="G517" t="s">
        <v>5</v>
      </c>
      <c r="H517" t="s">
        <v>43</v>
      </c>
    </row>
    <row r="518" spans="1:32" x14ac:dyDescent="0.2">
      <c r="A518" t="s">
        <v>64</v>
      </c>
      <c r="B518" t="s">
        <v>40</v>
      </c>
      <c r="C518">
        <v>30.6</v>
      </c>
      <c r="D518" t="s">
        <v>4</v>
      </c>
      <c r="F518" s="2" t="str">
        <f t="shared" si="200"/>
        <v>Yes</v>
      </c>
      <c r="G518" t="s">
        <v>5</v>
      </c>
      <c r="H518" t="s">
        <v>43</v>
      </c>
    </row>
    <row r="519" spans="1:32" x14ac:dyDescent="0.2">
      <c r="A519" t="s">
        <v>64</v>
      </c>
      <c r="B519" t="s">
        <v>24</v>
      </c>
      <c r="C519">
        <v>2.8</v>
      </c>
      <c r="D519" t="s">
        <v>4</v>
      </c>
      <c r="F519" s="2" t="str">
        <f t="shared" si="200"/>
        <v>Yes</v>
      </c>
      <c r="G519" t="s">
        <v>5</v>
      </c>
      <c r="H519" t="s">
        <v>43</v>
      </c>
    </row>
    <row r="520" spans="1:32" x14ac:dyDescent="0.2">
      <c r="A520" t="s">
        <v>64</v>
      </c>
      <c r="B520" t="s">
        <v>24</v>
      </c>
      <c r="C520">
        <v>2.9</v>
      </c>
      <c r="D520" t="s">
        <v>4</v>
      </c>
      <c r="F520" s="2" t="str">
        <f t="shared" si="200"/>
        <v>Yes</v>
      </c>
      <c r="G520" t="s">
        <v>5</v>
      </c>
      <c r="H520" t="s">
        <v>43</v>
      </c>
    </row>
    <row r="521" spans="1:32" x14ac:dyDescent="0.2">
      <c r="A521" t="s">
        <v>109</v>
      </c>
      <c r="B521" t="s">
        <v>54</v>
      </c>
      <c r="C521">
        <v>160</v>
      </c>
      <c r="D521" t="s">
        <v>33</v>
      </c>
      <c r="F521" s="2" t="str">
        <f t="shared" ref="F521" si="201">IF(C521&gt;$W$5,"Yes","No")</f>
        <v>Yes</v>
      </c>
      <c r="G521" t="s">
        <v>5</v>
      </c>
    </row>
    <row r="522" spans="1:32" x14ac:dyDescent="0.2">
      <c r="A522" t="s">
        <v>71</v>
      </c>
      <c r="B522" t="s">
        <v>32</v>
      </c>
      <c r="C522">
        <v>50</v>
      </c>
      <c r="D522" t="s">
        <v>33</v>
      </c>
      <c r="F522" s="2" t="str">
        <f t="shared" ref="F522" si="202">IF(C522&gt;$W$6,"Yes","No")</f>
        <v>Yes</v>
      </c>
      <c r="G522" t="s">
        <v>5</v>
      </c>
    </row>
    <row r="523" spans="1:32" x14ac:dyDescent="0.2">
      <c r="A523" t="s">
        <v>158</v>
      </c>
      <c r="B523" t="s">
        <v>54</v>
      </c>
      <c r="C523">
        <v>110</v>
      </c>
      <c r="D523" t="s">
        <v>33</v>
      </c>
      <c r="F523" s="2" t="str">
        <f t="shared" ref="F523" si="203">IF(C523&gt;$W$5,"Yes","No")</f>
        <v>Yes</v>
      </c>
      <c r="G523" t="s">
        <v>5</v>
      </c>
    </row>
    <row r="526" spans="1:32" x14ac:dyDescent="0.2">
      <c r="A526" s="1">
        <f>VLOOKUP(C526,'Grid - LRA Samples'!$A$2:$B$108, 2,FALSE)</f>
        <v>1448</v>
      </c>
      <c r="B526" t="s">
        <v>319</v>
      </c>
      <c r="C526">
        <v>94</v>
      </c>
    </row>
    <row r="527" spans="1:32" x14ac:dyDescent="0.2">
      <c r="A527" s="5" t="s">
        <v>0</v>
      </c>
      <c r="E527" s="2" t="s">
        <v>274</v>
      </c>
      <c r="F527" s="2" t="s">
        <v>275</v>
      </c>
      <c r="G527" t="s">
        <v>119</v>
      </c>
      <c r="J527" s="5" t="s">
        <v>1</v>
      </c>
      <c r="N527" s="2" t="s">
        <v>277</v>
      </c>
      <c r="O527" t="s">
        <v>278</v>
      </c>
      <c r="Q527" s="5" t="s">
        <v>115</v>
      </c>
      <c r="R527" s="5" t="s">
        <v>0</v>
      </c>
      <c r="S527" s="5" t="s">
        <v>1</v>
      </c>
      <c r="U527" s="5" t="s">
        <v>115</v>
      </c>
      <c r="V527" s="5" t="s">
        <v>0</v>
      </c>
      <c r="W527" s="5" t="s">
        <v>1</v>
      </c>
      <c r="X527" s="5" t="s">
        <v>122</v>
      </c>
      <c r="AA527" t="str">
        <f>IF(R528="Yes","LRA-Soil","")</f>
        <v/>
      </c>
      <c r="AB527" t="str">
        <f>IF(R529="Yes","LRA-Paint","")</f>
        <v/>
      </c>
      <c r="AC527" t="str">
        <f>IF(R530="Yes","LRA-Dust","")</f>
        <v>LRA-Dust</v>
      </c>
      <c r="AD527" t="str">
        <f>IF(S528="Yes","LSK-Soil","")</f>
        <v/>
      </c>
      <c r="AE527" t="str">
        <f>IF(S529="Yes","LSK-Paint","")</f>
        <v/>
      </c>
      <c r="AF527" t="str">
        <f>IF(S530="Yes","LSK-Dust","")</f>
        <v>LSK-Dust</v>
      </c>
    </row>
    <row r="528" spans="1:32" x14ac:dyDescent="0.2">
      <c r="A528" t="s">
        <v>62</v>
      </c>
      <c r="B528" t="s">
        <v>10</v>
      </c>
      <c r="C528">
        <v>20.5</v>
      </c>
      <c r="D528" t="s">
        <v>4</v>
      </c>
      <c r="F528" s="2" t="str">
        <f t="shared" ref="F528:F540" si="204">IF(C528&gt;=$W$2,"Yes","No")</f>
        <v>Yes</v>
      </c>
      <c r="G528" t="s">
        <v>5</v>
      </c>
      <c r="H528" t="s">
        <v>46</v>
      </c>
      <c r="J528" s="2" t="s">
        <v>6</v>
      </c>
      <c r="K528">
        <v>160</v>
      </c>
      <c r="L528" t="s">
        <v>12</v>
      </c>
      <c r="M528" t="s">
        <v>36</v>
      </c>
      <c r="N528" t="str">
        <f>IF(K528="N/A","No", IF(K528&gt;1200,"Yes","No"))</f>
        <v>No</v>
      </c>
      <c r="O528" t="str">
        <f>IF(K528="Not","No",IF(K528="n/a","N/A",IF(K528&gt;=$Y$3,"Yes","No")))</f>
        <v>No</v>
      </c>
      <c r="Q528" s="2" t="s">
        <v>116</v>
      </c>
      <c r="R528" t="str">
        <f>_xlfn.XLOOKUP("ppm",D528:D549,F528:F549,"N/A")</f>
        <v>No</v>
      </c>
      <c r="S528" t="str">
        <f>IF(COUNTIF(O528:O530,"Yes"),"Yes","No")</f>
        <v>No</v>
      </c>
      <c r="U528" t="s">
        <v>92</v>
      </c>
      <c r="V528" t="s">
        <v>120</v>
      </c>
      <c r="W528" t="str">
        <f>O529</f>
        <v>No</v>
      </c>
      <c r="X528" t="str">
        <f>IF(V528="N/A","N/A",IF(W528="N/A", "N/A", IF(V528=W528, "Yes","No")))</f>
        <v>N/A</v>
      </c>
    </row>
    <row r="529" spans="1:24" x14ac:dyDescent="0.2">
      <c r="A529" t="s">
        <v>63</v>
      </c>
      <c r="B529" t="s">
        <v>77</v>
      </c>
      <c r="C529">
        <v>23.2</v>
      </c>
      <c r="D529" t="s">
        <v>4</v>
      </c>
      <c r="F529" s="2" t="str">
        <f t="shared" si="204"/>
        <v>Yes</v>
      </c>
      <c r="G529" s="2" t="s">
        <v>5</v>
      </c>
      <c r="H529" t="s">
        <v>46</v>
      </c>
      <c r="J529" s="2" t="s">
        <v>11</v>
      </c>
      <c r="K529">
        <v>161</v>
      </c>
      <c r="L529" t="s">
        <v>12</v>
      </c>
      <c r="M529" t="s">
        <v>176</v>
      </c>
      <c r="N529" t="str">
        <f t="shared" ref="N529:N530" si="205">IF(K529="N/A","No", IF(K529&gt;1200,"Yes","No"))</f>
        <v>No</v>
      </c>
      <c r="O529" t="str">
        <f t="shared" ref="O529:O530" si="206">IF(K529="Not","No",IF(K529="n/a","N/A",IF(K529&gt;$Y$3,"Yes","No")))</f>
        <v>No</v>
      </c>
      <c r="Q529" s="2" t="s">
        <v>98</v>
      </c>
      <c r="R529" t="str">
        <f>_xlfn.XLOOKUP("mg/cm2",D528:D549,G528:G549,"N/A",1,-1)</f>
        <v>No</v>
      </c>
      <c r="S529" t="str">
        <f>IF(COUNTIF(O531:O532,"Yes"),"Yes","No")</f>
        <v>No</v>
      </c>
      <c r="U529" t="s">
        <v>95</v>
      </c>
      <c r="V529" t="str">
        <f>R528</f>
        <v>No</v>
      </c>
      <c r="W529" t="str">
        <f>S528</f>
        <v>No</v>
      </c>
      <c r="X529" t="str">
        <f t="shared" ref="X529:X532" si="207">IF(V529="N/A","N/A",IF(W529="N/A", "N/A", IF(V529=W529, "Yes","No")))</f>
        <v>Yes</v>
      </c>
    </row>
    <row r="530" spans="1:24" x14ac:dyDescent="0.2">
      <c r="A530" t="s">
        <v>75</v>
      </c>
      <c r="B530" t="s">
        <v>301</v>
      </c>
      <c r="C530">
        <v>220</v>
      </c>
      <c r="D530" t="s">
        <v>12</v>
      </c>
      <c r="F530" s="2" t="str">
        <f t="shared" ref="F530:F531" si="208">IF(C530&gt;=$W$3,"Yes","No")</f>
        <v>No</v>
      </c>
      <c r="G530" t="s">
        <v>9</v>
      </c>
      <c r="J530" s="2" t="s">
        <v>15</v>
      </c>
      <c r="K530">
        <v>85</v>
      </c>
      <c r="L530" t="s">
        <v>12</v>
      </c>
      <c r="M530" t="s">
        <v>41</v>
      </c>
      <c r="N530" t="str">
        <f t="shared" si="205"/>
        <v>No</v>
      </c>
      <c r="O530" t="str">
        <f t="shared" si="206"/>
        <v>No</v>
      </c>
      <c r="Q530" s="2" t="s">
        <v>117</v>
      </c>
      <c r="R530" t="str">
        <f>_xlfn.XLOOKUP("ug/ft2",D528:D549,F528:F549,"N/A")</f>
        <v>Yes</v>
      </c>
      <c r="S530" t="str">
        <f>IF(COUNTIF(O533:O536,"Yes"),"Yes","No")</f>
        <v>Yes</v>
      </c>
      <c r="U530" t="s">
        <v>163</v>
      </c>
      <c r="V530" t="s">
        <v>5</v>
      </c>
      <c r="W530" t="str">
        <f>O531</f>
        <v>No</v>
      </c>
      <c r="X530" t="str">
        <f t="shared" si="207"/>
        <v>No</v>
      </c>
    </row>
    <row r="531" spans="1:24" x14ac:dyDescent="0.2">
      <c r="A531" t="s">
        <v>68</v>
      </c>
      <c r="B531" t="s">
        <v>69</v>
      </c>
      <c r="C531">
        <v>120</v>
      </c>
      <c r="D531" t="s">
        <v>12</v>
      </c>
      <c r="F531" s="2" t="str">
        <f t="shared" si="208"/>
        <v>No</v>
      </c>
      <c r="G531" t="s">
        <v>9</v>
      </c>
      <c r="J531" s="2" t="s">
        <v>19</v>
      </c>
      <c r="K531">
        <v>0</v>
      </c>
      <c r="L531" t="s">
        <v>12</v>
      </c>
      <c r="M531" t="s">
        <v>322</v>
      </c>
      <c r="N531" t="str">
        <f>IF(K531="N/A","No", IF(K531&gt;5000,"Yes","No"))</f>
        <v>No</v>
      </c>
      <c r="O531" t="str">
        <f>IF(K531="Not","No",IF(K531="n/a","N/A",IF(K531&gt;$Y$2,"Yes","No")))</f>
        <v>No</v>
      </c>
      <c r="Q531" s="2" t="s">
        <v>118</v>
      </c>
      <c r="R531" t="str">
        <f>IF(COUNTIF(R528:R530,"Yes"),"Yes","No")</f>
        <v>Yes</v>
      </c>
      <c r="S531" t="str">
        <f>IF(COUNTIF(S528:S530,"Yes"),"Yes","No")</f>
        <v>Yes</v>
      </c>
      <c r="U531" t="s">
        <v>164</v>
      </c>
      <c r="V531" t="s">
        <v>5</v>
      </c>
      <c r="W531" t="str">
        <f>O532</f>
        <v>No</v>
      </c>
      <c r="X531" t="str">
        <f t="shared" si="207"/>
        <v>No</v>
      </c>
    </row>
    <row r="532" spans="1:24" x14ac:dyDescent="0.2">
      <c r="A532" t="s">
        <v>245</v>
      </c>
      <c r="B532" t="s">
        <v>10</v>
      </c>
      <c r="C532">
        <v>9.4</v>
      </c>
      <c r="D532" t="s">
        <v>4</v>
      </c>
      <c r="F532" s="2" t="str">
        <f t="shared" si="204"/>
        <v>Yes</v>
      </c>
      <c r="G532" t="s">
        <v>5</v>
      </c>
      <c r="H532" t="s">
        <v>43</v>
      </c>
      <c r="J532" s="2" t="s">
        <v>22</v>
      </c>
      <c r="K532">
        <v>51</v>
      </c>
      <c r="L532" t="s">
        <v>12</v>
      </c>
      <c r="M532" t="s">
        <v>433</v>
      </c>
      <c r="N532" t="str">
        <f>IF(K532="N/A","No", IF(K532&gt;5000,"Yes","No"))</f>
        <v>No</v>
      </c>
      <c r="O532" t="str">
        <f>IF(K532="Not","No",IF(K532="n/a","N/A",IF(K532&gt;$Y$2,"Yes","No")))</f>
        <v>No</v>
      </c>
      <c r="U532" t="s">
        <v>162</v>
      </c>
      <c r="V532" t="str">
        <f>R529</f>
        <v>No</v>
      </c>
      <c r="W532" t="str">
        <f>S529</f>
        <v>No</v>
      </c>
      <c r="X532" t="str">
        <f t="shared" si="207"/>
        <v>Yes</v>
      </c>
    </row>
    <row r="533" spans="1:24" x14ac:dyDescent="0.2">
      <c r="A533" t="s">
        <v>245</v>
      </c>
      <c r="B533" t="s">
        <v>77</v>
      </c>
      <c r="C533">
        <v>11.8</v>
      </c>
      <c r="D533" t="s">
        <v>4</v>
      </c>
      <c r="F533" s="2" t="str">
        <f t="shared" si="204"/>
        <v>Yes</v>
      </c>
      <c r="G533" t="s">
        <v>5</v>
      </c>
      <c r="H533" t="s">
        <v>43</v>
      </c>
      <c r="J533" s="2" t="s">
        <v>25</v>
      </c>
      <c r="K533">
        <v>25</v>
      </c>
      <c r="L533" t="s">
        <v>12</v>
      </c>
      <c r="M533" t="s">
        <v>59</v>
      </c>
      <c r="N533" t="str">
        <f>IF(K533="N/A","No", IF(K533&gt;=20,"Yes","No"))</f>
        <v>Yes</v>
      </c>
      <c r="O533" t="str">
        <f>IF(K533="Not","No",IF(K533="n/a","N/A",IF(K533&gt;=$Y$5,"Yes","No")))</f>
        <v>No</v>
      </c>
      <c r="U533" t="s">
        <v>101</v>
      </c>
      <c r="V533" t="s">
        <v>5</v>
      </c>
      <c r="W533" t="s">
        <v>5</v>
      </c>
      <c r="X533" t="str">
        <f>IF(V533="N/A","N/A",IF(W533="N/A", "N/A", IF(V533=W533, "Yes","No")))</f>
        <v>Yes</v>
      </c>
    </row>
    <row r="534" spans="1:24" x14ac:dyDescent="0.2">
      <c r="A534" t="s">
        <v>70</v>
      </c>
      <c r="B534" t="s">
        <v>10</v>
      </c>
      <c r="C534">
        <v>9.1</v>
      </c>
      <c r="D534" t="s">
        <v>4</v>
      </c>
      <c r="F534" s="2" t="str">
        <f t="shared" si="204"/>
        <v>Yes</v>
      </c>
      <c r="G534" t="s">
        <v>5</v>
      </c>
      <c r="H534" t="s">
        <v>43</v>
      </c>
      <c r="J534" s="2" t="s">
        <v>29</v>
      </c>
      <c r="K534">
        <v>0</v>
      </c>
      <c r="L534" t="s">
        <v>12</v>
      </c>
      <c r="M534" t="s">
        <v>72</v>
      </c>
      <c r="N534" t="str">
        <f>IF(K534="N/A","No", IF(K534&gt;20,"Yes","No"))</f>
        <v>No</v>
      </c>
      <c r="O534" t="str">
        <f t="shared" ref="O534" si="209">IF(K534="Not","No",IF(K534="n/a","N/A",IF(K534&gt;$Y$6,"Yes","No")))</f>
        <v>No</v>
      </c>
      <c r="U534" t="s">
        <v>104</v>
      </c>
      <c r="V534" t="s">
        <v>120</v>
      </c>
      <c r="W534" t="s">
        <v>9</v>
      </c>
      <c r="X534" t="str">
        <f>IF(V534="N/A","N/A",IF(W534="N/A", "N/A", IF(V534=W534, "Yes","No")))</f>
        <v>N/A</v>
      </c>
    </row>
    <row r="535" spans="1:24" x14ac:dyDescent="0.2">
      <c r="A535" t="s">
        <v>70</v>
      </c>
      <c r="B535" t="s">
        <v>24</v>
      </c>
      <c r="C535">
        <v>7</v>
      </c>
      <c r="D535" t="s">
        <v>4</v>
      </c>
      <c r="F535" s="2" t="str">
        <f t="shared" si="204"/>
        <v>Yes</v>
      </c>
      <c r="G535" t="s">
        <v>5</v>
      </c>
      <c r="H535" t="s">
        <v>43</v>
      </c>
      <c r="J535" s="2" t="s">
        <v>34</v>
      </c>
      <c r="K535">
        <v>202</v>
      </c>
      <c r="L535" t="s">
        <v>12</v>
      </c>
      <c r="M535" t="s">
        <v>74</v>
      </c>
      <c r="N535" t="str">
        <f>IF(K535="N/A","No", IF(K535&gt;230,"Yes","No"))</f>
        <v>No</v>
      </c>
      <c r="O535" t="str">
        <f>IF(K535="Not","No",IF(K535="n/a","N/A",IF(K535&gt;$Y$6,"Yes","No")))</f>
        <v>Yes</v>
      </c>
      <c r="U535" t="s">
        <v>106</v>
      </c>
      <c r="V535" t="str">
        <f>R530</f>
        <v>Yes</v>
      </c>
      <c r="W535" t="str">
        <f>S530</f>
        <v>Yes</v>
      </c>
      <c r="X535" t="str">
        <f>IF(V535="N/A","N/A",IF(W535="N/A", "N/A", IF(V535=W535, "Yes","No")))</f>
        <v>Yes</v>
      </c>
    </row>
    <row r="536" spans="1:24" x14ac:dyDescent="0.2">
      <c r="A536" t="s">
        <v>70</v>
      </c>
      <c r="B536" t="s">
        <v>24</v>
      </c>
      <c r="C536">
        <v>6.3</v>
      </c>
      <c r="D536" t="s">
        <v>4</v>
      </c>
      <c r="F536" s="2" t="str">
        <f t="shared" si="204"/>
        <v>Yes</v>
      </c>
      <c r="G536" t="s">
        <v>5</v>
      </c>
      <c r="H536" t="s">
        <v>43</v>
      </c>
      <c r="J536" s="2"/>
      <c r="U536" t="s">
        <v>121</v>
      </c>
      <c r="V536" t="str">
        <f>R531</f>
        <v>Yes</v>
      </c>
      <c r="W536" t="str">
        <f>S531</f>
        <v>Yes</v>
      </c>
      <c r="X536" t="str">
        <f>IF(V536="N/A","N/A",IF(W536="N/A", "N/A", IF(V536=W536, "Yes","No")))</f>
        <v>Yes</v>
      </c>
    </row>
    <row r="537" spans="1:24" x14ac:dyDescent="0.2">
      <c r="A537" t="s">
        <v>70</v>
      </c>
      <c r="B537" t="s">
        <v>24</v>
      </c>
      <c r="C537">
        <v>9.1</v>
      </c>
      <c r="D537" t="s">
        <v>4</v>
      </c>
      <c r="F537" s="2" t="str">
        <f t="shared" si="204"/>
        <v>Yes</v>
      </c>
      <c r="G537" t="s">
        <v>5</v>
      </c>
      <c r="H537" t="s">
        <v>43</v>
      </c>
    </row>
    <row r="538" spans="1:24" x14ac:dyDescent="0.2">
      <c r="A538" t="s">
        <v>64</v>
      </c>
      <c r="B538" t="s">
        <v>24</v>
      </c>
      <c r="C538">
        <v>6.6</v>
      </c>
      <c r="D538" t="s">
        <v>4</v>
      </c>
      <c r="F538" s="2" t="str">
        <f t="shared" si="204"/>
        <v>Yes</v>
      </c>
      <c r="G538" t="s">
        <v>5</v>
      </c>
      <c r="H538" t="s">
        <v>43</v>
      </c>
    </row>
    <row r="539" spans="1:24" x14ac:dyDescent="0.2">
      <c r="A539" t="s">
        <v>247</v>
      </c>
      <c r="B539" t="s">
        <v>246</v>
      </c>
      <c r="C539">
        <v>13</v>
      </c>
      <c r="D539" t="s">
        <v>4</v>
      </c>
      <c r="F539" s="2" t="str">
        <f t="shared" si="204"/>
        <v>Yes</v>
      </c>
      <c r="G539" t="s">
        <v>5</v>
      </c>
      <c r="H539" t="s">
        <v>43</v>
      </c>
    </row>
    <row r="540" spans="1:24" x14ac:dyDescent="0.2">
      <c r="A540" t="s">
        <v>247</v>
      </c>
      <c r="B540" t="s">
        <v>40</v>
      </c>
      <c r="C540">
        <v>15.9</v>
      </c>
      <c r="D540" t="s">
        <v>4</v>
      </c>
      <c r="F540" s="2" t="str">
        <f t="shared" si="204"/>
        <v>Yes</v>
      </c>
      <c r="G540" t="s">
        <v>5</v>
      </c>
      <c r="H540" t="s">
        <v>43</v>
      </c>
    </row>
    <row r="541" spans="1:24" x14ac:dyDescent="0.2">
      <c r="A541" t="s">
        <v>71</v>
      </c>
      <c r="B541" t="s">
        <v>32</v>
      </c>
      <c r="C541">
        <v>16</v>
      </c>
      <c r="D541" t="s">
        <v>33</v>
      </c>
      <c r="F541" s="2" t="str">
        <f t="shared" ref="F541:F542" si="210">IF(C541&gt;$W$6,"Yes","No")</f>
        <v>Yes</v>
      </c>
      <c r="G541" t="s">
        <v>5</v>
      </c>
    </row>
    <row r="542" spans="1:24" x14ac:dyDescent="0.2">
      <c r="A542" t="s">
        <v>71</v>
      </c>
      <c r="B542" t="s">
        <v>32</v>
      </c>
      <c r="C542">
        <v>13</v>
      </c>
      <c r="D542" t="s">
        <v>33</v>
      </c>
      <c r="F542" s="2" t="str">
        <f t="shared" si="210"/>
        <v>Yes</v>
      </c>
      <c r="G542" t="s">
        <v>5</v>
      </c>
    </row>
    <row r="543" spans="1:24" x14ac:dyDescent="0.2">
      <c r="F543" s="2"/>
    </row>
    <row r="544" spans="1:24" x14ac:dyDescent="0.2">
      <c r="F544" s="2"/>
    </row>
    <row r="545" spans="1:32" x14ac:dyDescent="0.2">
      <c r="A545" s="1">
        <f>VLOOKUP(C545,'Grid - LRA Samples'!$A$2:$B$108, 2,FALSE)</f>
        <v>1487</v>
      </c>
      <c r="B545" t="s">
        <v>319</v>
      </c>
      <c r="C545">
        <v>95</v>
      </c>
    </row>
    <row r="546" spans="1:32" x14ac:dyDescent="0.2">
      <c r="A546" s="5" t="s">
        <v>0</v>
      </c>
      <c r="E546" s="2" t="s">
        <v>274</v>
      </c>
      <c r="F546" s="2" t="s">
        <v>275</v>
      </c>
      <c r="G546" t="s">
        <v>119</v>
      </c>
      <c r="J546" s="5" t="s">
        <v>1</v>
      </c>
      <c r="N546" s="2" t="s">
        <v>277</v>
      </c>
      <c r="O546" t="s">
        <v>278</v>
      </c>
      <c r="Q546" s="5" t="s">
        <v>115</v>
      </c>
      <c r="R546" s="5" t="s">
        <v>0</v>
      </c>
      <c r="S546" s="5" t="s">
        <v>1</v>
      </c>
      <c r="U546" s="5" t="s">
        <v>115</v>
      </c>
      <c r="V546" s="5" t="s">
        <v>0</v>
      </c>
      <c r="W546" s="5" t="s">
        <v>1</v>
      </c>
      <c r="X546" s="5" t="s">
        <v>122</v>
      </c>
      <c r="AA546" t="str">
        <f>IF(R547="Yes","LRA-Soil","")</f>
        <v/>
      </c>
      <c r="AB546" t="str">
        <f>IF(R548="Yes","LRA-Paint","")</f>
        <v>LRA-Paint</v>
      </c>
      <c r="AC546" t="str">
        <f>IF(R549="Yes","LRA-Dust","")</f>
        <v/>
      </c>
      <c r="AD546" t="str">
        <f>IF(S547="Yes","LSK-Soil","")</f>
        <v/>
      </c>
      <c r="AE546" t="str">
        <f>IF(S548="Yes","LSK-Paint","")</f>
        <v/>
      </c>
      <c r="AF546" t="str">
        <f>IF(S549="Yes","LSK-Dust","")</f>
        <v>LSK-Dust</v>
      </c>
    </row>
    <row r="547" spans="1:32" x14ac:dyDescent="0.2">
      <c r="A547" t="s">
        <v>63</v>
      </c>
      <c r="B547" t="s">
        <v>18</v>
      </c>
      <c r="C547">
        <v>2.7</v>
      </c>
      <c r="D547" t="s">
        <v>4</v>
      </c>
      <c r="F547" s="2" t="str">
        <f t="shared" ref="F547:F552" si="211">IF(C547&gt;=$W$2,"Yes","No")</f>
        <v>Yes</v>
      </c>
      <c r="G547" t="s">
        <v>9</v>
      </c>
      <c r="H547" t="s">
        <v>46</v>
      </c>
      <c r="J547" s="2" t="s">
        <v>6</v>
      </c>
      <c r="K547">
        <v>89</v>
      </c>
      <c r="L547" t="s">
        <v>12</v>
      </c>
      <c r="M547" t="s">
        <v>36</v>
      </c>
      <c r="N547" t="str">
        <f>IF(K547="N/A","No", IF(K547&gt;1200,"Yes","No"))</f>
        <v>No</v>
      </c>
      <c r="O547" t="str">
        <f>IF(K547="Not","No",IF(K547="n/a","N/A",IF(K547&gt;=$Y$3,"Yes","No")))</f>
        <v>No</v>
      </c>
      <c r="Q547" s="2" t="s">
        <v>116</v>
      </c>
      <c r="R547" t="str">
        <f>_xlfn.XLOOKUP("ppm",D547:D554,F547:F554,"N/A")</f>
        <v>No</v>
      </c>
      <c r="S547" t="str">
        <f>IF(COUNTIF(O547:O549,"Yes"),"Yes","No")</f>
        <v>No</v>
      </c>
      <c r="U547" t="s">
        <v>92</v>
      </c>
      <c r="V547" t="s">
        <v>120</v>
      </c>
      <c r="W547" t="s">
        <v>120</v>
      </c>
      <c r="X547" t="str">
        <f>IF(V547="N/A","N/A",IF(W547="N/A", "N/A", IF(V547=W547, "Yes","No")))</f>
        <v>N/A</v>
      </c>
    </row>
    <row r="548" spans="1:32" x14ac:dyDescent="0.2">
      <c r="A548" t="s">
        <v>75</v>
      </c>
      <c r="B548" t="s">
        <v>69</v>
      </c>
      <c r="C548">
        <v>69</v>
      </c>
      <c r="D548" t="s">
        <v>12</v>
      </c>
      <c r="F548" s="2" t="str">
        <f t="shared" ref="F548:F549" si="212">IF(C548&gt;=$W$3,"Yes","No")</f>
        <v>No</v>
      </c>
      <c r="G548" s="2" t="s">
        <v>9</v>
      </c>
      <c r="J548" s="2" t="s">
        <v>11</v>
      </c>
      <c r="K548">
        <v>43</v>
      </c>
      <c r="L548" t="s">
        <v>12</v>
      </c>
      <c r="M548" t="s">
        <v>415</v>
      </c>
      <c r="N548" t="str">
        <f t="shared" ref="N548:N549" si="213">IF(K548="N/A","No", IF(K548&gt;1200,"Yes","No"))</f>
        <v>No</v>
      </c>
      <c r="O548" t="str">
        <f t="shared" ref="O548:O549" si="214">IF(K548="Not","No",IF(K548="n/a","N/A",IF(K548&gt;$Y$3,"Yes","No")))</f>
        <v>No</v>
      </c>
      <c r="Q548" s="2" t="s">
        <v>98</v>
      </c>
      <c r="R548" s="30" t="s">
        <v>5</v>
      </c>
      <c r="S548" t="str">
        <f>IF(COUNTIF(O550:O551,"Yes"),"Yes","No")</f>
        <v>No</v>
      </c>
      <c r="U548" t="s">
        <v>95</v>
      </c>
      <c r="V548" t="str">
        <f>R547</f>
        <v>No</v>
      </c>
      <c r="W548" t="str">
        <f>S547</f>
        <v>No</v>
      </c>
      <c r="X548" t="str">
        <f t="shared" ref="X548:X551" si="215">IF(V548="N/A","N/A",IF(W548="N/A", "N/A", IF(V548=W548, "Yes","No")))</f>
        <v>Yes</v>
      </c>
    </row>
    <row r="549" spans="1:32" x14ac:dyDescent="0.2">
      <c r="A549" t="s">
        <v>75</v>
      </c>
      <c r="B549" t="s">
        <v>205</v>
      </c>
      <c r="C549">
        <v>120</v>
      </c>
      <c r="D549" t="s">
        <v>12</v>
      </c>
      <c r="F549" s="2" t="str">
        <f t="shared" si="212"/>
        <v>No</v>
      </c>
      <c r="G549" t="s">
        <v>9</v>
      </c>
      <c r="J549" s="2" t="s">
        <v>15</v>
      </c>
      <c r="K549">
        <v>0</v>
      </c>
      <c r="L549" t="s">
        <v>12</v>
      </c>
      <c r="M549" t="s">
        <v>41</v>
      </c>
      <c r="N549" t="str">
        <f t="shared" si="213"/>
        <v>No</v>
      </c>
      <c r="O549" t="str">
        <f t="shared" si="214"/>
        <v>No</v>
      </c>
      <c r="Q549" s="2" t="s">
        <v>117</v>
      </c>
      <c r="R549" t="str">
        <f>_xlfn.XLOOKUP("ug/ft2",D547:D554,F547:F554,"N/A")</f>
        <v>No</v>
      </c>
      <c r="S549" t="str">
        <f>IF(COUNTIF(O552:O555,"Yes"),"Yes","No")</f>
        <v>Yes</v>
      </c>
      <c r="U549" t="s">
        <v>163</v>
      </c>
      <c r="V549" t="s">
        <v>5</v>
      </c>
      <c r="W549" t="s">
        <v>9</v>
      </c>
      <c r="X549" t="str">
        <f t="shared" si="215"/>
        <v>No</v>
      </c>
    </row>
    <row r="550" spans="1:32" x14ac:dyDescent="0.2">
      <c r="A550" t="s">
        <v>245</v>
      </c>
      <c r="B550" t="s">
        <v>40</v>
      </c>
      <c r="C550">
        <v>3.3</v>
      </c>
      <c r="D550" t="s">
        <v>4</v>
      </c>
      <c r="F550" s="2" t="str">
        <f t="shared" si="211"/>
        <v>Yes</v>
      </c>
      <c r="G550" t="s">
        <v>5</v>
      </c>
      <c r="H550" t="s">
        <v>43</v>
      </c>
      <c r="J550" s="2" t="s">
        <v>19</v>
      </c>
      <c r="K550">
        <v>0</v>
      </c>
      <c r="L550" t="s">
        <v>12</v>
      </c>
      <c r="M550" t="s">
        <v>70</v>
      </c>
      <c r="N550" t="str">
        <f>IF(K550="N/A","No", IF(K550&gt;5000,"Yes","No"))</f>
        <v>No</v>
      </c>
      <c r="O550" t="str">
        <f>IF(K550="Not","No",IF(K550="n/a","N/A",IF(K550&gt;$Y$2,"Yes","No")))</f>
        <v>No</v>
      </c>
      <c r="Q550" s="2" t="s">
        <v>118</v>
      </c>
      <c r="R550" t="str">
        <f>IF(COUNTIF(R547:R549,"Yes"),"Yes","No")</f>
        <v>Yes</v>
      </c>
      <c r="S550" t="str">
        <f>IF(COUNTIF(S547:S549,"Yes"),"Yes","No")</f>
        <v>Yes</v>
      </c>
      <c r="U550" t="s">
        <v>164</v>
      </c>
      <c r="V550" t="s">
        <v>9</v>
      </c>
      <c r="W550" t="s">
        <v>9</v>
      </c>
      <c r="X550" t="str">
        <f t="shared" si="215"/>
        <v>Yes</v>
      </c>
    </row>
    <row r="551" spans="1:32" x14ac:dyDescent="0.2">
      <c r="A551" t="s">
        <v>157</v>
      </c>
      <c r="B551" t="s">
        <v>40</v>
      </c>
      <c r="C551">
        <v>2.2999999999999998</v>
      </c>
      <c r="D551" t="s">
        <v>4</v>
      </c>
      <c r="F551" s="2" t="str">
        <f t="shared" si="211"/>
        <v>Yes</v>
      </c>
      <c r="G551" t="s">
        <v>9</v>
      </c>
      <c r="H551" t="s">
        <v>43</v>
      </c>
      <c r="J551" s="2" t="s">
        <v>22</v>
      </c>
      <c r="K551">
        <v>0</v>
      </c>
      <c r="L551" t="s">
        <v>12</v>
      </c>
      <c r="M551" t="s">
        <v>434</v>
      </c>
      <c r="N551" t="str">
        <f>IF(K551="N/A","No", IF(K551&gt;5000,"Yes","No"))</f>
        <v>No</v>
      </c>
      <c r="O551" t="str">
        <f>IF(K551="Not","No",IF(K551="n/a","N/A",IF(K551&gt;$Y$2,"Yes","No")))</f>
        <v>No</v>
      </c>
      <c r="U551" t="s">
        <v>162</v>
      </c>
      <c r="V551" t="str">
        <f>R548</f>
        <v>Yes</v>
      </c>
      <c r="W551" t="str">
        <f>S548</f>
        <v>No</v>
      </c>
      <c r="X551" t="str">
        <f t="shared" si="215"/>
        <v>No</v>
      </c>
    </row>
    <row r="552" spans="1:32" x14ac:dyDescent="0.2">
      <c r="A552" t="s">
        <v>64</v>
      </c>
      <c r="B552" t="s">
        <v>40</v>
      </c>
      <c r="C552">
        <v>2.8</v>
      </c>
      <c r="D552" t="s">
        <v>4</v>
      </c>
      <c r="F552" s="2" t="str">
        <f t="shared" si="211"/>
        <v>Yes</v>
      </c>
      <c r="G552" t="s">
        <v>9</v>
      </c>
      <c r="H552" t="s">
        <v>43</v>
      </c>
      <c r="J552" s="2" t="s">
        <v>25</v>
      </c>
      <c r="K552">
        <v>24</v>
      </c>
      <c r="L552" t="s">
        <v>12</v>
      </c>
      <c r="M552" t="s">
        <v>59</v>
      </c>
      <c r="N552" t="str">
        <f>IF(K552="N/A","No", IF(K552&gt;=20,"Yes","No"))</f>
        <v>Yes</v>
      </c>
      <c r="O552" t="str">
        <f>IF(K552="Not","No",IF(K552="n/a","N/A",IF(K552&gt;=$Y$5,"Yes","No")))</f>
        <v>No</v>
      </c>
      <c r="U552" t="s">
        <v>101</v>
      </c>
      <c r="V552" t="s">
        <v>9</v>
      </c>
      <c r="W552" t="s">
        <v>5</v>
      </c>
      <c r="X552" t="str">
        <f>IF(V552="N/A","N/A",IF(W552="N/A", "N/A", IF(V552=W552, "Yes","No")))</f>
        <v>No</v>
      </c>
    </row>
    <row r="553" spans="1:32" x14ac:dyDescent="0.2">
      <c r="A553" t="s">
        <v>71</v>
      </c>
      <c r="B553" t="s">
        <v>32</v>
      </c>
      <c r="C553">
        <v>3</v>
      </c>
      <c r="D553" t="s">
        <v>33</v>
      </c>
      <c r="F553" s="2" t="str">
        <f t="shared" ref="F553" si="216">IF(C553&gt;$W$6,"Yes","No")</f>
        <v>No</v>
      </c>
      <c r="G553" t="s">
        <v>9</v>
      </c>
      <c r="J553" s="2" t="s">
        <v>29</v>
      </c>
      <c r="K553">
        <v>501</v>
      </c>
      <c r="L553" t="s">
        <v>12</v>
      </c>
      <c r="M553" t="s">
        <v>72</v>
      </c>
      <c r="N553" t="str">
        <f>IF(K553="N/A","No", IF(K553&gt;20,"Yes","No"))</f>
        <v>Yes</v>
      </c>
      <c r="O553" t="str">
        <f t="shared" ref="O553" si="217">IF(K553="Not","No",IF(K553="n/a","N/A",IF(K553&gt;$Y$6,"Yes","No")))</f>
        <v>Yes</v>
      </c>
      <c r="U553" t="s">
        <v>104</v>
      </c>
      <c r="V553" t="s">
        <v>9</v>
      </c>
      <c r="W553" t="s">
        <v>9</v>
      </c>
      <c r="X553" t="str">
        <f>IF(V553="N/A","N/A",IF(W553="N/A", "N/A", IF(V553=W553, "Yes","No")))</f>
        <v>Yes</v>
      </c>
    </row>
    <row r="554" spans="1:32" x14ac:dyDescent="0.2">
      <c r="A554" t="s">
        <v>158</v>
      </c>
      <c r="B554" t="s">
        <v>54</v>
      </c>
      <c r="C554">
        <v>48</v>
      </c>
      <c r="D554" t="s">
        <v>33</v>
      </c>
      <c r="F554" s="2" t="str">
        <f t="shared" ref="F554" si="218">IF(C554&gt;$W$5,"Yes","No")</f>
        <v>No</v>
      </c>
      <c r="G554" t="s">
        <v>9</v>
      </c>
      <c r="J554" s="2" t="s">
        <v>34</v>
      </c>
      <c r="K554">
        <v>13</v>
      </c>
      <c r="L554" t="s">
        <v>12</v>
      </c>
      <c r="M554" t="s">
        <v>74</v>
      </c>
      <c r="N554" t="str">
        <f>IF(K554="N/A","No", IF(K554&gt;230,"Yes","No"))</f>
        <v>No</v>
      </c>
      <c r="O554" t="str">
        <f>IF(K554="Not","No",IF(K554="n/a","N/A",IF(K554&gt;$Y$6,"Yes","No")))</f>
        <v>No</v>
      </c>
      <c r="U554" t="s">
        <v>106</v>
      </c>
      <c r="V554" t="str">
        <f>R549</f>
        <v>No</v>
      </c>
      <c r="W554" t="str">
        <f>S549</f>
        <v>Yes</v>
      </c>
      <c r="X554" t="str">
        <f>IF(V554="N/A","N/A",IF(W554="N/A", "N/A", IF(V554=W554, "Yes","No")))</f>
        <v>No</v>
      </c>
    </row>
    <row r="555" spans="1:32" x14ac:dyDescent="0.2">
      <c r="F555" s="2"/>
      <c r="J555" s="2"/>
      <c r="U555" t="s">
        <v>121</v>
      </c>
      <c r="V555" t="str">
        <f>R550</f>
        <v>Yes</v>
      </c>
      <c r="W555" t="str">
        <f>S550</f>
        <v>Yes</v>
      </c>
      <c r="X555" t="str">
        <f>IF(V555="N/A","N/A",IF(W555="N/A", "N/A", IF(V555=W555, "Yes","No")))</f>
        <v>Yes</v>
      </c>
    </row>
    <row r="556" spans="1:32" x14ac:dyDescent="0.2">
      <c r="F556" s="2"/>
    </row>
    <row r="557" spans="1:32" x14ac:dyDescent="0.2">
      <c r="A557" s="1">
        <f>VLOOKUP(C557,'Grid - LRA Samples'!$A$2:$B$108, 2,FALSE)</f>
        <v>1490</v>
      </c>
      <c r="B557" t="s">
        <v>319</v>
      </c>
      <c r="C557">
        <v>96</v>
      </c>
    </row>
    <row r="558" spans="1:32" x14ac:dyDescent="0.2">
      <c r="A558" s="5" t="s">
        <v>0</v>
      </c>
      <c r="E558" s="2" t="s">
        <v>274</v>
      </c>
      <c r="F558" s="2" t="s">
        <v>275</v>
      </c>
      <c r="G558" t="s">
        <v>119</v>
      </c>
      <c r="J558" s="5" t="s">
        <v>1</v>
      </c>
      <c r="N558" s="2" t="s">
        <v>277</v>
      </c>
      <c r="O558" t="s">
        <v>278</v>
      </c>
      <c r="Q558" s="5" t="s">
        <v>115</v>
      </c>
      <c r="R558" s="5" t="s">
        <v>0</v>
      </c>
      <c r="S558" s="5" t="s">
        <v>1</v>
      </c>
      <c r="U558" s="5" t="s">
        <v>115</v>
      </c>
      <c r="V558" s="5" t="s">
        <v>0</v>
      </c>
      <c r="W558" s="5" t="s">
        <v>1</v>
      </c>
      <c r="X558" s="5" t="s">
        <v>122</v>
      </c>
      <c r="AA558" t="str">
        <f>IF(R559="Yes","LRA-Soil","")</f>
        <v/>
      </c>
      <c r="AB558" t="str">
        <f>IF(R560="Yes","LRA-Paint","")</f>
        <v/>
      </c>
      <c r="AC558" t="str">
        <f>IF(R561="Yes","LRA-Dust","")</f>
        <v/>
      </c>
      <c r="AD558" t="str">
        <f>IF(S559="Yes","LSK-Soil","")</f>
        <v/>
      </c>
      <c r="AE558" t="str">
        <f>IF(S560="Yes","LSK-Paint","")</f>
        <v/>
      </c>
      <c r="AF558" t="str">
        <f>IF(S561="Yes","LSK-Dust","")</f>
        <v/>
      </c>
    </row>
    <row r="559" spans="1:32" x14ac:dyDescent="0.2">
      <c r="A559" t="s">
        <v>63</v>
      </c>
      <c r="B559" t="s">
        <v>18</v>
      </c>
      <c r="C559">
        <v>0</v>
      </c>
      <c r="D559" t="s">
        <v>4</v>
      </c>
      <c r="F559" s="2" t="str">
        <f t="shared" ref="F559:F562" si="219">IF(C559&gt;=$W$2,"Yes","No")</f>
        <v>No</v>
      </c>
      <c r="G559" t="s">
        <v>9</v>
      </c>
      <c r="H559" t="s">
        <v>46</v>
      </c>
      <c r="J559" s="2" t="s">
        <v>6</v>
      </c>
      <c r="K559">
        <v>0</v>
      </c>
      <c r="L559" t="s">
        <v>12</v>
      </c>
      <c r="M559" t="s">
        <v>36</v>
      </c>
      <c r="N559" t="str">
        <f>IF(K559="N/A","No", IF(K559&gt;1200,"Yes","No"))</f>
        <v>No</v>
      </c>
      <c r="O559" t="str">
        <f>IF(K559="Not","No",IF(K559="n/a","N/A",IF(K559&gt;=$Y$3,"Yes","No")))</f>
        <v>No</v>
      </c>
      <c r="Q559" s="2" t="s">
        <v>116</v>
      </c>
      <c r="R559" t="str">
        <f>_xlfn.XLOOKUP("ppm",D559:D563,F559:F563,"N/A")</f>
        <v>No</v>
      </c>
      <c r="S559" t="str">
        <f>IF(COUNTIF(O559:O561,"Yes"),"Yes","No")</f>
        <v>No</v>
      </c>
      <c r="U559" t="s">
        <v>92</v>
      </c>
      <c r="V559" t="s">
        <v>120</v>
      </c>
      <c r="W559" t="s">
        <v>120</v>
      </c>
      <c r="X559" t="str">
        <f>IF(V559="N/A","N/A",IF(W559="N/A", "N/A", IF(V559=W559, "Yes","No")))</f>
        <v>N/A</v>
      </c>
    </row>
    <row r="560" spans="1:32" x14ac:dyDescent="0.2">
      <c r="A560" t="s">
        <v>75</v>
      </c>
      <c r="B560" t="s">
        <v>69</v>
      </c>
      <c r="C560" t="s">
        <v>397</v>
      </c>
      <c r="D560" t="s">
        <v>12</v>
      </c>
      <c r="F560" s="2" t="s">
        <v>9</v>
      </c>
      <c r="G560" s="2" t="s">
        <v>9</v>
      </c>
      <c r="J560" s="2" t="s">
        <v>11</v>
      </c>
      <c r="K560" s="2" t="s">
        <v>120</v>
      </c>
      <c r="L560" t="s">
        <v>12</v>
      </c>
      <c r="M560" t="s">
        <v>66</v>
      </c>
      <c r="N560" t="str">
        <f t="shared" ref="N560:N561" si="220">IF(K560="N/A","No", IF(K560&gt;1200,"Yes","No"))</f>
        <v>No</v>
      </c>
      <c r="O560" t="str">
        <f t="shared" ref="O560:O561" si="221">IF(K560="Not","No",IF(K560="n/a","N/A",IF(K560&gt;$Y$3,"Yes","No")))</f>
        <v>N/A</v>
      </c>
      <c r="Q560" s="2" t="s">
        <v>98</v>
      </c>
      <c r="R560" t="str">
        <f>_xlfn.XLOOKUP("mg/cm2",D559:D563,G559:G563,"N/A",1,-1)</f>
        <v>No</v>
      </c>
      <c r="S560" t="str">
        <f>IF(COUNTIF(O562:O563,"Yes"),"Yes","No")</f>
        <v>No</v>
      </c>
      <c r="U560" t="s">
        <v>95</v>
      </c>
      <c r="V560" t="str">
        <f>R559</f>
        <v>No</v>
      </c>
      <c r="W560" t="str">
        <f>S559</f>
        <v>No</v>
      </c>
      <c r="X560" t="str">
        <f t="shared" ref="X560:X563" si="222">IF(V560="N/A","N/A",IF(W560="N/A", "N/A", IF(V560=W560, "Yes","No")))</f>
        <v>Yes</v>
      </c>
    </row>
    <row r="561" spans="1:32" x14ac:dyDescent="0.2">
      <c r="A561" t="s">
        <v>71</v>
      </c>
      <c r="B561" t="s">
        <v>10</v>
      </c>
      <c r="C561">
        <v>0</v>
      </c>
      <c r="D561" t="s">
        <v>4</v>
      </c>
      <c r="F561" s="2" t="str">
        <f t="shared" si="219"/>
        <v>No</v>
      </c>
      <c r="G561" t="s">
        <v>9</v>
      </c>
      <c r="J561" s="2" t="s">
        <v>15</v>
      </c>
      <c r="K561" t="s">
        <v>120</v>
      </c>
      <c r="L561" t="s">
        <v>12</v>
      </c>
      <c r="M561" t="s">
        <v>66</v>
      </c>
      <c r="N561" t="str">
        <f t="shared" si="220"/>
        <v>No</v>
      </c>
      <c r="O561" t="str">
        <f t="shared" si="221"/>
        <v>N/A</v>
      </c>
      <c r="Q561" s="2" t="s">
        <v>117</v>
      </c>
      <c r="R561" t="str">
        <f>_xlfn.XLOOKUP("ug/ft2",D559:D566,F559:F566,"N/A")</f>
        <v>No</v>
      </c>
      <c r="S561" t="str">
        <f>IF(COUNTIF(O564:O567,"Yes"),"Yes","No")</f>
        <v>No</v>
      </c>
      <c r="U561" t="s">
        <v>163</v>
      </c>
      <c r="V561" t="s">
        <v>9</v>
      </c>
      <c r="W561" t="s">
        <v>120</v>
      </c>
      <c r="X561" t="str">
        <f t="shared" si="222"/>
        <v>N/A</v>
      </c>
    </row>
    <row r="562" spans="1:32" x14ac:dyDescent="0.2">
      <c r="A562" t="s">
        <v>71</v>
      </c>
      <c r="B562" t="s">
        <v>40</v>
      </c>
      <c r="C562">
        <v>0</v>
      </c>
      <c r="D562" t="s">
        <v>4</v>
      </c>
      <c r="F562" s="2" t="str">
        <f t="shared" si="219"/>
        <v>No</v>
      </c>
      <c r="G562" t="s">
        <v>9</v>
      </c>
      <c r="H562" t="s">
        <v>43</v>
      </c>
      <c r="J562" s="2" t="s">
        <v>19</v>
      </c>
      <c r="K562" t="s">
        <v>120</v>
      </c>
      <c r="L562" t="s">
        <v>12</v>
      </c>
      <c r="M562" t="s">
        <v>66</v>
      </c>
      <c r="N562" t="str">
        <f>IF(K562="N/A","No", IF(K562&gt;5000,"Yes","No"))</f>
        <v>No</v>
      </c>
      <c r="O562" t="str">
        <f>IF(K562="Not","No",IF(K562="n/a","N/A",IF(K562&gt;$Y$2,"Yes","No")))</f>
        <v>N/A</v>
      </c>
      <c r="Q562" s="2" t="s">
        <v>118</v>
      </c>
      <c r="R562" t="str">
        <f>IF(COUNTIF(R559:R561,"Yes"),"Yes","No")</f>
        <v>No</v>
      </c>
      <c r="S562" t="str">
        <f>IF(COUNTIF(S559:S561,"Yes"),"Yes","No")</f>
        <v>No</v>
      </c>
      <c r="U562" t="s">
        <v>164</v>
      </c>
      <c r="V562" t="s">
        <v>9</v>
      </c>
      <c r="W562" t="s">
        <v>9</v>
      </c>
      <c r="X562" t="str">
        <f t="shared" si="222"/>
        <v>Yes</v>
      </c>
    </row>
    <row r="563" spans="1:32" x14ac:dyDescent="0.2">
      <c r="A563" t="s">
        <v>71</v>
      </c>
      <c r="B563" t="s">
        <v>32</v>
      </c>
      <c r="C563">
        <v>3</v>
      </c>
      <c r="D563" t="s">
        <v>33</v>
      </c>
      <c r="F563" s="2" t="str">
        <f t="shared" ref="F563" si="223">IF(C563&gt;$W$6,"Yes","No")</f>
        <v>No</v>
      </c>
      <c r="G563" t="s">
        <v>9</v>
      </c>
      <c r="J563" s="2" t="s">
        <v>22</v>
      </c>
      <c r="K563">
        <v>0</v>
      </c>
      <c r="L563" t="s">
        <v>12</v>
      </c>
      <c r="M563" t="s">
        <v>402</v>
      </c>
      <c r="N563" t="str">
        <f>IF(K563="N/A","No", IF(K563&gt;5000,"Yes","No"))</f>
        <v>No</v>
      </c>
      <c r="O563" t="str">
        <f>IF(K563="Not","No",IF(K563="n/a","N/A",IF(K563&gt;$Y$2,"Yes","No")))</f>
        <v>No</v>
      </c>
      <c r="U563" t="s">
        <v>162</v>
      </c>
      <c r="V563" t="str">
        <f>R560</f>
        <v>No</v>
      </c>
      <c r="W563" t="str">
        <f>S560</f>
        <v>No</v>
      </c>
      <c r="X563" t="str">
        <f t="shared" si="222"/>
        <v>Yes</v>
      </c>
    </row>
    <row r="564" spans="1:32" x14ac:dyDescent="0.2">
      <c r="F564" s="2"/>
      <c r="J564" s="2" t="s">
        <v>25</v>
      </c>
      <c r="K564">
        <v>0</v>
      </c>
      <c r="L564" t="s">
        <v>12</v>
      </c>
      <c r="M564" t="s">
        <v>48</v>
      </c>
      <c r="N564" t="str">
        <f>IF(K564="N/A","No", IF(K564&gt;=20,"Yes","No"))</f>
        <v>No</v>
      </c>
      <c r="O564" t="str">
        <f>IF(K564="Not","No",IF(K564="n/a","N/A",IF(K564&gt;=$Y$5,"Yes","No")))</f>
        <v>No</v>
      </c>
      <c r="U564" t="s">
        <v>101</v>
      </c>
      <c r="V564" t="s">
        <v>9</v>
      </c>
      <c r="W564" t="s">
        <v>9</v>
      </c>
      <c r="X564" t="str">
        <f>IF(V564="N/A","N/A",IF(W564="N/A", "N/A", IF(V564=W564, "Yes","No")))</f>
        <v>Yes</v>
      </c>
    </row>
    <row r="565" spans="1:32" x14ac:dyDescent="0.2">
      <c r="F565" s="2"/>
      <c r="J565" s="2" t="s">
        <v>29</v>
      </c>
      <c r="K565">
        <v>0</v>
      </c>
      <c r="L565" t="s">
        <v>12</v>
      </c>
      <c r="M565" t="s">
        <v>72</v>
      </c>
      <c r="N565" t="str">
        <f>IF(K565="N/A","No", IF(K565&gt;20,"Yes","No"))</f>
        <v>No</v>
      </c>
      <c r="O565" t="str">
        <f t="shared" ref="O565" si="224">IF(K565="Not","No",IF(K565="n/a","N/A",IF(K565&gt;$Y$6,"Yes","No")))</f>
        <v>No</v>
      </c>
      <c r="U565" t="s">
        <v>104</v>
      </c>
      <c r="V565" t="s">
        <v>120</v>
      </c>
      <c r="W565" t="s">
        <v>9</v>
      </c>
      <c r="X565" t="str">
        <f>IF(V565="N/A","N/A",IF(W565="N/A", "N/A", IF(V565=W565, "Yes","No")))</f>
        <v>N/A</v>
      </c>
    </row>
    <row r="566" spans="1:32" x14ac:dyDescent="0.2">
      <c r="F566" s="2"/>
      <c r="J566" s="2" t="s">
        <v>34</v>
      </c>
      <c r="K566">
        <v>0</v>
      </c>
      <c r="L566" t="s">
        <v>12</v>
      </c>
      <c r="M566" t="s">
        <v>74</v>
      </c>
      <c r="N566" t="str">
        <f>IF(K566="N/A","No", IF(K566&gt;230,"Yes","No"))</f>
        <v>No</v>
      </c>
      <c r="O566" t="str">
        <f>IF(K566="Not","No",IF(K566="n/a","N/A",IF(K566&gt;$Y$6,"Yes","No")))</f>
        <v>No</v>
      </c>
      <c r="U566" t="s">
        <v>106</v>
      </c>
      <c r="V566" t="str">
        <f>R561</f>
        <v>No</v>
      </c>
      <c r="W566" t="str">
        <f>S561</f>
        <v>No</v>
      </c>
      <c r="X566" t="str">
        <f>IF(V566="N/A","N/A",IF(W566="N/A", "N/A", IF(V566=W566, "Yes","No")))</f>
        <v>Yes</v>
      </c>
    </row>
    <row r="567" spans="1:32" x14ac:dyDescent="0.2">
      <c r="F567" s="2"/>
      <c r="J567" s="2"/>
      <c r="U567" t="s">
        <v>121</v>
      </c>
      <c r="V567" t="str">
        <f>R562</f>
        <v>No</v>
      </c>
      <c r="W567" t="str">
        <f>S562</f>
        <v>No</v>
      </c>
      <c r="X567" t="str">
        <f>IF(V567="N/A","N/A",IF(W567="N/A", "N/A", IF(V567=W567, "Yes","No")))</f>
        <v>Yes</v>
      </c>
    </row>
    <row r="568" spans="1:32" x14ac:dyDescent="0.2">
      <c r="A568" s="1">
        <f>VLOOKUP(C568,'Grid - LRA Samples'!$A$2:$B$108, 2,FALSE)</f>
        <v>1493</v>
      </c>
      <c r="B568" t="s">
        <v>319</v>
      </c>
      <c r="C568">
        <v>97</v>
      </c>
    </row>
    <row r="569" spans="1:32" x14ac:dyDescent="0.2">
      <c r="A569" s="5" t="s">
        <v>0</v>
      </c>
      <c r="E569" s="2" t="s">
        <v>274</v>
      </c>
      <c r="F569" s="2" t="s">
        <v>275</v>
      </c>
      <c r="G569" t="s">
        <v>119</v>
      </c>
      <c r="J569" s="5" t="s">
        <v>1</v>
      </c>
      <c r="N569" s="2" t="s">
        <v>277</v>
      </c>
      <c r="O569" t="s">
        <v>278</v>
      </c>
      <c r="Q569" s="5" t="s">
        <v>115</v>
      </c>
      <c r="R569" s="5" t="s">
        <v>0</v>
      </c>
      <c r="S569" s="5" t="s">
        <v>1</v>
      </c>
      <c r="U569" s="5" t="s">
        <v>115</v>
      </c>
      <c r="V569" s="5" t="s">
        <v>0</v>
      </c>
      <c r="W569" s="5" t="s">
        <v>1</v>
      </c>
      <c r="X569" s="5" t="s">
        <v>122</v>
      </c>
      <c r="AA569" t="str">
        <f>IF(R570="Yes","LRA-Soil","")</f>
        <v/>
      </c>
      <c r="AB569" t="str">
        <f>IF(R571="Yes","LRA-Paint","")</f>
        <v>LRA-Paint</v>
      </c>
      <c r="AC569" t="str">
        <f>IF(R572="Yes","LRA-Dust","")</f>
        <v/>
      </c>
      <c r="AD569" t="str">
        <f>IF(S570="Yes","LSK-Soil","")</f>
        <v/>
      </c>
      <c r="AE569" t="str">
        <f>IF(S571="Yes","LSK-Paint","")</f>
        <v/>
      </c>
      <c r="AF569" t="str">
        <f>IF(S572="Yes","LSK-Dust","")</f>
        <v>LSK-Dust</v>
      </c>
    </row>
    <row r="570" spans="1:32" x14ac:dyDescent="0.2">
      <c r="A570" t="s">
        <v>63</v>
      </c>
      <c r="B570" t="s">
        <v>10</v>
      </c>
      <c r="C570">
        <v>2.2000000000000002</v>
      </c>
      <c r="D570" t="s">
        <v>4</v>
      </c>
      <c r="F570" s="2" t="str">
        <f t="shared" ref="F570:F574" si="225">IF(C570&gt;=$W$2,"Yes","No")</f>
        <v>Yes</v>
      </c>
      <c r="G570" t="s">
        <v>5</v>
      </c>
      <c r="H570" t="s">
        <v>46</v>
      </c>
      <c r="J570" s="2" t="s">
        <v>6</v>
      </c>
      <c r="K570">
        <v>0</v>
      </c>
      <c r="L570" t="s">
        <v>12</v>
      </c>
      <c r="M570" t="s">
        <v>415</v>
      </c>
      <c r="N570" t="str">
        <f>IF(K570="N/A","No", IF(K570&gt;1200,"Yes","No"))</f>
        <v>No</v>
      </c>
      <c r="O570" t="str">
        <f>IF(K570="Not","No",IF(K570="n/a","N/A",IF(K570&gt;=$Y$3,"Yes","No")))</f>
        <v>No</v>
      </c>
      <c r="Q570" s="2" t="s">
        <v>116</v>
      </c>
      <c r="R570" t="str">
        <f>_xlfn.XLOOKUP("ppm",D570:D574,F570:F574,"N/A")</f>
        <v>No</v>
      </c>
      <c r="S570" t="str">
        <f>IF(COUNTIF(O570:O572,"Yes"),"Yes","No")</f>
        <v>No</v>
      </c>
      <c r="U570" t="s">
        <v>92</v>
      </c>
      <c r="V570" t="s">
        <v>120</v>
      </c>
      <c r="W570" t="s">
        <v>120</v>
      </c>
      <c r="X570" t="str">
        <f>IF(V570="N/A","N/A",IF(W570="N/A", "N/A", IF(V570=W570, "Yes","No")))</f>
        <v>N/A</v>
      </c>
    </row>
    <row r="571" spans="1:32" x14ac:dyDescent="0.2">
      <c r="A571" t="s">
        <v>63</v>
      </c>
      <c r="B571" t="s">
        <v>77</v>
      </c>
      <c r="C571">
        <v>2.6</v>
      </c>
      <c r="D571" t="s">
        <v>4</v>
      </c>
      <c r="F571" s="2" t="str">
        <f t="shared" si="225"/>
        <v>Yes</v>
      </c>
      <c r="G571" s="2" t="s">
        <v>5</v>
      </c>
      <c r="H571" t="s">
        <v>46</v>
      </c>
      <c r="J571" s="2" t="s">
        <v>11</v>
      </c>
      <c r="K571" s="2">
        <v>64</v>
      </c>
      <c r="L571" t="s">
        <v>12</v>
      </c>
      <c r="M571" t="s">
        <v>38</v>
      </c>
      <c r="N571" t="str">
        <f t="shared" ref="N571:N572" si="226">IF(K571="N/A","No", IF(K571&gt;1200,"Yes","No"))</f>
        <v>No</v>
      </c>
      <c r="O571" t="str">
        <f t="shared" ref="O571:O572" si="227">IF(K571="Not","No",IF(K571="n/a","N/A",IF(K571&gt;$Y$3,"Yes","No")))</f>
        <v>No</v>
      </c>
      <c r="Q571" s="2" t="s">
        <v>98</v>
      </c>
      <c r="R571" s="30" t="s">
        <v>5</v>
      </c>
      <c r="S571" t="str">
        <f>IF(COUNTIF(O573:O574,"Yes"),"Yes","No")</f>
        <v>No</v>
      </c>
      <c r="U571" t="s">
        <v>95</v>
      </c>
      <c r="V571" t="str">
        <f>R570</f>
        <v>No</v>
      </c>
      <c r="W571" t="str">
        <f>S570</f>
        <v>No</v>
      </c>
      <c r="X571" t="str">
        <f t="shared" ref="X571:X574" si="228">IF(V571="N/A","N/A",IF(W571="N/A", "N/A", IF(V571=W571, "Yes","No")))</f>
        <v>Yes</v>
      </c>
    </row>
    <row r="572" spans="1:32" x14ac:dyDescent="0.2">
      <c r="A572" t="s">
        <v>83</v>
      </c>
      <c r="B572" t="s">
        <v>69</v>
      </c>
      <c r="C572">
        <v>90</v>
      </c>
      <c r="D572" t="s">
        <v>12</v>
      </c>
      <c r="F572" s="2" t="str">
        <f t="shared" ref="F572" si="229">IF(C572&gt;=$W$3,"Yes","No")</f>
        <v>No</v>
      </c>
      <c r="G572" t="s">
        <v>9</v>
      </c>
      <c r="J572" s="2" t="s">
        <v>15</v>
      </c>
      <c r="K572">
        <v>55</v>
      </c>
      <c r="L572" t="s">
        <v>12</v>
      </c>
      <c r="M572" t="s">
        <v>435</v>
      </c>
      <c r="N572" t="str">
        <f t="shared" si="226"/>
        <v>No</v>
      </c>
      <c r="O572" t="str">
        <f t="shared" si="227"/>
        <v>No</v>
      </c>
      <c r="Q572" s="2" t="s">
        <v>117</v>
      </c>
      <c r="R572" t="str">
        <f>_xlfn.XLOOKUP("ug/ft2",D570:D577,F570:F577,"N/A")</f>
        <v>No</v>
      </c>
      <c r="S572" t="str">
        <f>IF(COUNTIF(O575:O578,"Yes"),"Yes","No")</f>
        <v>Yes</v>
      </c>
      <c r="U572" t="s">
        <v>163</v>
      </c>
      <c r="V572" t="s">
        <v>9</v>
      </c>
      <c r="W572" t="s">
        <v>9</v>
      </c>
      <c r="X572" t="str">
        <f t="shared" si="228"/>
        <v>Yes</v>
      </c>
    </row>
    <row r="573" spans="1:32" x14ac:dyDescent="0.2">
      <c r="A573" t="s">
        <v>245</v>
      </c>
      <c r="B573" t="s">
        <v>40</v>
      </c>
      <c r="C573">
        <v>0.39</v>
      </c>
      <c r="D573" t="s">
        <v>4</v>
      </c>
      <c r="F573" s="2" t="str">
        <f t="shared" si="225"/>
        <v>No</v>
      </c>
      <c r="G573" t="s">
        <v>9</v>
      </c>
      <c r="H573" t="s">
        <v>43</v>
      </c>
      <c r="J573" s="2" t="s">
        <v>19</v>
      </c>
      <c r="K573">
        <v>417</v>
      </c>
      <c r="L573" t="s">
        <v>12</v>
      </c>
      <c r="M573" t="s">
        <v>436</v>
      </c>
      <c r="N573" t="str">
        <f>IF(K573="N/A","No", IF(K573&gt;5000,"Yes","No"))</f>
        <v>No</v>
      </c>
      <c r="O573" t="str">
        <f>IF(K573="Not","No",IF(K573="n/a","N/A",IF(K573&gt;$Y$2,"Yes","No")))</f>
        <v>No</v>
      </c>
      <c r="Q573" s="2" t="s">
        <v>118</v>
      </c>
      <c r="R573" t="str">
        <f>IF(COUNTIF(R570:R572,"Yes"),"Yes","No")</f>
        <v>Yes</v>
      </c>
      <c r="S573" t="str">
        <f>IF(COUNTIF(S570:S572,"Yes"),"Yes","No")</f>
        <v>Yes</v>
      </c>
      <c r="U573" t="s">
        <v>164</v>
      </c>
      <c r="V573" t="s">
        <v>5</v>
      </c>
      <c r="W573" t="s">
        <v>9</v>
      </c>
      <c r="X573" t="str">
        <f t="shared" si="228"/>
        <v>No</v>
      </c>
    </row>
    <row r="574" spans="1:32" x14ac:dyDescent="0.2">
      <c r="A574" t="s">
        <v>109</v>
      </c>
      <c r="B574" t="s">
        <v>40</v>
      </c>
      <c r="C574">
        <v>0.45</v>
      </c>
      <c r="D574" t="s">
        <v>4</v>
      </c>
      <c r="F574" s="2" t="str">
        <f t="shared" si="225"/>
        <v>No</v>
      </c>
      <c r="G574" t="s">
        <v>9</v>
      </c>
      <c r="H574" t="s">
        <v>43</v>
      </c>
      <c r="J574" s="2" t="s">
        <v>22</v>
      </c>
      <c r="K574">
        <v>538</v>
      </c>
      <c r="L574" t="s">
        <v>12</v>
      </c>
      <c r="M574" t="s">
        <v>325</v>
      </c>
      <c r="N574" t="str">
        <f>IF(K574="N/A","No", IF(K574&gt;5000,"Yes","No"))</f>
        <v>No</v>
      </c>
      <c r="O574" t="str">
        <f>IF(K574="Not","No",IF(K574="n/a","N/A",IF(K574&gt;$Y$2,"Yes","No")))</f>
        <v>No</v>
      </c>
      <c r="U574" t="s">
        <v>162</v>
      </c>
      <c r="V574" t="str">
        <f>R571</f>
        <v>Yes</v>
      </c>
      <c r="W574" t="str">
        <f>S571</f>
        <v>No</v>
      </c>
      <c r="X574" t="str">
        <f t="shared" si="228"/>
        <v>No</v>
      </c>
    </row>
    <row r="575" spans="1:32" x14ac:dyDescent="0.2">
      <c r="A575" t="s">
        <v>293</v>
      </c>
      <c r="B575" t="s">
        <v>54</v>
      </c>
      <c r="C575">
        <v>12</v>
      </c>
      <c r="D575" t="s">
        <v>33</v>
      </c>
      <c r="F575" s="2" t="str">
        <f t="shared" ref="F575" si="230">IF(C575&gt;$W$5,"Yes","No")</f>
        <v>No</v>
      </c>
      <c r="G575" t="s">
        <v>9</v>
      </c>
      <c r="J575" s="2" t="s">
        <v>25</v>
      </c>
      <c r="K575">
        <v>5</v>
      </c>
      <c r="L575" t="s">
        <v>12</v>
      </c>
      <c r="M575" t="s">
        <v>59</v>
      </c>
      <c r="N575" t="str">
        <f>IF(K575="N/A","No", IF(K575&gt;=20,"Yes","No"))</f>
        <v>No</v>
      </c>
      <c r="O575" t="str">
        <f>IF(K575="Not","No",IF(K575="n/a","N/A",IF(K575&gt;=$Y$5,"Yes","No")))</f>
        <v>No</v>
      </c>
      <c r="U575" t="s">
        <v>101</v>
      </c>
      <c r="V575" t="s">
        <v>9</v>
      </c>
      <c r="W575" t="s">
        <v>5</v>
      </c>
      <c r="X575" t="str">
        <f>IF(V575="N/A","N/A",IF(W575="N/A", "N/A", IF(V575=W575, "Yes","No")))</f>
        <v>No</v>
      </c>
    </row>
    <row r="576" spans="1:32" x14ac:dyDescent="0.2">
      <c r="A576" t="s">
        <v>71</v>
      </c>
      <c r="B576" t="s">
        <v>32</v>
      </c>
      <c r="C576">
        <v>3</v>
      </c>
      <c r="D576" t="s">
        <v>33</v>
      </c>
      <c r="F576" s="2" t="str">
        <f t="shared" ref="F576" si="231">IF(C576&gt;$W$6,"Yes","No")</f>
        <v>No</v>
      </c>
      <c r="G576" t="s">
        <v>9</v>
      </c>
      <c r="J576" s="2" t="s">
        <v>29</v>
      </c>
      <c r="K576">
        <v>14</v>
      </c>
      <c r="L576" t="s">
        <v>12</v>
      </c>
      <c r="M576" t="s">
        <v>72</v>
      </c>
      <c r="N576" t="str">
        <f>IF(K576="N/A","No", IF(K576&gt;20,"Yes","No"))</f>
        <v>No</v>
      </c>
      <c r="O576" t="str">
        <f t="shared" ref="O576" si="232">IF(K576="Not","No",IF(K576="n/a","N/A",IF(K576&gt;$Y$6,"Yes","No")))</f>
        <v>No</v>
      </c>
      <c r="U576" t="s">
        <v>104</v>
      </c>
      <c r="V576" t="s">
        <v>9</v>
      </c>
      <c r="W576" t="s">
        <v>9</v>
      </c>
      <c r="X576" t="str">
        <f>IF(V576="N/A","N/A",IF(W576="N/A", "N/A", IF(V576=W576, "Yes","No")))</f>
        <v>Yes</v>
      </c>
    </row>
    <row r="577" spans="1:32" x14ac:dyDescent="0.2">
      <c r="F577" s="2"/>
      <c r="J577" s="2" t="s">
        <v>34</v>
      </c>
      <c r="K577">
        <v>21</v>
      </c>
      <c r="L577" t="s">
        <v>12</v>
      </c>
      <c r="M577" t="s">
        <v>81</v>
      </c>
      <c r="N577" t="str">
        <f>IF(K577="N/A","No", IF(K577&gt;230,"Yes","No"))</f>
        <v>No</v>
      </c>
      <c r="O577" t="str">
        <f>IF(K577="Not","No",IF(K577="n/a","N/A",IF(K577&gt;$Y$6,"Yes","No")))</f>
        <v>Yes</v>
      </c>
      <c r="U577" t="s">
        <v>106</v>
      </c>
      <c r="V577" t="str">
        <f>R572</f>
        <v>No</v>
      </c>
      <c r="W577" t="str">
        <f>S572</f>
        <v>Yes</v>
      </c>
      <c r="X577" t="str">
        <f>IF(V577="N/A","N/A",IF(W577="N/A", "N/A", IF(V577=W577, "Yes","No")))</f>
        <v>No</v>
      </c>
    </row>
    <row r="578" spans="1:32" x14ac:dyDescent="0.2">
      <c r="F578" s="2"/>
      <c r="J578" s="2"/>
      <c r="U578" t="s">
        <v>121</v>
      </c>
      <c r="V578" t="str">
        <f>R573</f>
        <v>Yes</v>
      </c>
      <c r="W578" t="str">
        <f>S573</f>
        <v>Yes</v>
      </c>
      <c r="X578" t="str">
        <f>IF(V578="N/A","N/A",IF(W578="N/A", "N/A", IF(V578=W578, "Yes","No")))</f>
        <v>Yes</v>
      </c>
    </row>
    <row r="580" spans="1:32" x14ac:dyDescent="0.2">
      <c r="A580" s="1">
        <f>VLOOKUP(C580,'Grid - LRA Samples'!$A$2:$B$108, 2,FALSE)</f>
        <v>1504</v>
      </c>
      <c r="B580" t="s">
        <v>319</v>
      </c>
      <c r="C580">
        <v>98</v>
      </c>
    </row>
    <row r="581" spans="1:32" x14ac:dyDescent="0.2">
      <c r="A581" s="5" t="s">
        <v>0</v>
      </c>
      <c r="E581" s="2" t="s">
        <v>274</v>
      </c>
      <c r="F581" s="2" t="s">
        <v>275</v>
      </c>
      <c r="G581" t="s">
        <v>119</v>
      </c>
      <c r="J581" s="5" t="s">
        <v>1</v>
      </c>
      <c r="N581" s="2" t="s">
        <v>277</v>
      </c>
      <c r="O581" t="s">
        <v>278</v>
      </c>
      <c r="Q581" s="5" t="s">
        <v>115</v>
      </c>
      <c r="R581" s="5" t="s">
        <v>0</v>
      </c>
      <c r="S581" s="5" t="s">
        <v>1</v>
      </c>
      <c r="U581" s="5" t="s">
        <v>115</v>
      </c>
      <c r="V581" s="5" t="s">
        <v>0</v>
      </c>
      <c r="W581" s="5" t="s">
        <v>1</v>
      </c>
      <c r="X581" s="5" t="s">
        <v>122</v>
      </c>
      <c r="AA581" t="str">
        <f>IF(R582="Yes","LRA-Soil","")</f>
        <v/>
      </c>
      <c r="AB581" t="str">
        <f>IF(R583="Yes","LRA-Paint","")</f>
        <v/>
      </c>
      <c r="AC581" t="str">
        <f>IF(R584="Yes","LRA-Dust","")</f>
        <v/>
      </c>
      <c r="AD581" t="str">
        <f>IF(S582="Yes","LSK-Soil","")</f>
        <v/>
      </c>
      <c r="AE581" t="str">
        <f>IF(S583="Yes","LSK-Paint","")</f>
        <v/>
      </c>
      <c r="AF581" t="str">
        <f>IF(S584="Yes","LSK-Dust","")</f>
        <v/>
      </c>
    </row>
    <row r="582" spans="1:32" x14ac:dyDescent="0.2">
      <c r="A582" t="s">
        <v>63</v>
      </c>
      <c r="B582" t="s">
        <v>18</v>
      </c>
      <c r="C582">
        <v>0</v>
      </c>
      <c r="D582" t="s">
        <v>4</v>
      </c>
      <c r="F582" s="2" t="str">
        <f t="shared" ref="F582:F584" si="233">IF(C582&gt;=$W$2,"Yes","No")</f>
        <v>No</v>
      </c>
      <c r="G582" t="s">
        <v>9</v>
      </c>
      <c r="H582" t="s">
        <v>46</v>
      </c>
      <c r="J582" s="2" t="s">
        <v>6</v>
      </c>
      <c r="K582">
        <v>0</v>
      </c>
      <c r="L582" t="s">
        <v>12</v>
      </c>
      <c r="M582" t="s">
        <v>36</v>
      </c>
      <c r="N582" t="str">
        <f>IF(K582="N/A","No", IF(K582&gt;1200,"Yes","No"))</f>
        <v>No</v>
      </c>
      <c r="O582" t="str">
        <f>IF(K582="Not","No",IF(K582="n/a","N/A",IF(K582&gt;=$Y$3,"Yes","No")))</f>
        <v>No</v>
      </c>
      <c r="Q582" s="2" t="s">
        <v>116</v>
      </c>
      <c r="R582" t="str">
        <f>_xlfn.XLOOKUP("ppm",D582:D586,F582:F586,"N/A")</f>
        <v>No</v>
      </c>
      <c r="S582" t="str">
        <f>IF(COUNTIF(O582:O584,"Yes"),"Yes","No")</f>
        <v>No</v>
      </c>
      <c r="U582" t="s">
        <v>92</v>
      </c>
      <c r="V582" t="s">
        <v>120</v>
      </c>
      <c r="W582" t="s">
        <v>120</v>
      </c>
      <c r="X582" t="str">
        <f>IF(V582="N/A","N/A",IF(W582="N/A", "N/A", IF(V582=W582, "Yes","No")))</f>
        <v>N/A</v>
      </c>
    </row>
    <row r="583" spans="1:32" x14ac:dyDescent="0.2">
      <c r="A583" t="s">
        <v>68</v>
      </c>
      <c r="B583" t="s">
        <v>69</v>
      </c>
      <c r="C583">
        <v>130</v>
      </c>
      <c r="D583" t="s">
        <v>12</v>
      </c>
      <c r="F583" s="2" t="str">
        <f t="shared" ref="F583" si="234">IF(C583&gt;=$W$3,"Yes","No")</f>
        <v>No</v>
      </c>
      <c r="G583" s="2" t="s">
        <v>9</v>
      </c>
      <c r="J583" s="2" t="s">
        <v>11</v>
      </c>
      <c r="K583" s="2">
        <v>0</v>
      </c>
      <c r="L583" t="s">
        <v>12</v>
      </c>
      <c r="M583" t="s">
        <v>38</v>
      </c>
      <c r="N583" t="str">
        <f t="shared" ref="N583:N584" si="235">IF(K583="N/A","No", IF(K583&gt;1200,"Yes","No"))</f>
        <v>No</v>
      </c>
      <c r="O583" t="str">
        <f t="shared" ref="O583:O584" si="236">IF(K583="Not","No",IF(K583="n/a","N/A",IF(K583&gt;$Y$3,"Yes","No")))</f>
        <v>No</v>
      </c>
      <c r="Q583" s="2" t="s">
        <v>98</v>
      </c>
      <c r="R583" t="str">
        <f>_xlfn.XLOOKUP("mg/cm2",D582:D586,G582:G586,"N/A",1,-1)</f>
        <v>No</v>
      </c>
      <c r="S583" t="str">
        <f>IF(COUNTIF(O585:O586,"Yes"),"Yes","No")</f>
        <v>No</v>
      </c>
      <c r="U583" t="s">
        <v>95</v>
      </c>
      <c r="V583" t="str">
        <f>R582</f>
        <v>No</v>
      </c>
      <c r="W583" t="str">
        <f>S582</f>
        <v>No</v>
      </c>
      <c r="X583" t="str">
        <f t="shared" ref="X583:X586" si="237">IF(V583="N/A","N/A",IF(W583="N/A", "N/A", IF(V583=W583, "Yes","No")))</f>
        <v>Yes</v>
      </c>
    </row>
    <row r="584" spans="1:32" x14ac:dyDescent="0.2">
      <c r="A584" t="s">
        <v>307</v>
      </c>
      <c r="B584" t="s">
        <v>40</v>
      </c>
      <c r="C584">
        <v>0</v>
      </c>
      <c r="D584" t="s">
        <v>4</v>
      </c>
      <c r="F584" s="2" t="str">
        <f t="shared" si="233"/>
        <v>No</v>
      </c>
      <c r="G584" t="s">
        <v>9</v>
      </c>
      <c r="H584" t="s">
        <v>43</v>
      </c>
      <c r="J584" s="2" t="s">
        <v>15</v>
      </c>
      <c r="K584">
        <v>70</v>
      </c>
      <c r="L584" t="s">
        <v>12</v>
      </c>
      <c r="M584" t="s">
        <v>41</v>
      </c>
      <c r="N584" t="str">
        <f t="shared" si="235"/>
        <v>No</v>
      </c>
      <c r="O584" t="str">
        <f t="shared" si="236"/>
        <v>No</v>
      </c>
      <c r="Q584" s="2" t="s">
        <v>117</v>
      </c>
      <c r="R584" t="str">
        <f>_xlfn.XLOOKUP("ug/ft2",D582:D586,F582:F586,"N/A")</f>
        <v>No</v>
      </c>
      <c r="S584" t="str">
        <f>IF(COUNTIF(O587:O590,"Yes"),"Yes","No")</f>
        <v>No</v>
      </c>
      <c r="U584" t="s">
        <v>163</v>
      </c>
      <c r="V584" t="s">
        <v>9</v>
      </c>
      <c r="W584" t="s">
        <v>9</v>
      </c>
      <c r="X584" t="str">
        <f t="shared" si="237"/>
        <v>Yes</v>
      </c>
    </row>
    <row r="585" spans="1:32" x14ac:dyDescent="0.2">
      <c r="A585" t="s">
        <v>307</v>
      </c>
      <c r="B585" t="s">
        <v>210</v>
      </c>
      <c r="C585">
        <v>24</v>
      </c>
      <c r="D585" t="s">
        <v>33</v>
      </c>
      <c r="F585" s="2" t="str">
        <f t="shared" ref="F585" si="238">IF(C585&gt;$W$5,"Yes","No")</f>
        <v>No</v>
      </c>
      <c r="G585" t="s">
        <v>9</v>
      </c>
      <c r="J585" s="2" t="s">
        <v>19</v>
      </c>
      <c r="K585">
        <v>0</v>
      </c>
      <c r="L585" t="s">
        <v>12</v>
      </c>
      <c r="M585" t="s">
        <v>437</v>
      </c>
      <c r="N585" t="str">
        <f>IF(K585="N/A","No", IF(K585&gt;5000,"Yes","No"))</f>
        <v>No</v>
      </c>
      <c r="O585" t="str">
        <f>IF(K585="Not","No",IF(K585="n/a","N/A",IF(K585&gt;$Y$2,"Yes","No")))</f>
        <v>No</v>
      </c>
      <c r="Q585" s="2" t="s">
        <v>118</v>
      </c>
      <c r="R585" t="str">
        <f>IF(COUNTIF(R582:R584,"Yes"),"Yes","No")</f>
        <v>No</v>
      </c>
      <c r="S585" t="str">
        <f>IF(COUNTIF(S582:S584,"Yes"),"Yes","No")</f>
        <v>No</v>
      </c>
      <c r="U585" t="s">
        <v>164</v>
      </c>
      <c r="V585" t="s">
        <v>9</v>
      </c>
      <c r="W585" t="s">
        <v>9</v>
      </c>
      <c r="X585" t="str">
        <f t="shared" si="237"/>
        <v>Yes</v>
      </c>
    </row>
    <row r="586" spans="1:32" x14ac:dyDescent="0.2">
      <c r="A586" t="s">
        <v>71</v>
      </c>
      <c r="B586" t="s">
        <v>32</v>
      </c>
      <c r="C586">
        <v>3</v>
      </c>
      <c r="D586" t="s">
        <v>33</v>
      </c>
      <c r="F586" s="2" t="str">
        <f t="shared" ref="F586" si="239">IF(C586&gt;$W$6,"Yes","No")</f>
        <v>No</v>
      </c>
      <c r="G586" t="s">
        <v>9</v>
      </c>
      <c r="J586" s="2" t="s">
        <v>22</v>
      </c>
      <c r="K586">
        <v>0</v>
      </c>
      <c r="L586" t="s">
        <v>12</v>
      </c>
      <c r="M586" t="s">
        <v>402</v>
      </c>
      <c r="N586" t="str">
        <f>IF(K586="N/A","No", IF(K586&gt;5000,"Yes","No"))</f>
        <v>No</v>
      </c>
      <c r="O586" t="str">
        <f>IF(K586="Not","No",IF(K586="n/a","N/A",IF(K586&gt;$Y$2,"Yes","No")))</f>
        <v>No</v>
      </c>
      <c r="U586" t="s">
        <v>162</v>
      </c>
      <c r="V586" t="str">
        <f>R583</f>
        <v>No</v>
      </c>
      <c r="W586" t="str">
        <f>S583</f>
        <v>No</v>
      </c>
      <c r="X586" t="str">
        <f t="shared" si="237"/>
        <v>Yes</v>
      </c>
    </row>
    <row r="587" spans="1:32" x14ac:dyDescent="0.2">
      <c r="F587" s="2"/>
      <c r="J587" s="2" t="s">
        <v>25</v>
      </c>
      <c r="K587">
        <v>0</v>
      </c>
      <c r="L587" t="s">
        <v>12</v>
      </c>
      <c r="M587" t="s">
        <v>59</v>
      </c>
      <c r="N587" t="str">
        <f>IF(K587="N/A","No", IF(K587&gt;=20,"Yes","No"))</f>
        <v>No</v>
      </c>
      <c r="O587" t="str">
        <f>IF(K587="Not","No",IF(K587="n/a","N/A",IF(K587&gt;=$Y$5,"Yes","No")))</f>
        <v>No</v>
      </c>
      <c r="U587" t="s">
        <v>101</v>
      </c>
      <c r="V587" t="s">
        <v>9</v>
      </c>
      <c r="W587" t="s">
        <v>9</v>
      </c>
      <c r="X587" t="str">
        <f>IF(V587="N/A","N/A",IF(W587="N/A", "N/A", IF(V587=W587, "Yes","No")))</f>
        <v>Yes</v>
      </c>
    </row>
    <row r="588" spans="1:32" x14ac:dyDescent="0.2">
      <c r="F588" s="2"/>
      <c r="J588" s="2" t="s">
        <v>29</v>
      </c>
      <c r="K588">
        <v>0</v>
      </c>
      <c r="L588" t="s">
        <v>12</v>
      </c>
      <c r="M588" t="s">
        <v>72</v>
      </c>
      <c r="N588" t="str">
        <f>IF(K588="N/A","No", IF(K588&gt;20,"Yes","No"))</f>
        <v>No</v>
      </c>
      <c r="O588" t="str">
        <f t="shared" ref="O588" si="240">IF(K588="Not","No",IF(K588="n/a","N/A",IF(K588&gt;$Y$6,"Yes","No")))</f>
        <v>No</v>
      </c>
      <c r="U588" t="s">
        <v>104</v>
      </c>
      <c r="V588" t="s">
        <v>9</v>
      </c>
      <c r="W588" t="s">
        <v>9</v>
      </c>
      <c r="X588" t="str">
        <f>IF(V588="N/A","N/A",IF(W588="N/A", "N/A", IF(V588=W588, "Yes","No")))</f>
        <v>Yes</v>
      </c>
    </row>
    <row r="589" spans="1:32" x14ac:dyDescent="0.2">
      <c r="F589" s="2"/>
      <c r="J589" s="2" t="s">
        <v>34</v>
      </c>
      <c r="K589">
        <v>0</v>
      </c>
      <c r="L589" t="s">
        <v>12</v>
      </c>
      <c r="M589" t="s">
        <v>74</v>
      </c>
      <c r="N589" t="str">
        <f>IF(K589="N/A","No", IF(K589&gt;230,"Yes","No"))</f>
        <v>No</v>
      </c>
      <c r="O589" t="str">
        <f>IF(K589="Not","No",IF(K589="n/a","N/A",IF(K589&gt;$Y$6,"Yes","No")))</f>
        <v>No</v>
      </c>
      <c r="U589" t="s">
        <v>106</v>
      </c>
      <c r="V589" t="str">
        <f>R584</f>
        <v>No</v>
      </c>
      <c r="W589" t="str">
        <f>S584</f>
        <v>No</v>
      </c>
      <c r="X589" t="str">
        <f>IF(V589="N/A","N/A",IF(W589="N/A", "N/A", IF(V589=W589, "Yes","No")))</f>
        <v>Yes</v>
      </c>
    </row>
    <row r="590" spans="1:32" x14ac:dyDescent="0.2">
      <c r="F590" s="2"/>
      <c r="J590" s="2"/>
      <c r="U590" t="s">
        <v>121</v>
      </c>
      <c r="V590" t="str">
        <f>R585</f>
        <v>No</v>
      </c>
      <c r="W590" t="str">
        <f>S585</f>
        <v>No</v>
      </c>
      <c r="X590" t="str">
        <f>IF(V590="N/A","N/A",IF(W590="N/A", "N/A", IF(V590=W590, "Yes","No")))</f>
        <v>Yes</v>
      </c>
    </row>
    <row r="593" spans="1:32" x14ac:dyDescent="0.2">
      <c r="A593" s="1">
        <f>VLOOKUP(C593,'Grid - LRA Samples'!$A$2:$B$108, 2,FALSE)</f>
        <v>1505</v>
      </c>
      <c r="B593" t="s">
        <v>319</v>
      </c>
      <c r="C593">
        <v>99</v>
      </c>
    </row>
    <row r="594" spans="1:32" x14ac:dyDescent="0.2">
      <c r="A594" s="5" t="s">
        <v>0</v>
      </c>
      <c r="E594" s="2" t="s">
        <v>274</v>
      </c>
      <c r="F594" s="2" t="s">
        <v>275</v>
      </c>
      <c r="G594" t="s">
        <v>119</v>
      </c>
      <c r="J594" s="5" t="s">
        <v>1</v>
      </c>
      <c r="N594" s="2" t="s">
        <v>277</v>
      </c>
      <c r="O594" t="s">
        <v>278</v>
      </c>
      <c r="Q594" s="5" t="s">
        <v>115</v>
      </c>
      <c r="R594" s="5" t="s">
        <v>0</v>
      </c>
      <c r="S594" s="5" t="s">
        <v>1</v>
      </c>
      <c r="U594" s="5" t="s">
        <v>115</v>
      </c>
      <c r="V594" s="5" t="s">
        <v>0</v>
      </c>
      <c r="W594" s="5" t="s">
        <v>1</v>
      </c>
      <c r="X594" s="5" t="s">
        <v>122</v>
      </c>
      <c r="AA594" t="str">
        <f>IF(R595="Yes","LRA-Soil","")</f>
        <v>LRA-Soil</v>
      </c>
      <c r="AB594" t="str">
        <f>IF(R596="Yes","LRA-Paint","")</f>
        <v>LRA-Paint</v>
      </c>
      <c r="AC594" t="str">
        <f>IF(R597="Yes","LRA-Dust","")</f>
        <v>LRA-Dust</v>
      </c>
      <c r="AD594" t="str">
        <f>IF(S595="Yes","LSK-Soil","")</f>
        <v>LSK-Soil</v>
      </c>
      <c r="AE594" t="str">
        <f>IF(S596="Yes","LSK-Paint","")</f>
        <v/>
      </c>
      <c r="AF594" t="str">
        <f>IF(S597="Yes","LSK-Dust","")</f>
        <v>LSK-Dust</v>
      </c>
    </row>
    <row r="595" spans="1:32" x14ac:dyDescent="0.2">
      <c r="A595" t="s">
        <v>63</v>
      </c>
      <c r="B595" t="s">
        <v>18</v>
      </c>
      <c r="C595">
        <v>0</v>
      </c>
      <c r="D595" t="s">
        <v>4</v>
      </c>
      <c r="F595" s="2" t="str">
        <f t="shared" ref="F595" si="241">IF(C595&gt;=$W$2,"Yes","No")</f>
        <v>No</v>
      </c>
      <c r="G595" t="s">
        <v>9</v>
      </c>
      <c r="H595" t="s">
        <v>46</v>
      </c>
      <c r="J595" s="2" t="s">
        <v>6</v>
      </c>
      <c r="K595">
        <v>831</v>
      </c>
      <c r="L595" t="s">
        <v>12</v>
      </c>
      <c r="M595" t="s">
        <v>36</v>
      </c>
      <c r="N595" t="str">
        <f>IF(K595="N/A","No", IF(K595&gt;1200,"Yes","No"))</f>
        <v>No</v>
      </c>
      <c r="O595" t="str">
        <f>IF(K595="Not","No",IF(K595="n/a","N/A",IF(K595&gt;=$Y$3,"Yes","No")))</f>
        <v>Yes</v>
      </c>
      <c r="Q595" s="2" t="s">
        <v>116</v>
      </c>
      <c r="R595" t="str">
        <f>_xlfn.XLOOKUP("ppm",D595:D602,F595:F602,"N/A")</f>
        <v>Yes</v>
      </c>
      <c r="S595" t="str">
        <f>IF(COUNTIF(O595:O597,"Yes"),"Yes","No")</f>
        <v>Yes</v>
      </c>
      <c r="U595" t="s">
        <v>92</v>
      </c>
      <c r="V595" t="s">
        <v>120</v>
      </c>
      <c r="W595" t="s">
        <v>120</v>
      </c>
      <c r="X595" t="str">
        <f>IF(V595="N/A","N/A",IF(W595="N/A", "N/A", IF(V595=W595, "Yes","No")))</f>
        <v>N/A</v>
      </c>
    </row>
    <row r="596" spans="1:32" x14ac:dyDescent="0.2">
      <c r="A596" t="s">
        <v>75</v>
      </c>
      <c r="B596" t="s">
        <v>301</v>
      </c>
      <c r="C596">
        <v>1700</v>
      </c>
      <c r="D596" t="s">
        <v>12</v>
      </c>
      <c r="F596" s="2" t="str">
        <f t="shared" ref="F596:F597" si="242">IF(C596&gt;=$W$3,"Yes","No")</f>
        <v>Yes</v>
      </c>
      <c r="G596" s="2" t="s">
        <v>5</v>
      </c>
      <c r="J596" s="2" t="s">
        <v>11</v>
      </c>
      <c r="K596" s="2">
        <v>85</v>
      </c>
      <c r="L596" t="s">
        <v>12</v>
      </c>
      <c r="M596" t="s">
        <v>176</v>
      </c>
      <c r="N596" t="str">
        <f t="shared" ref="N596:N597" si="243">IF(K596="N/A","No", IF(K596&gt;1200,"Yes","No"))</f>
        <v>No</v>
      </c>
      <c r="O596" t="str">
        <f t="shared" ref="O596:O597" si="244">IF(K596="Not","No",IF(K596="n/a","N/A",IF(K596&gt;$Y$3,"Yes","No")))</f>
        <v>No</v>
      </c>
      <c r="Q596" s="2" t="s">
        <v>98</v>
      </c>
      <c r="R596" t="str">
        <f>_xlfn.XLOOKUP("mg/cm2",D595:D599,G595:G599,"N/A",1,-1)</f>
        <v>Yes</v>
      </c>
      <c r="S596" t="str">
        <f>IF(COUNTIF(O598:O599,"Yes"),"Yes","No")</f>
        <v>No</v>
      </c>
      <c r="U596" t="s">
        <v>95</v>
      </c>
      <c r="V596" t="str">
        <f>R595</f>
        <v>Yes</v>
      </c>
      <c r="W596" t="str">
        <f>S595</f>
        <v>Yes</v>
      </c>
      <c r="X596" t="str">
        <f t="shared" ref="X596:X599" si="245">IF(V596="N/A","N/A",IF(W596="N/A", "N/A", IF(V596=W596, "Yes","No")))</f>
        <v>Yes</v>
      </c>
    </row>
    <row r="597" spans="1:32" x14ac:dyDescent="0.2">
      <c r="A597" t="s">
        <v>68</v>
      </c>
      <c r="B597" t="s">
        <v>69</v>
      </c>
      <c r="C597">
        <v>80</v>
      </c>
      <c r="D597" t="s">
        <v>12</v>
      </c>
      <c r="F597" s="2" t="str">
        <f t="shared" si="242"/>
        <v>No</v>
      </c>
      <c r="G597" t="s">
        <v>9</v>
      </c>
      <c r="J597" s="2" t="s">
        <v>15</v>
      </c>
      <c r="K597">
        <v>158</v>
      </c>
      <c r="L597" t="s">
        <v>12</v>
      </c>
      <c r="M597" t="s">
        <v>41</v>
      </c>
      <c r="N597" t="str">
        <f t="shared" si="243"/>
        <v>No</v>
      </c>
      <c r="O597" t="str">
        <f t="shared" si="244"/>
        <v>No</v>
      </c>
      <c r="Q597" s="2" t="s">
        <v>117</v>
      </c>
      <c r="R597" t="str">
        <f>_xlfn.XLOOKUP("ug/ft2",D595:D602,F595:F602,"N/A")</f>
        <v>Yes</v>
      </c>
      <c r="S597" t="str">
        <f>IF(COUNTIF(O600:O603,"Yes"),"Yes","No")</f>
        <v>Yes</v>
      </c>
      <c r="U597" t="s">
        <v>163</v>
      </c>
      <c r="V597" t="s">
        <v>5</v>
      </c>
      <c r="W597" t="s">
        <v>9</v>
      </c>
      <c r="X597" t="str">
        <f t="shared" si="245"/>
        <v>No</v>
      </c>
    </row>
    <row r="598" spans="1:32" x14ac:dyDescent="0.2">
      <c r="A598" t="s">
        <v>71</v>
      </c>
      <c r="B598" t="s">
        <v>40</v>
      </c>
      <c r="C598">
        <v>0</v>
      </c>
      <c r="D598" t="s">
        <v>4</v>
      </c>
      <c r="F598" s="2" t="str">
        <f t="shared" ref="F598:F600" si="246">IF(C598&gt;=$W$2,"Yes","No")</f>
        <v>No</v>
      </c>
      <c r="G598" t="s">
        <v>9</v>
      </c>
      <c r="H598" t="s">
        <v>43</v>
      </c>
      <c r="J598" s="2" t="s">
        <v>19</v>
      </c>
      <c r="K598">
        <v>0</v>
      </c>
      <c r="L598" t="s">
        <v>12</v>
      </c>
      <c r="M598" t="s">
        <v>438</v>
      </c>
      <c r="N598" t="str">
        <f>IF(K598="N/A","No", IF(K598&gt;5000,"Yes","No"))</f>
        <v>No</v>
      </c>
      <c r="O598" t="str">
        <f>IF(K598="Not","No",IF(K598="n/a","N/A",IF(K598&gt;$Y$2,"Yes","No")))</f>
        <v>No</v>
      </c>
      <c r="Q598" s="2" t="s">
        <v>118</v>
      </c>
      <c r="R598" t="str">
        <f>IF(COUNTIF(R595:R597,"Yes"),"Yes","No")</f>
        <v>Yes</v>
      </c>
      <c r="S598" t="str">
        <f>IF(COUNTIF(S595:S597,"Yes"),"Yes","No")</f>
        <v>Yes</v>
      </c>
      <c r="U598" t="s">
        <v>164</v>
      </c>
      <c r="V598" t="s">
        <v>9</v>
      </c>
      <c r="W598" t="s">
        <v>120</v>
      </c>
      <c r="X598" t="str">
        <f t="shared" si="245"/>
        <v>N/A</v>
      </c>
    </row>
    <row r="599" spans="1:32" x14ac:dyDescent="0.2">
      <c r="A599" t="s">
        <v>322</v>
      </c>
      <c r="B599" t="s">
        <v>10</v>
      </c>
      <c r="C599">
        <v>2.4</v>
      </c>
      <c r="D599" t="s">
        <v>4</v>
      </c>
      <c r="F599" s="2" t="str">
        <f t="shared" si="246"/>
        <v>Yes</v>
      </c>
      <c r="G599" t="s">
        <v>5</v>
      </c>
      <c r="H599" t="s">
        <v>43</v>
      </c>
      <c r="J599" s="2" t="s">
        <v>22</v>
      </c>
      <c r="K599" t="s">
        <v>120</v>
      </c>
      <c r="L599" t="s">
        <v>12</v>
      </c>
      <c r="M599" t="s">
        <v>66</v>
      </c>
      <c r="N599" t="str">
        <f>IF(K599="N/A","No", IF(K599&gt;5000,"Yes","No"))</f>
        <v>No</v>
      </c>
      <c r="O599" t="str">
        <f>IF(K599="Not","No",IF(K599="n/a","N/A",IF(K599&gt;$Y$2,"Yes","No")))</f>
        <v>N/A</v>
      </c>
      <c r="U599" t="s">
        <v>162</v>
      </c>
      <c r="V599" t="str">
        <f>R596</f>
        <v>Yes</v>
      </c>
      <c r="W599" t="str">
        <f>S596</f>
        <v>No</v>
      </c>
      <c r="X599" t="str">
        <f t="shared" si="245"/>
        <v>No</v>
      </c>
    </row>
    <row r="600" spans="1:32" x14ac:dyDescent="0.2">
      <c r="A600" t="s">
        <v>322</v>
      </c>
      <c r="B600" t="s">
        <v>246</v>
      </c>
      <c r="C600">
        <v>3.1</v>
      </c>
      <c r="D600" t="s">
        <v>4</v>
      </c>
      <c r="F600" s="2" t="str">
        <f t="shared" si="246"/>
        <v>Yes</v>
      </c>
      <c r="G600" t="s">
        <v>9</v>
      </c>
      <c r="H600" t="s">
        <v>43</v>
      </c>
      <c r="J600" s="2" t="s">
        <v>25</v>
      </c>
      <c r="K600">
        <v>46</v>
      </c>
      <c r="L600" t="s">
        <v>12</v>
      </c>
      <c r="M600" t="s">
        <v>439</v>
      </c>
      <c r="N600" t="str">
        <f>IF(K600="N/A","No", IF(K600&gt;=20,"Yes","No"))</f>
        <v>Yes</v>
      </c>
      <c r="O600" t="str">
        <f>IF(K600="Not","No",IF(K600="n/a","N/A",IF(K600&gt;=$Y$5,"Yes","No")))</f>
        <v>No</v>
      </c>
      <c r="U600" t="s">
        <v>101</v>
      </c>
      <c r="V600" t="s">
        <v>5</v>
      </c>
      <c r="W600" t="s">
        <v>5</v>
      </c>
      <c r="X600" t="str">
        <f>IF(V600="N/A","N/A",IF(W600="N/A", "N/A", IF(V600=W600, "Yes","No")))</f>
        <v>Yes</v>
      </c>
    </row>
    <row r="601" spans="1:32" x14ac:dyDescent="0.2">
      <c r="A601" t="s">
        <v>71</v>
      </c>
      <c r="B601" t="s">
        <v>32</v>
      </c>
      <c r="C601">
        <v>21</v>
      </c>
      <c r="D601" t="s">
        <v>33</v>
      </c>
      <c r="F601" s="2" t="str">
        <f t="shared" ref="F601:F602" si="247">IF(C601&gt;$W$6,"Yes","No")</f>
        <v>Yes</v>
      </c>
      <c r="G601" t="s">
        <v>5</v>
      </c>
      <c r="J601" s="2" t="s">
        <v>29</v>
      </c>
      <c r="K601">
        <v>28</v>
      </c>
      <c r="L601" t="s">
        <v>12</v>
      </c>
      <c r="M601" t="s">
        <v>72</v>
      </c>
      <c r="N601" t="str">
        <f>IF(K601="N/A","No", IF(K601&gt;20,"Yes","No"))</f>
        <v>Yes</v>
      </c>
      <c r="O601" t="str">
        <f t="shared" ref="O601" si="248">IF(K601="Not","No",IF(K601="n/a","N/A",IF(K601&gt;$Y$6,"Yes","No")))</f>
        <v>Yes</v>
      </c>
      <c r="U601" t="s">
        <v>104</v>
      </c>
      <c r="V601" t="s">
        <v>120</v>
      </c>
      <c r="W601" t="s">
        <v>9</v>
      </c>
      <c r="X601" t="str">
        <f>IF(V601="N/A","N/A",IF(W601="N/A", "N/A", IF(V601=W601, "Yes","No")))</f>
        <v>N/A</v>
      </c>
    </row>
    <row r="602" spans="1:32" x14ac:dyDescent="0.2">
      <c r="A602" t="s">
        <v>71</v>
      </c>
      <c r="B602" t="s">
        <v>32</v>
      </c>
      <c r="C602">
        <v>160</v>
      </c>
      <c r="D602" t="s">
        <v>33</v>
      </c>
      <c r="F602" s="2" t="str">
        <f t="shared" si="247"/>
        <v>Yes</v>
      </c>
      <c r="G602" t="s">
        <v>5</v>
      </c>
      <c r="J602" s="2" t="s">
        <v>34</v>
      </c>
      <c r="K602">
        <v>48</v>
      </c>
      <c r="L602" t="s">
        <v>12</v>
      </c>
      <c r="M602" t="s">
        <v>81</v>
      </c>
      <c r="N602" t="str">
        <f>IF(K602="N/A","No", IF(K602&gt;230,"Yes","No"))</f>
        <v>No</v>
      </c>
      <c r="O602" t="str">
        <f>IF(K602="Not","No",IF(K602="n/a","N/A",IF(K602&gt;$Y$6,"Yes","No")))</f>
        <v>Yes</v>
      </c>
      <c r="U602" t="s">
        <v>106</v>
      </c>
      <c r="V602" t="str">
        <f>R597</f>
        <v>Yes</v>
      </c>
      <c r="W602" t="str">
        <f>S597</f>
        <v>Yes</v>
      </c>
      <c r="X602" t="str">
        <f>IF(V602="N/A","N/A",IF(W602="N/A", "N/A", IF(V602=W602, "Yes","No")))</f>
        <v>Yes</v>
      </c>
    </row>
    <row r="603" spans="1:32" x14ac:dyDescent="0.2">
      <c r="F603" s="2"/>
      <c r="J603" s="2"/>
      <c r="U603" t="s">
        <v>121</v>
      </c>
      <c r="V603" t="str">
        <f>R598</f>
        <v>Yes</v>
      </c>
      <c r="W603" t="str">
        <f>S598</f>
        <v>Yes</v>
      </c>
      <c r="X603" t="str">
        <f>IF(V603="N/A","N/A",IF(W603="N/A", "N/A", IF(V603=W603, "Yes","No")))</f>
        <v>Yes</v>
      </c>
    </row>
    <row r="605" spans="1:32" x14ac:dyDescent="0.2">
      <c r="A605" s="1">
        <f>VLOOKUP(C605,'Grid - LRA Samples'!$A$2:$B$108, 2,FALSE)</f>
        <v>1518</v>
      </c>
      <c r="B605" t="s">
        <v>319</v>
      </c>
      <c r="C605">
        <v>100</v>
      </c>
    </row>
    <row r="606" spans="1:32" x14ac:dyDescent="0.2">
      <c r="A606" s="5" t="s">
        <v>0</v>
      </c>
      <c r="E606" s="2" t="s">
        <v>274</v>
      </c>
      <c r="F606" s="2" t="s">
        <v>275</v>
      </c>
      <c r="G606" t="s">
        <v>119</v>
      </c>
      <c r="J606" s="5" t="s">
        <v>1</v>
      </c>
      <c r="N606" s="2" t="s">
        <v>277</v>
      </c>
      <c r="O606" t="s">
        <v>278</v>
      </c>
      <c r="Q606" s="5" t="s">
        <v>115</v>
      </c>
      <c r="R606" s="5" t="s">
        <v>0</v>
      </c>
      <c r="S606" s="5" t="s">
        <v>1</v>
      </c>
      <c r="U606" s="5" t="s">
        <v>115</v>
      </c>
      <c r="V606" s="5" t="s">
        <v>0</v>
      </c>
      <c r="W606" s="5" t="s">
        <v>1</v>
      </c>
      <c r="X606" s="5" t="s">
        <v>122</v>
      </c>
      <c r="AA606" t="str">
        <f>IF(R607="Yes","LRA-Soil","")</f>
        <v/>
      </c>
      <c r="AB606" t="str">
        <f>IF(R608="Yes","LRA-Paint","")</f>
        <v>LRA-Paint</v>
      </c>
      <c r="AC606" t="str">
        <f>IF(R609="Yes","LRA-Dust","")</f>
        <v>LRA-Dust</v>
      </c>
      <c r="AD606" t="str">
        <f>IF(S607="Yes","LSK-Soil","")</f>
        <v/>
      </c>
      <c r="AE606" t="str">
        <f>IF(S608="Yes","LSK-Paint","")</f>
        <v>LSK-Paint</v>
      </c>
      <c r="AF606" t="str">
        <f>IF(S609="Yes","LSK-Dust","")</f>
        <v>LSK-Dust</v>
      </c>
    </row>
    <row r="607" spans="1:32" x14ac:dyDescent="0.2">
      <c r="A607" t="s">
        <v>63</v>
      </c>
      <c r="B607" t="s">
        <v>10</v>
      </c>
      <c r="C607">
        <v>21.6</v>
      </c>
      <c r="D607" t="s">
        <v>4</v>
      </c>
      <c r="F607" s="2" t="str">
        <f t="shared" ref="F607:F670" si="249">IF(C607&gt;=$W$2,"Yes","No")</f>
        <v>Yes</v>
      </c>
      <c r="G607" t="s">
        <v>5</v>
      </c>
      <c r="H607" t="s">
        <v>46</v>
      </c>
      <c r="J607" s="2" t="s">
        <v>6</v>
      </c>
      <c r="K607">
        <v>353</v>
      </c>
      <c r="L607" t="s">
        <v>12</v>
      </c>
      <c r="M607" t="s">
        <v>36</v>
      </c>
      <c r="N607" t="str">
        <f>IF(K607="N/A","No", IF(K607&gt;1200,"Yes","No"))</f>
        <v>No</v>
      </c>
      <c r="O607" t="str">
        <f>IF(K607="Not","No",IF(K607="n/a","N/A",IF(K607&gt;=$Y$3,"Yes","No")))</f>
        <v>No</v>
      </c>
      <c r="Q607" s="2" t="s">
        <v>116</v>
      </c>
      <c r="R607" t="str">
        <f>_xlfn.XLOOKUP("ppm",D607:D681,F607:F681,"N/A")</f>
        <v>No</v>
      </c>
      <c r="S607" t="str">
        <f>IF(COUNTIF(O607:O609,"Yes"),"Yes","No")</f>
        <v>No</v>
      </c>
      <c r="U607" t="s">
        <v>92</v>
      </c>
      <c r="V607" t="s">
        <v>120</v>
      </c>
      <c r="W607" t="s">
        <v>120</v>
      </c>
      <c r="X607" t="str">
        <f>IF(V607="N/A","N/A",IF(W607="N/A", "N/A", IF(V607=W607, "Yes","No")))</f>
        <v>N/A</v>
      </c>
    </row>
    <row r="608" spans="1:32" x14ac:dyDescent="0.2">
      <c r="A608" t="s">
        <v>63</v>
      </c>
      <c r="B608" t="s">
        <v>10</v>
      </c>
      <c r="C608">
        <v>24.1</v>
      </c>
      <c r="D608" t="s">
        <v>4</v>
      </c>
      <c r="F608" s="2" t="str">
        <f t="shared" si="249"/>
        <v>Yes</v>
      </c>
      <c r="G608" s="2" t="s">
        <v>5</v>
      </c>
      <c r="H608" t="s">
        <v>46</v>
      </c>
      <c r="J608" s="2" t="s">
        <v>11</v>
      </c>
      <c r="K608" s="2">
        <v>118</v>
      </c>
      <c r="L608" t="s">
        <v>12</v>
      </c>
      <c r="M608" t="s">
        <v>443</v>
      </c>
      <c r="N608" t="str">
        <f t="shared" ref="N608:N609" si="250">IF(K608="N/A","No", IF(K608&gt;1200,"Yes","No"))</f>
        <v>No</v>
      </c>
      <c r="O608" t="str">
        <f t="shared" ref="O608:O609" si="251">IF(K608="Not","No",IF(K608="n/a","N/A",IF(K608&gt;$Y$3,"Yes","No")))</f>
        <v>No</v>
      </c>
      <c r="Q608" s="2" t="s">
        <v>98</v>
      </c>
      <c r="R608" t="str">
        <f>_xlfn.XLOOKUP("mg/cm2",D607:D611,G607:G611,"N/A",1,-1)</f>
        <v>Yes</v>
      </c>
      <c r="S608" t="str">
        <f>IF(COUNTIF(O610:O611,"Yes"),"Yes","No")</f>
        <v>Yes</v>
      </c>
      <c r="U608" t="s">
        <v>95</v>
      </c>
      <c r="V608" t="str">
        <f>R607</f>
        <v>No</v>
      </c>
      <c r="W608" t="str">
        <f>S607</f>
        <v>No</v>
      </c>
      <c r="X608" t="str">
        <f t="shared" ref="X608:X611" si="252">IF(V608="N/A","N/A",IF(W608="N/A", "N/A", IF(V608=W608, "Yes","No")))</f>
        <v>Yes</v>
      </c>
    </row>
    <row r="609" spans="1:24" x14ac:dyDescent="0.2">
      <c r="A609" t="s">
        <v>63</v>
      </c>
      <c r="B609" t="s">
        <v>18</v>
      </c>
      <c r="C609">
        <v>28.1</v>
      </c>
      <c r="D609" t="s">
        <v>4</v>
      </c>
      <c r="F609" s="2" t="str">
        <f t="shared" si="249"/>
        <v>Yes</v>
      </c>
      <c r="G609" t="s">
        <v>5</v>
      </c>
      <c r="H609" t="s">
        <v>46</v>
      </c>
      <c r="J609" s="2" t="s">
        <v>15</v>
      </c>
      <c r="K609">
        <v>17</v>
      </c>
      <c r="L609" t="s">
        <v>12</v>
      </c>
      <c r="M609" t="s">
        <v>41</v>
      </c>
      <c r="N609" t="str">
        <f t="shared" si="250"/>
        <v>No</v>
      </c>
      <c r="O609" t="str">
        <f t="shared" si="251"/>
        <v>No</v>
      </c>
      <c r="Q609" s="2" t="s">
        <v>117</v>
      </c>
      <c r="R609" s="30" t="s">
        <v>5</v>
      </c>
      <c r="S609" t="str">
        <f>IF(COUNTIF(O612:O615,"Yes"),"Yes","No")</f>
        <v>Yes</v>
      </c>
      <c r="U609" t="s">
        <v>163</v>
      </c>
      <c r="V609" t="s">
        <v>5</v>
      </c>
      <c r="W609" t="s">
        <v>9</v>
      </c>
      <c r="X609" t="str">
        <f t="shared" si="252"/>
        <v>No</v>
      </c>
    </row>
    <row r="610" spans="1:24" x14ac:dyDescent="0.2">
      <c r="A610" t="s">
        <v>63</v>
      </c>
      <c r="B610" t="s">
        <v>18</v>
      </c>
      <c r="C610">
        <v>35.1</v>
      </c>
      <c r="D610" t="s">
        <v>4</v>
      </c>
      <c r="F610" s="2" t="str">
        <f t="shared" si="249"/>
        <v>Yes</v>
      </c>
      <c r="G610" t="s">
        <v>5</v>
      </c>
      <c r="H610" t="s">
        <v>46</v>
      </c>
      <c r="J610" s="2" t="s">
        <v>19</v>
      </c>
      <c r="K610">
        <v>89</v>
      </c>
      <c r="L610" t="s">
        <v>12</v>
      </c>
      <c r="M610" t="s">
        <v>444</v>
      </c>
      <c r="N610" t="str">
        <f>IF(K610="N/A","No", IF(K610&gt;5000,"Yes","No"))</f>
        <v>No</v>
      </c>
      <c r="O610" t="str">
        <f>IF(K610="Not","No",IF(K610="n/a","N/A",IF(K610&gt;$Y$2,"Yes","No")))</f>
        <v>No</v>
      </c>
      <c r="Q610" s="2" t="s">
        <v>118</v>
      </c>
      <c r="R610" t="str">
        <f>IF(COUNTIF(R607:R609,"Yes"),"Yes","No")</f>
        <v>Yes</v>
      </c>
      <c r="S610" t="str">
        <f>IF(COUNTIF(S607:S609,"Yes"),"Yes","No")</f>
        <v>Yes</v>
      </c>
      <c r="U610" t="s">
        <v>164</v>
      </c>
      <c r="V610" t="s">
        <v>5</v>
      </c>
      <c r="W610" t="s">
        <v>5</v>
      </c>
      <c r="X610" t="str">
        <f t="shared" si="252"/>
        <v>Yes</v>
      </c>
    </row>
    <row r="611" spans="1:24" x14ac:dyDescent="0.2">
      <c r="A611" t="s">
        <v>63</v>
      </c>
      <c r="B611" t="s">
        <v>18</v>
      </c>
      <c r="C611">
        <v>36.1</v>
      </c>
      <c r="D611" t="s">
        <v>4</v>
      </c>
      <c r="F611" s="2" t="str">
        <f t="shared" si="249"/>
        <v>Yes</v>
      </c>
      <c r="G611" t="s">
        <v>5</v>
      </c>
      <c r="H611" t="s">
        <v>46</v>
      </c>
      <c r="J611" s="2" t="s">
        <v>22</v>
      </c>
      <c r="K611">
        <v>607900</v>
      </c>
      <c r="L611" t="s">
        <v>12</v>
      </c>
      <c r="M611" t="s">
        <v>402</v>
      </c>
      <c r="N611" t="str">
        <f>IF(K611="N/A","No", IF(K611&gt;5000,"Yes","No"))</f>
        <v>Yes</v>
      </c>
      <c r="O611" t="str">
        <f>IF(K611="Not","No",IF(K611="n/a","N/A",IF(K611&gt;$Y$2,"Yes","No")))</f>
        <v>Yes</v>
      </c>
      <c r="U611" t="s">
        <v>162</v>
      </c>
      <c r="V611" t="str">
        <f>R608</f>
        <v>Yes</v>
      </c>
      <c r="W611" t="str">
        <f>S608</f>
        <v>Yes</v>
      </c>
      <c r="X611" t="str">
        <f t="shared" si="252"/>
        <v>Yes</v>
      </c>
    </row>
    <row r="612" spans="1:24" x14ac:dyDescent="0.2">
      <c r="A612" t="s">
        <v>63</v>
      </c>
      <c r="B612" t="s">
        <v>18</v>
      </c>
      <c r="C612">
        <v>37.299999999999997</v>
      </c>
      <c r="D612" t="s">
        <v>4</v>
      </c>
      <c r="F612" s="2" t="str">
        <f t="shared" si="249"/>
        <v>Yes</v>
      </c>
      <c r="G612" t="s">
        <v>5</v>
      </c>
      <c r="H612" t="s">
        <v>46</v>
      </c>
      <c r="J612" s="2" t="s">
        <v>25</v>
      </c>
      <c r="K612">
        <v>62</v>
      </c>
      <c r="L612" t="s">
        <v>12</v>
      </c>
      <c r="M612" t="s">
        <v>59</v>
      </c>
      <c r="N612" t="str">
        <f>IF(K612="N/A","No", IF(K612&gt;=20,"Yes","No"))</f>
        <v>Yes</v>
      </c>
      <c r="O612" t="str">
        <f>IF(K612="Not","No",IF(K612="n/a","N/A",IF(K612&gt;=$Y$5,"Yes","No")))</f>
        <v>No</v>
      </c>
      <c r="U612" t="s">
        <v>101</v>
      </c>
      <c r="V612" t="s">
        <v>5</v>
      </c>
      <c r="W612" t="s">
        <v>5</v>
      </c>
      <c r="X612" t="str">
        <f>IF(V612="N/A","N/A",IF(W612="N/A", "N/A", IF(V612=W612, "Yes","No")))</f>
        <v>Yes</v>
      </c>
    </row>
    <row r="613" spans="1:24" x14ac:dyDescent="0.2">
      <c r="A613" t="s">
        <v>63</v>
      </c>
      <c r="B613" t="s">
        <v>24</v>
      </c>
      <c r="C613">
        <v>2.6</v>
      </c>
      <c r="D613" t="s">
        <v>4</v>
      </c>
      <c r="F613" s="2" t="str">
        <f t="shared" si="249"/>
        <v>Yes</v>
      </c>
      <c r="G613" t="s">
        <v>5</v>
      </c>
      <c r="H613" t="s">
        <v>46</v>
      </c>
      <c r="J613" s="2" t="s">
        <v>29</v>
      </c>
      <c r="K613">
        <v>47</v>
      </c>
      <c r="L613" t="s">
        <v>12</v>
      </c>
      <c r="M613" t="s">
        <v>72</v>
      </c>
      <c r="N613" t="str">
        <f>IF(K613="N/A","No", IF(K613&gt;20,"Yes","No"))</f>
        <v>Yes</v>
      </c>
      <c r="O613" t="str">
        <f t="shared" ref="O613" si="253">IF(K613="Not","No",IF(K613="n/a","N/A",IF(K613&gt;$Y$6,"Yes","No")))</f>
        <v>Yes</v>
      </c>
      <c r="U613" t="s">
        <v>104</v>
      </c>
      <c r="V613" t="s">
        <v>9</v>
      </c>
      <c r="W613" t="s">
        <v>9</v>
      </c>
      <c r="X613" t="str">
        <f>IF(V613="N/A","N/A",IF(W613="N/A", "N/A", IF(V613=W613, "Yes","No")))</f>
        <v>Yes</v>
      </c>
    </row>
    <row r="614" spans="1:24" x14ac:dyDescent="0.2">
      <c r="A614" t="s">
        <v>63</v>
      </c>
      <c r="B614" t="s">
        <v>24</v>
      </c>
      <c r="C614">
        <v>25.9</v>
      </c>
      <c r="D614" t="s">
        <v>4</v>
      </c>
      <c r="F614" s="2" t="str">
        <f t="shared" si="249"/>
        <v>Yes</v>
      </c>
      <c r="G614" t="s">
        <v>5</v>
      </c>
      <c r="H614" t="s">
        <v>46</v>
      </c>
      <c r="J614" s="2" t="s">
        <v>34</v>
      </c>
      <c r="K614">
        <v>1734</v>
      </c>
      <c r="L614" t="s">
        <v>12</v>
      </c>
      <c r="M614" t="s">
        <v>74</v>
      </c>
      <c r="N614" t="str">
        <f>IF(K614="N/A","No", IF(K614&gt;230,"Yes","No"))</f>
        <v>Yes</v>
      </c>
      <c r="O614" t="str">
        <f>IF(K614="Not","No",IF(K614="n/a","N/A",IF(K614&gt;$Y$6,"Yes","No")))</f>
        <v>Yes</v>
      </c>
      <c r="U614" t="s">
        <v>106</v>
      </c>
      <c r="V614" t="str">
        <f>R609</f>
        <v>Yes</v>
      </c>
      <c r="W614" t="str">
        <f>S609</f>
        <v>Yes</v>
      </c>
      <c r="X614" t="str">
        <f>IF(V614="N/A","N/A",IF(W614="N/A", "N/A", IF(V614=W614, "Yes","No")))</f>
        <v>Yes</v>
      </c>
    </row>
    <row r="615" spans="1:24" x14ac:dyDescent="0.2">
      <c r="A615" t="s">
        <v>63</v>
      </c>
      <c r="B615" t="s">
        <v>24</v>
      </c>
      <c r="C615">
        <v>29.1</v>
      </c>
      <c r="D615" t="s">
        <v>4</v>
      </c>
      <c r="F615" s="2" t="str">
        <f t="shared" si="249"/>
        <v>Yes</v>
      </c>
      <c r="G615" t="s">
        <v>5</v>
      </c>
      <c r="H615" t="s">
        <v>46</v>
      </c>
      <c r="J615" s="2"/>
      <c r="U615" t="s">
        <v>121</v>
      </c>
      <c r="V615" t="str">
        <f>R610</f>
        <v>Yes</v>
      </c>
      <c r="W615" t="str">
        <f>S610</f>
        <v>Yes</v>
      </c>
      <c r="X615" t="str">
        <f>IF(V615="N/A","N/A",IF(W615="N/A", "N/A", IF(V615=W615, "Yes","No")))</f>
        <v>Yes</v>
      </c>
    </row>
    <row r="616" spans="1:24" x14ac:dyDescent="0.2">
      <c r="A616" t="s">
        <v>63</v>
      </c>
      <c r="B616" t="s">
        <v>24</v>
      </c>
      <c r="C616">
        <v>1.5</v>
      </c>
      <c r="D616" t="s">
        <v>4</v>
      </c>
      <c r="F616" s="2" t="str">
        <f t="shared" si="249"/>
        <v>Yes</v>
      </c>
      <c r="G616" t="s">
        <v>5</v>
      </c>
      <c r="H616" t="s">
        <v>46</v>
      </c>
    </row>
    <row r="617" spans="1:24" x14ac:dyDescent="0.2">
      <c r="A617" t="s">
        <v>63</v>
      </c>
      <c r="B617" t="s">
        <v>24</v>
      </c>
      <c r="C617">
        <v>1.4</v>
      </c>
      <c r="D617" t="s">
        <v>4</v>
      </c>
      <c r="F617" s="2" t="str">
        <f t="shared" si="249"/>
        <v>Yes</v>
      </c>
      <c r="G617" t="s">
        <v>5</v>
      </c>
      <c r="H617" t="s">
        <v>46</v>
      </c>
    </row>
    <row r="618" spans="1:24" x14ac:dyDescent="0.2">
      <c r="A618" t="s">
        <v>63</v>
      </c>
      <c r="B618" t="s">
        <v>24</v>
      </c>
      <c r="C618">
        <v>10.8</v>
      </c>
      <c r="D618" t="s">
        <v>4</v>
      </c>
      <c r="F618" s="2" t="str">
        <f t="shared" si="249"/>
        <v>Yes</v>
      </c>
      <c r="G618" t="s">
        <v>5</v>
      </c>
      <c r="H618" t="s">
        <v>46</v>
      </c>
    </row>
    <row r="619" spans="1:24" x14ac:dyDescent="0.2">
      <c r="A619" t="s">
        <v>63</v>
      </c>
      <c r="B619" t="s">
        <v>24</v>
      </c>
      <c r="C619">
        <v>28.1</v>
      </c>
      <c r="D619" t="s">
        <v>4</v>
      </c>
      <c r="F619" s="2" t="str">
        <f t="shared" si="249"/>
        <v>Yes</v>
      </c>
      <c r="G619" t="s">
        <v>5</v>
      </c>
      <c r="H619" t="s">
        <v>46</v>
      </c>
    </row>
    <row r="620" spans="1:24" x14ac:dyDescent="0.2">
      <c r="A620" t="s">
        <v>63</v>
      </c>
      <c r="B620" t="s">
        <v>24</v>
      </c>
      <c r="C620">
        <v>35.6</v>
      </c>
      <c r="D620" t="s">
        <v>4</v>
      </c>
      <c r="F620" s="2" t="str">
        <f t="shared" si="249"/>
        <v>Yes</v>
      </c>
      <c r="G620" t="s">
        <v>5</v>
      </c>
      <c r="H620" t="s">
        <v>46</v>
      </c>
    </row>
    <row r="621" spans="1:24" x14ac:dyDescent="0.2">
      <c r="A621" t="s">
        <v>154</v>
      </c>
      <c r="B621" t="s">
        <v>3</v>
      </c>
      <c r="C621">
        <v>31.8</v>
      </c>
      <c r="D621" t="s">
        <v>4</v>
      </c>
      <c r="F621" s="2" t="str">
        <f t="shared" si="249"/>
        <v>Yes</v>
      </c>
      <c r="G621" t="s">
        <v>5</v>
      </c>
      <c r="H621" t="s">
        <v>46</v>
      </c>
    </row>
    <row r="622" spans="1:24" x14ac:dyDescent="0.2">
      <c r="A622" t="s">
        <v>75</v>
      </c>
      <c r="B622" t="s">
        <v>399</v>
      </c>
      <c r="C622">
        <v>220</v>
      </c>
      <c r="D622" t="s">
        <v>12</v>
      </c>
      <c r="F622" s="2" t="str">
        <f t="shared" ref="F622" si="254">IF(C622&gt;=$W$3,"Yes","No")</f>
        <v>No</v>
      </c>
      <c r="G622" t="s">
        <v>9</v>
      </c>
    </row>
    <row r="623" spans="1:24" x14ac:dyDescent="0.2">
      <c r="A623" t="s">
        <v>113</v>
      </c>
      <c r="B623" t="s">
        <v>40</v>
      </c>
      <c r="C623">
        <v>4.0999999999999996</v>
      </c>
      <c r="D623" t="s">
        <v>4</v>
      </c>
      <c r="F623" s="2" t="str">
        <f t="shared" si="249"/>
        <v>Yes</v>
      </c>
      <c r="G623" t="s">
        <v>5</v>
      </c>
      <c r="H623" t="s">
        <v>43</v>
      </c>
    </row>
    <row r="624" spans="1:24" x14ac:dyDescent="0.2">
      <c r="A624" t="s">
        <v>440</v>
      </c>
      <c r="B624" t="s">
        <v>40</v>
      </c>
      <c r="C624">
        <v>3.8</v>
      </c>
      <c r="D624" t="s">
        <v>4</v>
      </c>
      <c r="F624" s="2" t="str">
        <f t="shared" si="249"/>
        <v>Yes</v>
      </c>
      <c r="G624" t="s">
        <v>5</v>
      </c>
      <c r="H624" t="s">
        <v>43</v>
      </c>
    </row>
    <row r="625" spans="1:8" x14ac:dyDescent="0.2">
      <c r="A625" t="s">
        <v>441</v>
      </c>
      <c r="B625" t="s">
        <v>24</v>
      </c>
      <c r="C625">
        <v>2</v>
      </c>
      <c r="D625" t="s">
        <v>4</v>
      </c>
      <c r="F625" s="2" t="str">
        <f t="shared" si="249"/>
        <v>Yes</v>
      </c>
      <c r="G625" t="s">
        <v>5</v>
      </c>
      <c r="H625" t="s">
        <v>43</v>
      </c>
    </row>
    <row r="626" spans="1:8" x14ac:dyDescent="0.2">
      <c r="A626" t="s">
        <v>440</v>
      </c>
      <c r="B626" t="s">
        <v>24</v>
      </c>
      <c r="C626">
        <v>5.2</v>
      </c>
      <c r="D626" t="s">
        <v>4</v>
      </c>
      <c r="F626" s="2" t="str">
        <f t="shared" si="249"/>
        <v>Yes</v>
      </c>
      <c r="G626" t="s">
        <v>5</v>
      </c>
      <c r="H626" t="s">
        <v>43</v>
      </c>
    </row>
    <row r="627" spans="1:8" x14ac:dyDescent="0.2">
      <c r="A627" t="s">
        <v>440</v>
      </c>
      <c r="B627" t="s">
        <v>24</v>
      </c>
      <c r="C627">
        <v>1.5</v>
      </c>
      <c r="D627" t="s">
        <v>4</v>
      </c>
      <c r="F627" s="2" t="str">
        <f t="shared" si="249"/>
        <v>Yes</v>
      </c>
      <c r="G627" t="s">
        <v>5</v>
      </c>
      <c r="H627" t="s">
        <v>43</v>
      </c>
    </row>
    <row r="628" spans="1:8" x14ac:dyDescent="0.2">
      <c r="A628" t="s">
        <v>109</v>
      </c>
      <c r="B628" t="s">
        <v>174</v>
      </c>
      <c r="C628">
        <v>3.6</v>
      </c>
      <c r="D628" t="s">
        <v>4</v>
      </c>
      <c r="F628" s="2" t="str">
        <f t="shared" si="249"/>
        <v>Yes</v>
      </c>
      <c r="G628" t="s">
        <v>5</v>
      </c>
      <c r="H628" t="s">
        <v>43</v>
      </c>
    </row>
    <row r="629" spans="1:8" x14ac:dyDescent="0.2">
      <c r="A629" t="s">
        <v>109</v>
      </c>
      <c r="B629" t="s">
        <v>24</v>
      </c>
      <c r="C629">
        <v>6.3</v>
      </c>
      <c r="D629" t="s">
        <v>4</v>
      </c>
      <c r="F629" s="2" t="str">
        <f t="shared" si="249"/>
        <v>Yes</v>
      </c>
      <c r="G629" t="s">
        <v>5</v>
      </c>
      <c r="H629" t="s">
        <v>43</v>
      </c>
    </row>
    <row r="630" spans="1:8" x14ac:dyDescent="0.2">
      <c r="A630" t="s">
        <v>109</v>
      </c>
      <c r="B630" t="s">
        <v>24</v>
      </c>
      <c r="C630">
        <v>2.2999999999999998</v>
      </c>
      <c r="D630" t="s">
        <v>4</v>
      </c>
      <c r="F630" s="2" t="str">
        <f t="shared" si="249"/>
        <v>Yes</v>
      </c>
      <c r="G630" t="s">
        <v>5</v>
      </c>
      <c r="H630" t="s">
        <v>43</v>
      </c>
    </row>
    <row r="631" spans="1:8" x14ac:dyDescent="0.2">
      <c r="A631" t="s">
        <v>109</v>
      </c>
      <c r="B631" t="s">
        <v>24</v>
      </c>
      <c r="C631">
        <v>2.2999999999999998</v>
      </c>
      <c r="D631" t="s">
        <v>4</v>
      </c>
      <c r="F631" s="2" t="str">
        <f t="shared" si="249"/>
        <v>Yes</v>
      </c>
      <c r="G631" t="s">
        <v>5</v>
      </c>
      <c r="H631" t="s">
        <v>43</v>
      </c>
    </row>
    <row r="632" spans="1:8" x14ac:dyDescent="0.2">
      <c r="A632" t="s">
        <v>293</v>
      </c>
      <c r="B632" t="s">
        <v>174</v>
      </c>
      <c r="C632">
        <v>4.0999999999999996</v>
      </c>
      <c r="D632" t="s">
        <v>4</v>
      </c>
      <c r="F632" s="2" t="str">
        <f t="shared" si="249"/>
        <v>Yes</v>
      </c>
      <c r="G632" t="s">
        <v>5</v>
      </c>
      <c r="H632" t="s">
        <v>43</v>
      </c>
    </row>
    <row r="633" spans="1:8" x14ac:dyDescent="0.2">
      <c r="A633" t="s">
        <v>293</v>
      </c>
      <c r="B633" t="s">
        <v>10</v>
      </c>
      <c r="C633">
        <v>3.6</v>
      </c>
      <c r="D633" t="s">
        <v>4</v>
      </c>
      <c r="F633" s="2" t="str">
        <f t="shared" si="249"/>
        <v>Yes</v>
      </c>
      <c r="G633" t="s">
        <v>5</v>
      </c>
      <c r="H633" t="s">
        <v>43</v>
      </c>
    </row>
    <row r="634" spans="1:8" x14ac:dyDescent="0.2">
      <c r="A634" t="s">
        <v>293</v>
      </c>
      <c r="B634" t="s">
        <v>77</v>
      </c>
      <c r="C634">
        <v>3.1</v>
      </c>
      <c r="D634" t="s">
        <v>4</v>
      </c>
      <c r="F634" s="2" t="str">
        <f t="shared" si="249"/>
        <v>Yes</v>
      </c>
      <c r="G634" t="s">
        <v>5</v>
      </c>
      <c r="H634" t="s">
        <v>43</v>
      </c>
    </row>
    <row r="635" spans="1:8" x14ac:dyDescent="0.2">
      <c r="A635" t="s">
        <v>293</v>
      </c>
      <c r="B635" t="s">
        <v>40</v>
      </c>
      <c r="C635">
        <v>3</v>
      </c>
      <c r="D635" t="s">
        <v>4</v>
      </c>
      <c r="F635" s="2" t="str">
        <f t="shared" si="249"/>
        <v>Yes</v>
      </c>
      <c r="G635" t="s">
        <v>5</v>
      </c>
      <c r="H635" t="s">
        <v>43</v>
      </c>
    </row>
    <row r="636" spans="1:8" x14ac:dyDescent="0.2">
      <c r="A636" t="s">
        <v>293</v>
      </c>
      <c r="B636" t="s">
        <v>40</v>
      </c>
      <c r="C636">
        <v>3.8</v>
      </c>
      <c r="D636" t="s">
        <v>4</v>
      </c>
      <c r="F636" s="2" t="str">
        <f t="shared" si="249"/>
        <v>Yes</v>
      </c>
      <c r="G636" t="s">
        <v>5</v>
      </c>
      <c r="H636" t="s">
        <v>43</v>
      </c>
    </row>
    <row r="637" spans="1:8" x14ac:dyDescent="0.2">
      <c r="A637" t="s">
        <v>293</v>
      </c>
      <c r="B637" t="s">
        <v>40</v>
      </c>
      <c r="C637">
        <v>4.8</v>
      </c>
      <c r="D637" t="s">
        <v>4</v>
      </c>
      <c r="F637" s="2" t="str">
        <f t="shared" si="249"/>
        <v>Yes</v>
      </c>
      <c r="G637" t="s">
        <v>5</v>
      </c>
      <c r="H637" t="s">
        <v>43</v>
      </c>
    </row>
    <row r="638" spans="1:8" x14ac:dyDescent="0.2">
      <c r="A638" t="s">
        <v>293</v>
      </c>
      <c r="B638" t="s">
        <v>24</v>
      </c>
      <c r="C638">
        <v>2.7</v>
      </c>
      <c r="D638" t="s">
        <v>4</v>
      </c>
      <c r="F638" s="2" t="str">
        <f t="shared" si="249"/>
        <v>Yes</v>
      </c>
      <c r="G638" t="s">
        <v>5</v>
      </c>
      <c r="H638" t="s">
        <v>43</v>
      </c>
    </row>
    <row r="639" spans="1:8" x14ac:dyDescent="0.2">
      <c r="A639" t="s">
        <v>293</v>
      </c>
      <c r="B639" t="s">
        <v>24</v>
      </c>
      <c r="C639">
        <v>1.2</v>
      </c>
      <c r="D639" t="s">
        <v>4</v>
      </c>
      <c r="F639" s="2" t="str">
        <f t="shared" si="249"/>
        <v>Yes</v>
      </c>
      <c r="G639" t="s">
        <v>5</v>
      </c>
      <c r="H639" t="s">
        <v>43</v>
      </c>
    </row>
    <row r="640" spans="1:8" x14ac:dyDescent="0.2">
      <c r="A640" t="s">
        <v>293</v>
      </c>
      <c r="B640" t="s">
        <v>24</v>
      </c>
      <c r="C640">
        <v>2.2999999999999998</v>
      </c>
      <c r="D640" t="s">
        <v>4</v>
      </c>
      <c r="F640" s="2" t="str">
        <f t="shared" si="249"/>
        <v>Yes</v>
      </c>
      <c r="G640" t="s">
        <v>5</v>
      </c>
      <c r="H640" t="s">
        <v>43</v>
      </c>
    </row>
    <row r="641" spans="1:8" x14ac:dyDescent="0.2">
      <c r="A641" t="s">
        <v>307</v>
      </c>
      <c r="B641" t="s">
        <v>174</v>
      </c>
      <c r="C641">
        <v>3.2</v>
      </c>
      <c r="D641" t="s">
        <v>4</v>
      </c>
      <c r="F641" s="2" t="str">
        <f t="shared" si="249"/>
        <v>Yes</v>
      </c>
      <c r="G641" t="s">
        <v>5</v>
      </c>
      <c r="H641" t="s">
        <v>43</v>
      </c>
    </row>
    <row r="642" spans="1:8" x14ac:dyDescent="0.2">
      <c r="A642" t="s">
        <v>307</v>
      </c>
      <c r="B642" t="s">
        <v>10</v>
      </c>
      <c r="C642">
        <v>2.5</v>
      </c>
      <c r="D642" t="s">
        <v>4</v>
      </c>
      <c r="F642" s="2" t="str">
        <f t="shared" si="249"/>
        <v>Yes</v>
      </c>
      <c r="G642" t="s">
        <v>5</v>
      </c>
      <c r="H642" t="s">
        <v>43</v>
      </c>
    </row>
    <row r="643" spans="1:8" x14ac:dyDescent="0.2">
      <c r="A643" t="s">
        <v>307</v>
      </c>
      <c r="B643" t="s">
        <v>10</v>
      </c>
      <c r="C643">
        <v>2.8</v>
      </c>
      <c r="D643" t="s">
        <v>4</v>
      </c>
      <c r="F643" s="2" t="str">
        <f t="shared" si="249"/>
        <v>Yes</v>
      </c>
      <c r="G643" t="s">
        <v>5</v>
      </c>
      <c r="H643" t="s">
        <v>43</v>
      </c>
    </row>
    <row r="644" spans="1:8" x14ac:dyDescent="0.2">
      <c r="A644" t="s">
        <v>307</v>
      </c>
      <c r="B644" t="s">
        <v>77</v>
      </c>
      <c r="C644">
        <v>2.4</v>
      </c>
      <c r="D644" t="s">
        <v>4</v>
      </c>
      <c r="F644" s="2" t="str">
        <f t="shared" si="249"/>
        <v>Yes</v>
      </c>
      <c r="G644" t="s">
        <v>5</v>
      </c>
      <c r="H644" t="s">
        <v>43</v>
      </c>
    </row>
    <row r="645" spans="1:8" x14ac:dyDescent="0.2">
      <c r="A645" t="s">
        <v>307</v>
      </c>
      <c r="B645" t="s">
        <v>40</v>
      </c>
      <c r="C645">
        <v>5.6</v>
      </c>
      <c r="D645" t="s">
        <v>4</v>
      </c>
      <c r="F645" s="2" t="str">
        <f t="shared" si="249"/>
        <v>Yes</v>
      </c>
      <c r="G645" t="s">
        <v>5</v>
      </c>
      <c r="H645" t="s">
        <v>43</v>
      </c>
    </row>
    <row r="646" spans="1:8" x14ac:dyDescent="0.2">
      <c r="A646" t="s">
        <v>307</v>
      </c>
      <c r="B646" t="s">
        <v>40</v>
      </c>
      <c r="C646">
        <v>5</v>
      </c>
      <c r="D646" t="s">
        <v>4</v>
      </c>
      <c r="F646" s="2" t="str">
        <f t="shared" si="249"/>
        <v>Yes</v>
      </c>
      <c r="G646" t="s">
        <v>5</v>
      </c>
      <c r="H646" t="s">
        <v>43</v>
      </c>
    </row>
    <row r="647" spans="1:8" x14ac:dyDescent="0.2">
      <c r="A647" t="s">
        <v>307</v>
      </c>
      <c r="B647" t="s">
        <v>40</v>
      </c>
      <c r="C647">
        <v>3.9</v>
      </c>
      <c r="D647" t="s">
        <v>4</v>
      </c>
      <c r="F647" s="2" t="str">
        <f t="shared" si="249"/>
        <v>Yes</v>
      </c>
      <c r="G647" t="s">
        <v>5</v>
      </c>
      <c r="H647" t="s">
        <v>43</v>
      </c>
    </row>
    <row r="648" spans="1:8" x14ac:dyDescent="0.2">
      <c r="A648" t="s">
        <v>307</v>
      </c>
      <c r="B648" t="s">
        <v>24</v>
      </c>
      <c r="C648">
        <v>2.1</v>
      </c>
      <c r="D648" t="s">
        <v>4</v>
      </c>
      <c r="F648" s="2" t="str">
        <f t="shared" si="249"/>
        <v>Yes</v>
      </c>
      <c r="G648" t="s">
        <v>5</v>
      </c>
      <c r="H648" t="s">
        <v>43</v>
      </c>
    </row>
    <row r="649" spans="1:8" x14ac:dyDescent="0.2">
      <c r="A649" t="s">
        <v>307</v>
      </c>
      <c r="B649" t="s">
        <v>24</v>
      </c>
      <c r="C649">
        <v>2</v>
      </c>
      <c r="D649" t="s">
        <v>4</v>
      </c>
      <c r="F649" s="2" t="str">
        <f t="shared" si="249"/>
        <v>Yes</v>
      </c>
      <c r="G649" t="s">
        <v>5</v>
      </c>
      <c r="H649" t="s">
        <v>43</v>
      </c>
    </row>
    <row r="650" spans="1:8" x14ac:dyDescent="0.2">
      <c r="A650" t="s">
        <v>307</v>
      </c>
      <c r="B650" t="s">
        <v>24</v>
      </c>
      <c r="C650">
        <v>2.1</v>
      </c>
      <c r="D650" t="s">
        <v>4</v>
      </c>
      <c r="F650" s="2" t="str">
        <f t="shared" si="249"/>
        <v>Yes</v>
      </c>
      <c r="G650" t="s">
        <v>5</v>
      </c>
      <c r="H650" t="s">
        <v>43</v>
      </c>
    </row>
    <row r="651" spans="1:8" x14ac:dyDescent="0.2">
      <c r="A651" t="s">
        <v>442</v>
      </c>
      <c r="B651" t="s">
        <v>174</v>
      </c>
      <c r="C651">
        <v>3.4</v>
      </c>
      <c r="D651" t="s">
        <v>4</v>
      </c>
      <c r="F651" s="2" t="str">
        <f t="shared" si="249"/>
        <v>Yes</v>
      </c>
      <c r="G651" t="s">
        <v>5</v>
      </c>
      <c r="H651" t="s">
        <v>43</v>
      </c>
    </row>
    <row r="652" spans="1:8" x14ac:dyDescent="0.2">
      <c r="A652" t="s">
        <v>442</v>
      </c>
      <c r="B652" t="s">
        <v>77</v>
      </c>
      <c r="C652">
        <v>1.8</v>
      </c>
      <c r="D652" t="s">
        <v>4</v>
      </c>
      <c r="F652" s="2" t="str">
        <f t="shared" si="249"/>
        <v>Yes</v>
      </c>
      <c r="G652" t="s">
        <v>5</v>
      </c>
      <c r="H652" t="s">
        <v>43</v>
      </c>
    </row>
    <row r="653" spans="1:8" x14ac:dyDescent="0.2">
      <c r="A653" t="s">
        <v>442</v>
      </c>
      <c r="B653" t="s">
        <v>40</v>
      </c>
      <c r="C653">
        <v>2.6</v>
      </c>
      <c r="D653" t="s">
        <v>4</v>
      </c>
      <c r="F653" s="2" t="str">
        <f t="shared" si="249"/>
        <v>Yes</v>
      </c>
      <c r="G653" t="s">
        <v>5</v>
      </c>
      <c r="H653" t="s">
        <v>43</v>
      </c>
    </row>
    <row r="654" spans="1:8" x14ac:dyDescent="0.2">
      <c r="A654" t="s">
        <v>442</v>
      </c>
      <c r="B654" t="s">
        <v>40</v>
      </c>
      <c r="C654">
        <v>4.4000000000000004</v>
      </c>
      <c r="D654" t="s">
        <v>4</v>
      </c>
      <c r="F654" s="2" t="str">
        <f t="shared" si="249"/>
        <v>Yes</v>
      </c>
      <c r="G654" t="s">
        <v>5</v>
      </c>
      <c r="H654" t="s">
        <v>43</v>
      </c>
    </row>
    <row r="655" spans="1:8" x14ac:dyDescent="0.2">
      <c r="A655" t="s">
        <v>442</v>
      </c>
      <c r="B655" t="s">
        <v>40</v>
      </c>
      <c r="C655">
        <v>4.4000000000000004</v>
      </c>
      <c r="D655" t="s">
        <v>4</v>
      </c>
      <c r="F655" s="2" t="str">
        <f t="shared" si="249"/>
        <v>Yes</v>
      </c>
      <c r="G655" t="s">
        <v>5</v>
      </c>
      <c r="H655" t="s">
        <v>43</v>
      </c>
    </row>
    <row r="656" spans="1:8" x14ac:dyDescent="0.2">
      <c r="A656" t="s">
        <v>442</v>
      </c>
      <c r="B656" t="s">
        <v>24</v>
      </c>
      <c r="C656">
        <v>1</v>
      </c>
      <c r="D656" t="s">
        <v>4</v>
      </c>
      <c r="F656" s="2" t="str">
        <f t="shared" si="249"/>
        <v>Yes</v>
      </c>
      <c r="G656" t="s">
        <v>5</v>
      </c>
      <c r="H656" t="s">
        <v>43</v>
      </c>
    </row>
    <row r="657" spans="1:8" x14ac:dyDescent="0.2">
      <c r="A657" t="s">
        <v>442</v>
      </c>
      <c r="B657" t="s">
        <v>24</v>
      </c>
      <c r="C657">
        <v>2</v>
      </c>
      <c r="D657" t="s">
        <v>4</v>
      </c>
      <c r="F657" s="2" t="str">
        <f t="shared" si="249"/>
        <v>Yes</v>
      </c>
      <c r="G657" t="s">
        <v>5</v>
      </c>
      <c r="H657" t="s">
        <v>43</v>
      </c>
    </row>
    <row r="658" spans="1:8" x14ac:dyDescent="0.2">
      <c r="A658" t="s">
        <v>442</v>
      </c>
      <c r="B658" t="s">
        <v>24</v>
      </c>
      <c r="C658">
        <v>2.2000000000000002</v>
      </c>
      <c r="D658" t="s">
        <v>4</v>
      </c>
      <c r="F658" s="2" t="str">
        <f t="shared" si="249"/>
        <v>Yes</v>
      </c>
      <c r="G658" t="s">
        <v>5</v>
      </c>
      <c r="H658" t="s">
        <v>43</v>
      </c>
    </row>
    <row r="659" spans="1:8" x14ac:dyDescent="0.2">
      <c r="A659" t="s">
        <v>158</v>
      </c>
      <c r="B659" t="s">
        <v>40</v>
      </c>
      <c r="C659">
        <v>15.6</v>
      </c>
      <c r="D659" t="s">
        <v>4</v>
      </c>
      <c r="F659" s="2" t="str">
        <f t="shared" si="249"/>
        <v>Yes</v>
      </c>
      <c r="G659" t="s">
        <v>5</v>
      </c>
      <c r="H659" t="s">
        <v>43</v>
      </c>
    </row>
    <row r="660" spans="1:8" x14ac:dyDescent="0.2">
      <c r="A660" t="s">
        <v>64</v>
      </c>
      <c r="B660" t="s">
        <v>10</v>
      </c>
      <c r="C660">
        <v>10</v>
      </c>
      <c r="D660" t="s">
        <v>4</v>
      </c>
      <c r="F660" s="2" t="str">
        <f t="shared" si="249"/>
        <v>Yes</v>
      </c>
      <c r="G660" t="s">
        <v>5</v>
      </c>
      <c r="H660" t="s">
        <v>43</v>
      </c>
    </row>
    <row r="661" spans="1:8" x14ac:dyDescent="0.2">
      <c r="A661" t="s">
        <v>64</v>
      </c>
      <c r="B661" t="s">
        <v>77</v>
      </c>
      <c r="C661">
        <v>5.8</v>
      </c>
      <c r="D661" t="s">
        <v>4</v>
      </c>
      <c r="F661" s="2" t="str">
        <f t="shared" si="249"/>
        <v>Yes</v>
      </c>
      <c r="G661" t="s">
        <v>5</v>
      </c>
      <c r="H661" t="s">
        <v>43</v>
      </c>
    </row>
    <row r="662" spans="1:8" x14ac:dyDescent="0.2">
      <c r="A662" t="s">
        <v>64</v>
      </c>
      <c r="B662" t="s">
        <v>40</v>
      </c>
      <c r="C662">
        <v>3.4</v>
      </c>
      <c r="D662" t="s">
        <v>4</v>
      </c>
      <c r="F662" s="2" t="str">
        <f t="shared" si="249"/>
        <v>Yes</v>
      </c>
      <c r="G662" t="s">
        <v>5</v>
      </c>
      <c r="H662" t="s">
        <v>43</v>
      </c>
    </row>
    <row r="663" spans="1:8" x14ac:dyDescent="0.2">
      <c r="A663" t="s">
        <v>64</v>
      </c>
      <c r="B663" t="s">
        <v>40</v>
      </c>
      <c r="C663">
        <v>11.8</v>
      </c>
      <c r="D663" t="s">
        <v>4</v>
      </c>
      <c r="F663" s="2" t="str">
        <f t="shared" si="249"/>
        <v>Yes</v>
      </c>
      <c r="G663" t="s">
        <v>5</v>
      </c>
      <c r="H663" t="s">
        <v>43</v>
      </c>
    </row>
    <row r="664" spans="1:8" x14ac:dyDescent="0.2">
      <c r="A664" t="s">
        <v>64</v>
      </c>
      <c r="B664" t="s">
        <v>40</v>
      </c>
      <c r="C664">
        <v>18.7</v>
      </c>
      <c r="D664" t="s">
        <v>4</v>
      </c>
      <c r="F664" s="2" t="str">
        <f t="shared" si="249"/>
        <v>Yes</v>
      </c>
      <c r="G664" t="s">
        <v>5</v>
      </c>
      <c r="H664" t="s">
        <v>43</v>
      </c>
    </row>
    <row r="665" spans="1:8" x14ac:dyDescent="0.2">
      <c r="A665" t="s">
        <v>64</v>
      </c>
      <c r="B665" t="s">
        <v>40</v>
      </c>
      <c r="C665">
        <v>4.5999999999999996</v>
      </c>
      <c r="D665" t="s">
        <v>4</v>
      </c>
      <c r="F665" s="2" t="str">
        <f t="shared" si="249"/>
        <v>Yes</v>
      </c>
      <c r="G665" t="s">
        <v>5</v>
      </c>
      <c r="H665" t="s">
        <v>43</v>
      </c>
    </row>
    <row r="666" spans="1:8" x14ac:dyDescent="0.2">
      <c r="A666" t="s">
        <v>64</v>
      </c>
      <c r="B666" t="s">
        <v>40</v>
      </c>
      <c r="C666">
        <v>16.7</v>
      </c>
      <c r="D666" t="s">
        <v>4</v>
      </c>
      <c r="F666" s="2" t="str">
        <f t="shared" si="249"/>
        <v>Yes</v>
      </c>
      <c r="G666" t="s">
        <v>5</v>
      </c>
      <c r="H666" t="s">
        <v>43</v>
      </c>
    </row>
    <row r="667" spans="1:8" x14ac:dyDescent="0.2">
      <c r="A667" t="s">
        <v>64</v>
      </c>
      <c r="B667" t="s">
        <v>40</v>
      </c>
      <c r="C667">
        <v>19.100000000000001</v>
      </c>
      <c r="D667" t="s">
        <v>4</v>
      </c>
      <c r="F667" s="2" t="str">
        <f t="shared" si="249"/>
        <v>Yes</v>
      </c>
      <c r="G667" t="s">
        <v>5</v>
      </c>
      <c r="H667" t="s">
        <v>43</v>
      </c>
    </row>
    <row r="668" spans="1:8" x14ac:dyDescent="0.2">
      <c r="A668" t="s">
        <v>64</v>
      </c>
      <c r="B668" t="s">
        <v>40</v>
      </c>
      <c r="C668">
        <v>38.1</v>
      </c>
      <c r="D668" t="s">
        <v>4</v>
      </c>
      <c r="F668" s="2" t="str">
        <f t="shared" si="249"/>
        <v>Yes</v>
      </c>
      <c r="G668" t="s">
        <v>5</v>
      </c>
      <c r="H668" t="s">
        <v>43</v>
      </c>
    </row>
    <row r="669" spans="1:8" x14ac:dyDescent="0.2">
      <c r="A669" t="s">
        <v>64</v>
      </c>
      <c r="B669" t="s">
        <v>40</v>
      </c>
      <c r="C669">
        <v>5</v>
      </c>
      <c r="D669" t="s">
        <v>4</v>
      </c>
      <c r="F669" s="2" t="str">
        <f t="shared" si="249"/>
        <v>Yes</v>
      </c>
      <c r="G669" t="s">
        <v>5</v>
      </c>
      <c r="H669" t="s">
        <v>43</v>
      </c>
    </row>
    <row r="670" spans="1:8" x14ac:dyDescent="0.2">
      <c r="A670" t="s">
        <v>64</v>
      </c>
      <c r="B670" t="s">
        <v>40</v>
      </c>
      <c r="C670">
        <v>19.5</v>
      </c>
      <c r="D670" t="s">
        <v>4</v>
      </c>
      <c r="F670" s="2" t="str">
        <f t="shared" si="249"/>
        <v>Yes</v>
      </c>
      <c r="G670" t="s">
        <v>5</v>
      </c>
      <c r="H670" t="s">
        <v>43</v>
      </c>
    </row>
    <row r="671" spans="1:8" x14ac:dyDescent="0.2">
      <c r="A671" t="s">
        <v>64</v>
      </c>
      <c r="B671" t="s">
        <v>40</v>
      </c>
      <c r="C671">
        <v>10.5</v>
      </c>
      <c r="D671" t="s">
        <v>4</v>
      </c>
      <c r="F671" s="2" t="str">
        <f t="shared" ref="F671:F678" si="255">IF(C671&gt;=$W$2,"Yes","No")</f>
        <v>Yes</v>
      </c>
      <c r="G671" t="s">
        <v>5</v>
      </c>
      <c r="H671" t="s">
        <v>43</v>
      </c>
    </row>
    <row r="672" spans="1:8" x14ac:dyDescent="0.2">
      <c r="A672" t="s">
        <v>64</v>
      </c>
      <c r="B672" t="s">
        <v>40</v>
      </c>
      <c r="C672">
        <v>3.7</v>
      </c>
      <c r="D672" t="s">
        <v>4</v>
      </c>
      <c r="F672" s="2" t="str">
        <f t="shared" si="255"/>
        <v>Yes</v>
      </c>
      <c r="G672" t="s">
        <v>5</v>
      </c>
      <c r="H672" t="s">
        <v>43</v>
      </c>
    </row>
    <row r="673" spans="1:32" x14ac:dyDescent="0.2">
      <c r="A673" t="s">
        <v>64</v>
      </c>
      <c r="B673" t="s">
        <v>40</v>
      </c>
      <c r="C673">
        <v>3.3</v>
      </c>
      <c r="D673" t="s">
        <v>4</v>
      </c>
      <c r="F673" s="2" t="str">
        <f t="shared" si="255"/>
        <v>Yes</v>
      </c>
      <c r="G673" t="s">
        <v>5</v>
      </c>
      <c r="H673" t="s">
        <v>43</v>
      </c>
    </row>
    <row r="674" spans="1:32" x14ac:dyDescent="0.2">
      <c r="A674" t="s">
        <v>64</v>
      </c>
      <c r="B674" t="s">
        <v>24</v>
      </c>
      <c r="C674">
        <v>20.9</v>
      </c>
      <c r="D674" t="s">
        <v>4</v>
      </c>
      <c r="F674" s="2" t="str">
        <f t="shared" si="255"/>
        <v>Yes</v>
      </c>
      <c r="G674" t="s">
        <v>5</v>
      </c>
      <c r="H674" t="s">
        <v>43</v>
      </c>
    </row>
    <row r="675" spans="1:32" x14ac:dyDescent="0.2">
      <c r="A675" t="s">
        <v>64</v>
      </c>
      <c r="B675" t="s">
        <v>24</v>
      </c>
      <c r="C675">
        <v>5.0999999999999996</v>
      </c>
      <c r="D675" t="s">
        <v>4</v>
      </c>
      <c r="F675" s="2" t="str">
        <f t="shared" si="255"/>
        <v>Yes</v>
      </c>
      <c r="G675" t="s">
        <v>5</v>
      </c>
      <c r="H675" t="s">
        <v>43</v>
      </c>
    </row>
    <row r="676" spans="1:32" x14ac:dyDescent="0.2">
      <c r="A676" t="s">
        <v>64</v>
      </c>
      <c r="B676" t="s">
        <v>24</v>
      </c>
      <c r="C676">
        <v>20.100000000000001</v>
      </c>
      <c r="D676" t="s">
        <v>4</v>
      </c>
      <c r="F676" s="2" t="str">
        <f t="shared" si="255"/>
        <v>Yes</v>
      </c>
      <c r="G676" t="s">
        <v>5</v>
      </c>
      <c r="H676" t="s">
        <v>43</v>
      </c>
    </row>
    <row r="677" spans="1:32" x14ac:dyDescent="0.2">
      <c r="A677" t="s">
        <v>64</v>
      </c>
      <c r="B677" t="s">
        <v>24</v>
      </c>
      <c r="C677">
        <v>9.1</v>
      </c>
      <c r="D677" t="s">
        <v>4</v>
      </c>
      <c r="F677" s="2" t="str">
        <f t="shared" si="255"/>
        <v>Yes</v>
      </c>
      <c r="G677" t="s">
        <v>5</v>
      </c>
      <c r="H677" t="s">
        <v>43</v>
      </c>
    </row>
    <row r="678" spans="1:32" x14ac:dyDescent="0.2">
      <c r="A678" t="s">
        <v>247</v>
      </c>
      <c r="B678" t="s">
        <v>40</v>
      </c>
      <c r="C678">
        <v>1.2</v>
      </c>
      <c r="D678" t="s">
        <v>4</v>
      </c>
      <c r="F678" s="2" t="str">
        <f t="shared" si="255"/>
        <v>Yes</v>
      </c>
      <c r="G678" t="s">
        <v>5</v>
      </c>
      <c r="H678" t="s">
        <v>43</v>
      </c>
    </row>
    <row r="679" spans="1:32" x14ac:dyDescent="0.2">
      <c r="A679" t="s">
        <v>442</v>
      </c>
      <c r="B679" t="s">
        <v>54</v>
      </c>
      <c r="C679">
        <v>30</v>
      </c>
      <c r="D679" t="s">
        <v>33</v>
      </c>
      <c r="F679" s="2" t="str">
        <f t="shared" ref="F679" si="256">IF(C679&gt;$W$5,"Yes","No")</f>
        <v>No</v>
      </c>
      <c r="G679" t="s">
        <v>9</v>
      </c>
    </row>
    <row r="680" spans="1:32" x14ac:dyDescent="0.2">
      <c r="A680" t="s">
        <v>71</v>
      </c>
      <c r="B680" t="s">
        <v>32</v>
      </c>
      <c r="C680">
        <v>5.6</v>
      </c>
      <c r="D680" t="s">
        <v>33</v>
      </c>
      <c r="F680" s="2" t="str">
        <f t="shared" ref="F680" si="257">IF(C680&gt;$W$6,"Yes","No")</f>
        <v>No</v>
      </c>
      <c r="G680" t="s">
        <v>9</v>
      </c>
    </row>
    <row r="681" spans="1:32" x14ac:dyDescent="0.2">
      <c r="A681" t="s">
        <v>71</v>
      </c>
      <c r="B681" t="s">
        <v>32</v>
      </c>
      <c r="C681">
        <v>10</v>
      </c>
      <c r="D681" t="s">
        <v>33</v>
      </c>
      <c r="F681" s="2" t="str">
        <f>IF(C681&gt;=$W$6,"Yes","No")</f>
        <v>Yes</v>
      </c>
      <c r="G681" t="s">
        <v>5</v>
      </c>
    </row>
    <row r="684" spans="1:32" x14ac:dyDescent="0.2">
      <c r="A684" s="1">
        <f>VLOOKUP(C684,'Grid - LRA Samples'!$A$2:$B$108, 2,FALSE)</f>
        <v>981</v>
      </c>
      <c r="B684" t="s">
        <v>319</v>
      </c>
      <c r="C684">
        <v>101</v>
      </c>
    </row>
    <row r="685" spans="1:32" x14ac:dyDescent="0.2">
      <c r="A685" s="5" t="s">
        <v>0</v>
      </c>
      <c r="E685" s="2" t="s">
        <v>274</v>
      </c>
      <c r="F685" s="2" t="s">
        <v>275</v>
      </c>
      <c r="G685" t="s">
        <v>119</v>
      </c>
      <c r="J685" s="5" t="s">
        <v>1</v>
      </c>
      <c r="N685" s="2" t="s">
        <v>277</v>
      </c>
      <c r="O685" t="s">
        <v>278</v>
      </c>
      <c r="Q685" s="5" t="s">
        <v>115</v>
      </c>
      <c r="R685" s="5" t="s">
        <v>0</v>
      </c>
      <c r="S685" s="5" t="s">
        <v>1</v>
      </c>
      <c r="U685" s="5" t="s">
        <v>115</v>
      </c>
      <c r="V685" s="5" t="s">
        <v>0</v>
      </c>
      <c r="W685" s="5" t="s">
        <v>1</v>
      </c>
      <c r="X685" s="5" t="s">
        <v>122</v>
      </c>
      <c r="AA685" t="str">
        <f>IF(R686="Yes","LRA-Soil","")</f>
        <v/>
      </c>
      <c r="AB685" t="str">
        <f>IF(R687="Yes","LRA-Paint","")</f>
        <v>LRA-Paint</v>
      </c>
      <c r="AC685" t="str">
        <f>IF(R688="Yes","LRA-Dust","")</f>
        <v/>
      </c>
      <c r="AD685" t="str">
        <f>IF(S686="Yes","LSK-Soil","")</f>
        <v/>
      </c>
      <c r="AE685" t="str">
        <f>IF(S687="Yes","LSK-Paint","")</f>
        <v>LSK-Paint</v>
      </c>
      <c r="AF685" t="str">
        <f>IF(S688="Yes","LSK-Dust","")</f>
        <v/>
      </c>
    </row>
    <row r="686" spans="1:32" x14ac:dyDescent="0.2">
      <c r="A686" t="s">
        <v>63</v>
      </c>
      <c r="B686" t="s">
        <v>24</v>
      </c>
      <c r="C686">
        <v>1.1000000000000001</v>
      </c>
      <c r="D686" t="s">
        <v>4</v>
      </c>
      <c r="F686" s="2" t="str">
        <f t="shared" ref="F686:F694" si="258">IF(C686&gt;=$W$2,"Yes","No")</f>
        <v>Yes</v>
      </c>
      <c r="G686" t="s">
        <v>5</v>
      </c>
      <c r="H686" t="s">
        <v>46</v>
      </c>
      <c r="J686" s="2" t="s">
        <v>6</v>
      </c>
      <c r="K686">
        <v>26</v>
      </c>
      <c r="L686" t="s">
        <v>12</v>
      </c>
      <c r="M686" t="s">
        <v>36</v>
      </c>
      <c r="N686" t="str">
        <f>IF(K686="N/A","No", IF(K686&gt;1200,"Yes","No"))</f>
        <v>No</v>
      </c>
      <c r="O686" t="str">
        <f>IF(K686="Not","No",IF(K686="n/a","N/A",IF(K686&gt;=$Y$3,"Yes","No")))</f>
        <v>No</v>
      </c>
      <c r="Q686" s="2" t="s">
        <v>116</v>
      </c>
      <c r="R686" t="str">
        <f>_xlfn.XLOOKUP("ppm",D686:D695,F686:F695,"N/A")</f>
        <v>No</v>
      </c>
      <c r="S686" t="str">
        <f>IF(COUNTIF(O686:O688,"Yes"),"Yes","No")</f>
        <v>No</v>
      </c>
      <c r="U686" t="s">
        <v>92</v>
      </c>
      <c r="V686" t="s">
        <v>120</v>
      </c>
      <c r="W686" t="s">
        <v>120</v>
      </c>
      <c r="X686" t="str">
        <f>IF(V686="N/A","N/A",IF(W686="N/A", "N/A", IF(V686=W686, "Yes","No")))</f>
        <v>N/A</v>
      </c>
    </row>
    <row r="687" spans="1:32" x14ac:dyDescent="0.2">
      <c r="A687" t="s">
        <v>161</v>
      </c>
      <c r="B687" t="s">
        <v>69</v>
      </c>
      <c r="C687">
        <v>40</v>
      </c>
      <c r="D687" t="s">
        <v>12</v>
      </c>
      <c r="F687" s="2" t="str">
        <f t="shared" ref="F687" si="259">IF(C687&gt;=$W$3,"Yes","No")</f>
        <v>No</v>
      </c>
      <c r="G687" s="2" t="s">
        <v>9</v>
      </c>
      <c r="J687" s="2" t="s">
        <v>11</v>
      </c>
      <c r="K687" s="2">
        <v>19</v>
      </c>
      <c r="L687" t="s">
        <v>12</v>
      </c>
      <c r="M687" t="s">
        <v>176</v>
      </c>
      <c r="N687" t="str">
        <f t="shared" ref="N687:N688" si="260">IF(K687="N/A","No", IF(K687&gt;1200,"Yes","No"))</f>
        <v>No</v>
      </c>
      <c r="O687" t="str">
        <f t="shared" ref="O687:O688" si="261">IF(K687="Not","No",IF(K687="n/a","N/A",IF(K687&gt;$Y$3,"Yes","No")))</f>
        <v>No</v>
      </c>
      <c r="Q687" s="2" t="s">
        <v>98</v>
      </c>
      <c r="R687" t="str">
        <f>IF(COUNTIFS(D686:D695,"mg/cm2",G686:G695,"Yes")&gt;=1, "Yes","No")</f>
        <v>Yes</v>
      </c>
      <c r="S687" t="str">
        <f>IF(COUNTIF(O689:O690,"Yes"),"Yes","No")</f>
        <v>Yes</v>
      </c>
      <c r="U687" t="s">
        <v>95</v>
      </c>
      <c r="V687" t="str">
        <f>R686</f>
        <v>No</v>
      </c>
      <c r="W687" t="str">
        <f>S686</f>
        <v>No</v>
      </c>
      <c r="X687" t="str">
        <f t="shared" ref="X687:X690" si="262">IF(V687="N/A","N/A",IF(W687="N/A", "N/A", IF(V687=W687, "Yes","No")))</f>
        <v>Yes</v>
      </c>
    </row>
    <row r="688" spans="1:32" x14ac:dyDescent="0.2">
      <c r="A688" t="s">
        <v>245</v>
      </c>
      <c r="B688" t="s">
        <v>40</v>
      </c>
      <c r="C688">
        <v>0</v>
      </c>
      <c r="D688" t="s">
        <v>4</v>
      </c>
      <c r="F688" s="2" t="str">
        <f t="shared" si="258"/>
        <v>No</v>
      </c>
      <c r="G688" t="s">
        <v>9</v>
      </c>
      <c r="H688" t="s">
        <v>43</v>
      </c>
      <c r="J688" s="2" t="s">
        <v>15</v>
      </c>
      <c r="K688">
        <v>10</v>
      </c>
      <c r="L688" t="s">
        <v>12</v>
      </c>
      <c r="M688" t="s">
        <v>41</v>
      </c>
      <c r="N688" t="str">
        <f t="shared" si="260"/>
        <v>No</v>
      </c>
      <c r="O688" t="str">
        <f t="shared" si="261"/>
        <v>No</v>
      </c>
      <c r="Q688" s="2" t="s">
        <v>117</v>
      </c>
      <c r="R688" t="str">
        <f>_xlfn.XLOOKUP("ug/ft2",D686:D695,F686:F695,"N/A")</f>
        <v>No</v>
      </c>
      <c r="S688" t="str">
        <f>IF(COUNTIF(O691:O694,"Yes"),"Yes","No")</f>
        <v>No</v>
      </c>
      <c r="U688" t="s">
        <v>163</v>
      </c>
      <c r="V688" t="s">
        <v>9</v>
      </c>
      <c r="W688" t="s">
        <v>9</v>
      </c>
      <c r="X688" t="str">
        <f t="shared" si="262"/>
        <v>Yes</v>
      </c>
    </row>
    <row r="689" spans="1:32" x14ac:dyDescent="0.2">
      <c r="A689" t="s">
        <v>113</v>
      </c>
      <c r="B689" t="s">
        <v>40</v>
      </c>
      <c r="C689">
        <v>0.09</v>
      </c>
      <c r="D689" t="s">
        <v>4</v>
      </c>
      <c r="F689" s="2" t="str">
        <f t="shared" si="258"/>
        <v>No</v>
      </c>
      <c r="G689" t="s">
        <v>9</v>
      </c>
      <c r="H689" t="s">
        <v>43</v>
      </c>
      <c r="J689" s="2" t="s">
        <v>19</v>
      </c>
      <c r="K689">
        <v>857</v>
      </c>
      <c r="L689" t="s">
        <v>12</v>
      </c>
      <c r="M689" t="s">
        <v>70</v>
      </c>
      <c r="N689" t="str">
        <f>IF(K689="N/A","No", IF(K689&gt;5000,"Yes","No"))</f>
        <v>No</v>
      </c>
      <c r="O689" t="str">
        <f>IF(K689="Not","No",IF(K689="n/a","N/A",IF(K689&gt;$Y$2,"Yes","No")))</f>
        <v>No</v>
      </c>
      <c r="Q689" s="2" t="s">
        <v>118</v>
      </c>
      <c r="R689" t="str">
        <f>IF(COUNTIF(R686:R688,"Yes"),"Yes","No")</f>
        <v>Yes</v>
      </c>
      <c r="S689" t="str">
        <f>IF(COUNTIF(S686:S688,"Yes"),"Yes","No")</f>
        <v>Yes</v>
      </c>
      <c r="U689" t="s">
        <v>164</v>
      </c>
      <c r="V689" t="s">
        <v>5</v>
      </c>
      <c r="W689" t="s">
        <v>5</v>
      </c>
      <c r="X689" t="str">
        <f t="shared" si="262"/>
        <v>Yes</v>
      </c>
    </row>
    <row r="690" spans="1:32" x14ac:dyDescent="0.2">
      <c r="A690" t="s">
        <v>427</v>
      </c>
      <c r="B690" t="s">
        <v>174</v>
      </c>
      <c r="C690">
        <v>0</v>
      </c>
      <c r="D690" t="s">
        <v>4</v>
      </c>
      <c r="F690" s="2" t="str">
        <f t="shared" si="258"/>
        <v>No</v>
      </c>
      <c r="G690" t="s">
        <v>9</v>
      </c>
      <c r="H690" t="s">
        <v>43</v>
      </c>
      <c r="J690" s="2" t="s">
        <v>22</v>
      </c>
      <c r="K690">
        <v>27525</v>
      </c>
      <c r="L690" t="s">
        <v>12</v>
      </c>
      <c r="M690" t="s">
        <v>402</v>
      </c>
      <c r="N690" t="str">
        <f>IF(K690="N/A","No", IF(K690&gt;5000,"Yes","No"))</f>
        <v>Yes</v>
      </c>
      <c r="O690" t="str">
        <f>IF(K690="Not","No",IF(K690="n/a","N/A",IF(K690&gt;$Y$2,"Yes","No")))</f>
        <v>Yes</v>
      </c>
      <c r="U690" t="s">
        <v>162</v>
      </c>
      <c r="V690" t="str">
        <f>R687</f>
        <v>Yes</v>
      </c>
      <c r="W690" t="str">
        <f>S687</f>
        <v>Yes</v>
      </c>
      <c r="X690" t="str">
        <f t="shared" si="262"/>
        <v>Yes</v>
      </c>
    </row>
    <row r="691" spans="1:32" x14ac:dyDescent="0.2">
      <c r="A691" t="s">
        <v>71</v>
      </c>
      <c r="B691" t="s">
        <v>40</v>
      </c>
      <c r="C691">
        <v>0</v>
      </c>
      <c r="D691" t="s">
        <v>4</v>
      </c>
      <c r="F691" s="2" t="str">
        <f t="shared" si="258"/>
        <v>No</v>
      </c>
      <c r="G691" t="s">
        <v>9</v>
      </c>
      <c r="H691" t="s">
        <v>43</v>
      </c>
      <c r="J691" s="2" t="s">
        <v>25</v>
      </c>
      <c r="K691">
        <v>0</v>
      </c>
      <c r="L691" t="s">
        <v>12</v>
      </c>
      <c r="M691" t="s">
        <v>394</v>
      </c>
      <c r="N691" t="str">
        <f>IF(K691="N/A","No", IF(K691&gt;=20,"Yes","No"))</f>
        <v>No</v>
      </c>
      <c r="O691" t="str">
        <f>IF(K691="Not","No",IF(K691="n/a","N/A",IF(K691&gt;=$Y$5,"Yes","No")))</f>
        <v>No</v>
      </c>
      <c r="U691" t="s">
        <v>101</v>
      </c>
      <c r="V691" t="s">
        <v>120</v>
      </c>
      <c r="W691" t="s">
        <v>9</v>
      </c>
      <c r="X691" t="str">
        <f>IF(V691="N/A","N/A",IF(W691="N/A", "N/A", IF(V691=W691, "Yes","No")))</f>
        <v>N/A</v>
      </c>
    </row>
    <row r="692" spans="1:32" x14ac:dyDescent="0.2">
      <c r="A692" t="s">
        <v>322</v>
      </c>
      <c r="B692" t="s">
        <v>40</v>
      </c>
      <c r="C692">
        <v>0</v>
      </c>
      <c r="D692" t="s">
        <v>4</v>
      </c>
      <c r="F692" s="2" t="str">
        <f t="shared" si="258"/>
        <v>No</v>
      </c>
      <c r="G692" t="s">
        <v>9</v>
      </c>
      <c r="H692" t="s">
        <v>43</v>
      </c>
      <c r="J692" s="2" t="s">
        <v>29</v>
      </c>
      <c r="K692">
        <v>0</v>
      </c>
      <c r="L692" t="s">
        <v>12</v>
      </c>
      <c r="M692" t="s">
        <v>72</v>
      </c>
      <c r="N692" t="str">
        <f>IF(K692="N/A","No", IF(K692&gt;20,"Yes","No"))</f>
        <v>No</v>
      </c>
      <c r="O692" t="str">
        <f t="shared" ref="O692" si="263">IF(K692="Not","No",IF(K692="n/a","N/A",IF(K692&gt;$Y$6,"Yes","No")))</f>
        <v>No</v>
      </c>
      <c r="U692" t="s">
        <v>104</v>
      </c>
      <c r="V692" t="s">
        <v>9</v>
      </c>
      <c r="W692" t="s">
        <v>9</v>
      </c>
      <c r="X692" t="str">
        <f>IF(V692="N/A","N/A",IF(W692="N/A", "N/A", IF(V692=W692, "Yes","No")))</f>
        <v>Yes</v>
      </c>
    </row>
    <row r="693" spans="1:32" x14ac:dyDescent="0.2">
      <c r="A693" t="s">
        <v>70</v>
      </c>
      <c r="B693" t="s">
        <v>40</v>
      </c>
      <c r="C693">
        <v>0.06</v>
      </c>
      <c r="D693" t="s">
        <v>4</v>
      </c>
      <c r="F693" s="2" t="str">
        <f t="shared" si="258"/>
        <v>No</v>
      </c>
      <c r="G693" t="s">
        <v>9</v>
      </c>
      <c r="H693" t="s">
        <v>43</v>
      </c>
      <c r="J693" s="2" t="s">
        <v>34</v>
      </c>
      <c r="K693">
        <v>0</v>
      </c>
      <c r="L693" t="s">
        <v>12</v>
      </c>
      <c r="M693" t="s">
        <v>445</v>
      </c>
      <c r="N693" t="str">
        <f>IF(K693="N/A","No", IF(K693&gt;230,"Yes","No"))</f>
        <v>No</v>
      </c>
      <c r="O693" t="str">
        <f>IF(K693="Not","No",IF(K693="n/a","N/A",IF(K693&gt;$Y$6,"Yes","No")))</f>
        <v>No</v>
      </c>
      <c r="U693" t="s">
        <v>106</v>
      </c>
      <c r="V693" t="str">
        <f>R688</f>
        <v>No</v>
      </c>
      <c r="W693" t="str">
        <f>S688</f>
        <v>No</v>
      </c>
      <c r="X693" t="str">
        <f>IF(V693="N/A","N/A",IF(W693="N/A", "N/A", IF(V693=W693, "Yes","No")))</f>
        <v>Yes</v>
      </c>
    </row>
    <row r="694" spans="1:32" x14ac:dyDescent="0.2">
      <c r="A694" t="s">
        <v>158</v>
      </c>
      <c r="B694" t="s">
        <v>40</v>
      </c>
      <c r="C694">
        <v>0.01</v>
      </c>
      <c r="D694" t="s">
        <v>4</v>
      </c>
      <c r="F694" s="2" t="str">
        <f t="shared" si="258"/>
        <v>No</v>
      </c>
      <c r="G694" t="s">
        <v>9</v>
      </c>
      <c r="H694" t="s">
        <v>43</v>
      </c>
      <c r="J694" s="2"/>
      <c r="U694" t="s">
        <v>121</v>
      </c>
      <c r="V694" t="str">
        <f>R689</f>
        <v>Yes</v>
      </c>
      <c r="W694" t="str">
        <f>S689</f>
        <v>Yes</v>
      </c>
      <c r="X694" t="str">
        <f>IF(V694="N/A","N/A",IF(W694="N/A", "N/A", IF(V694=W694, "Yes","No")))</f>
        <v>Yes</v>
      </c>
    </row>
    <row r="695" spans="1:32" x14ac:dyDescent="0.2">
      <c r="A695" t="s">
        <v>245</v>
      </c>
      <c r="B695" t="s">
        <v>210</v>
      </c>
      <c r="C695">
        <v>32</v>
      </c>
      <c r="D695" t="s">
        <v>33</v>
      </c>
      <c r="F695" s="2" t="str">
        <f t="shared" ref="F695" si="264">IF(C695&gt;$W$5,"Yes","No")</f>
        <v>No</v>
      </c>
      <c r="G695" t="s">
        <v>9</v>
      </c>
    </row>
    <row r="696" spans="1:32" x14ac:dyDescent="0.2">
      <c r="F696" s="2"/>
    </row>
    <row r="698" spans="1:32" x14ac:dyDescent="0.2">
      <c r="A698" s="1">
        <f>VLOOKUP(C698,'Grid - LRA Samples'!$A$2:$B$108, 2,FALSE)</f>
        <v>1524</v>
      </c>
      <c r="B698" t="s">
        <v>319</v>
      </c>
      <c r="C698">
        <v>102</v>
      </c>
    </row>
    <row r="699" spans="1:32" x14ac:dyDescent="0.2">
      <c r="A699" s="5" t="s">
        <v>0</v>
      </c>
      <c r="E699" s="2" t="s">
        <v>274</v>
      </c>
      <c r="F699" s="2" t="s">
        <v>275</v>
      </c>
      <c r="G699" t="s">
        <v>119</v>
      </c>
      <c r="J699" s="5" t="s">
        <v>1</v>
      </c>
      <c r="N699" s="2" t="s">
        <v>277</v>
      </c>
      <c r="O699" t="s">
        <v>278</v>
      </c>
      <c r="Q699" s="5" t="s">
        <v>115</v>
      </c>
      <c r="R699" s="5" t="s">
        <v>0</v>
      </c>
      <c r="S699" s="5" t="s">
        <v>1</v>
      </c>
      <c r="U699" s="5" t="s">
        <v>115</v>
      </c>
      <c r="V699" s="5" t="s">
        <v>0</v>
      </c>
      <c r="W699" s="5" t="s">
        <v>1</v>
      </c>
      <c r="X699" s="5" t="s">
        <v>122</v>
      </c>
      <c r="AA699" t="str">
        <f>IF(R700="Yes","LRA-Soil","")</f>
        <v/>
      </c>
      <c r="AB699" t="str">
        <f>IF(R701="Yes","LRA-Paint","")</f>
        <v>LRA-Paint</v>
      </c>
      <c r="AC699" t="str">
        <f>IF(R702="Yes","LRA-Dust","")</f>
        <v/>
      </c>
      <c r="AD699" t="str">
        <f>IF(S700="Yes","LSK-Soil","")</f>
        <v/>
      </c>
      <c r="AE699" t="str">
        <f>IF(S701="Yes","LSK-Paint","")</f>
        <v/>
      </c>
      <c r="AF699" t="str">
        <f>IF(S702="Yes","LSK-Dust","")</f>
        <v/>
      </c>
    </row>
    <row r="700" spans="1:32" x14ac:dyDescent="0.2">
      <c r="A700" t="s">
        <v>63</v>
      </c>
      <c r="B700" t="s">
        <v>10</v>
      </c>
      <c r="C700">
        <v>7.4</v>
      </c>
      <c r="D700" t="s">
        <v>4</v>
      </c>
      <c r="F700" s="2" t="str">
        <f t="shared" ref="F700:F705" si="265">IF(C700&gt;=$W$2,"Yes","No")</f>
        <v>Yes</v>
      </c>
      <c r="G700" t="s">
        <v>5</v>
      </c>
      <c r="H700" t="s">
        <v>46</v>
      </c>
      <c r="J700" s="2" t="s">
        <v>6</v>
      </c>
      <c r="K700" t="s">
        <v>120</v>
      </c>
      <c r="L700" t="s">
        <v>12</v>
      </c>
      <c r="M700" t="s">
        <v>66</v>
      </c>
      <c r="N700" t="str">
        <f>IF(K700="N/A","No", IF(K700&gt;1200,"Yes","No"))</f>
        <v>No</v>
      </c>
      <c r="O700" t="str">
        <f>IF(K700="Not","No",IF(K700="n/a","N/A",IF(K700&gt;=$Y$3,"Yes","No")))</f>
        <v>N/A</v>
      </c>
      <c r="Q700" s="2" t="s">
        <v>116</v>
      </c>
      <c r="R700" t="str">
        <f>_xlfn.XLOOKUP("ppm",D700:D709,F700:F709,"N/A")</f>
        <v>N/A</v>
      </c>
      <c r="S700" t="s">
        <v>120</v>
      </c>
      <c r="U700" t="s">
        <v>92</v>
      </c>
      <c r="V700" t="s">
        <v>120</v>
      </c>
      <c r="W700" t="s">
        <v>120</v>
      </c>
      <c r="X700" t="str">
        <f>IF(V700="N/A","N/A",IF(W700="N/A", "N/A", IF(V700=W700, "Yes","No")))</f>
        <v>N/A</v>
      </c>
    </row>
    <row r="701" spans="1:32" x14ac:dyDescent="0.2">
      <c r="A701" t="s">
        <v>63</v>
      </c>
      <c r="B701" t="s">
        <v>203</v>
      </c>
      <c r="C701">
        <v>25.2</v>
      </c>
      <c r="D701" t="s">
        <v>4</v>
      </c>
      <c r="F701" s="2" t="str">
        <f t="shared" si="265"/>
        <v>Yes</v>
      </c>
      <c r="G701" s="2" t="s">
        <v>5</v>
      </c>
      <c r="H701" t="s">
        <v>46</v>
      </c>
      <c r="J701" s="2" t="s">
        <v>11</v>
      </c>
      <c r="K701" s="2" t="s">
        <v>120</v>
      </c>
      <c r="L701" t="s">
        <v>12</v>
      </c>
      <c r="M701" t="s">
        <v>66</v>
      </c>
      <c r="N701" t="str">
        <f t="shared" ref="N701:N702" si="266">IF(K701="N/A","No", IF(K701&gt;1200,"Yes","No"))</f>
        <v>No</v>
      </c>
      <c r="O701" t="str">
        <f t="shared" ref="O701:O702" si="267">IF(K701="Not","No",IF(K701="n/a","N/A",IF(K701&gt;$Y$3,"Yes","No")))</f>
        <v>N/A</v>
      </c>
      <c r="Q701" s="2" t="s">
        <v>98</v>
      </c>
      <c r="R701" t="str">
        <f>IF(COUNTIFS(D700:D709,"mg/cm2",G700:G709,"Yes")&gt;=1, "Yes","No")</f>
        <v>Yes</v>
      </c>
      <c r="S701" t="str">
        <f>IF(COUNTIF(O703:O704,"Yes"),"Yes","No")</f>
        <v>No</v>
      </c>
      <c r="U701" t="s">
        <v>95</v>
      </c>
      <c r="V701" t="str">
        <f>R700</f>
        <v>N/A</v>
      </c>
      <c r="W701" t="str">
        <f>S700</f>
        <v>N/A</v>
      </c>
      <c r="X701" t="str">
        <f t="shared" ref="X701:X704" si="268">IF(V701="N/A","N/A",IF(W701="N/A", "N/A", IF(V701=W701, "Yes","No")))</f>
        <v>N/A</v>
      </c>
    </row>
    <row r="702" spans="1:32" x14ac:dyDescent="0.2">
      <c r="A702" t="s">
        <v>63</v>
      </c>
      <c r="B702" t="s">
        <v>18</v>
      </c>
      <c r="C702">
        <v>18.2</v>
      </c>
      <c r="D702" t="s">
        <v>4</v>
      </c>
      <c r="F702" s="2" t="str">
        <f t="shared" si="265"/>
        <v>Yes</v>
      </c>
      <c r="G702" t="s">
        <v>5</v>
      </c>
      <c r="H702" t="s">
        <v>46</v>
      </c>
      <c r="J702" s="2" t="s">
        <v>15</v>
      </c>
      <c r="K702" t="s">
        <v>120</v>
      </c>
      <c r="L702" t="s">
        <v>12</v>
      </c>
      <c r="M702" t="s">
        <v>66</v>
      </c>
      <c r="N702" t="str">
        <f t="shared" si="266"/>
        <v>No</v>
      </c>
      <c r="O702" t="str">
        <f t="shared" si="267"/>
        <v>N/A</v>
      </c>
      <c r="Q702" s="2" t="s">
        <v>117</v>
      </c>
      <c r="R702" t="str">
        <f>_xlfn.XLOOKUP("ug/ft2",D700:D709,F700:F709,"N/A")</f>
        <v>No</v>
      </c>
      <c r="S702" t="str">
        <f>IF(COUNTIF(O705:O708,"Yes"),"Yes","No")</f>
        <v>No</v>
      </c>
      <c r="U702" t="s">
        <v>163</v>
      </c>
      <c r="V702" t="s">
        <v>5</v>
      </c>
      <c r="W702" t="s">
        <v>9</v>
      </c>
      <c r="X702" t="str">
        <f t="shared" si="268"/>
        <v>No</v>
      </c>
    </row>
    <row r="703" spans="1:32" x14ac:dyDescent="0.2">
      <c r="A703" t="s">
        <v>64</v>
      </c>
      <c r="B703" t="s">
        <v>40</v>
      </c>
      <c r="C703">
        <v>1.9</v>
      </c>
      <c r="D703" t="s">
        <v>4</v>
      </c>
      <c r="F703" s="2" t="str">
        <f t="shared" si="265"/>
        <v>Yes</v>
      </c>
      <c r="G703" t="s">
        <v>5</v>
      </c>
      <c r="H703" t="s">
        <v>43</v>
      </c>
      <c r="J703" s="2" t="s">
        <v>19</v>
      </c>
      <c r="K703">
        <v>2337</v>
      </c>
      <c r="L703" t="s">
        <v>12</v>
      </c>
      <c r="M703" t="s">
        <v>446</v>
      </c>
      <c r="N703" t="str">
        <f>IF(K703="N/A","No", IF(K703&gt;5000,"Yes","No"))</f>
        <v>No</v>
      </c>
      <c r="O703" t="str">
        <f>IF(K703="Not","No",IF(K703="n/a","N/A",IF(K703&gt;$Y$2,"Yes","No")))</f>
        <v>No</v>
      </c>
      <c r="Q703" s="2" t="s">
        <v>118</v>
      </c>
      <c r="R703" t="str">
        <f>IF(COUNTIF(R700:R702,"Yes"),"Yes","No")</f>
        <v>Yes</v>
      </c>
      <c r="S703" t="str">
        <f>IF(COUNTIF(S700:S702,"Yes"),"Yes","No")</f>
        <v>No</v>
      </c>
      <c r="U703" t="s">
        <v>164</v>
      </c>
      <c r="V703" t="s">
        <v>5</v>
      </c>
      <c r="W703" t="s">
        <v>120</v>
      </c>
      <c r="X703" t="str">
        <f t="shared" si="268"/>
        <v>N/A</v>
      </c>
    </row>
    <row r="704" spans="1:32" x14ac:dyDescent="0.2">
      <c r="A704" t="s">
        <v>64</v>
      </c>
      <c r="B704" t="s">
        <v>40</v>
      </c>
      <c r="C704">
        <v>29.9</v>
      </c>
      <c r="D704" t="s">
        <v>4</v>
      </c>
      <c r="F704" s="2" t="str">
        <f t="shared" si="265"/>
        <v>Yes</v>
      </c>
      <c r="G704" t="s">
        <v>5</v>
      </c>
      <c r="H704" t="s">
        <v>43</v>
      </c>
      <c r="J704" s="2" t="s">
        <v>22</v>
      </c>
      <c r="K704" t="s">
        <v>120</v>
      </c>
      <c r="L704" t="s">
        <v>12</v>
      </c>
      <c r="M704" t="s">
        <v>120</v>
      </c>
      <c r="N704" t="str">
        <f>IF(K704="N/A","No", IF(K704&gt;5000,"Yes","No"))</f>
        <v>No</v>
      </c>
      <c r="O704" t="str">
        <f>IF(K704="Not","No",IF(K704="n/a","N/A",IF(K704&gt;$Y$2,"Yes","No")))</f>
        <v>N/A</v>
      </c>
      <c r="U704" t="s">
        <v>162</v>
      </c>
      <c r="V704" t="str">
        <f>R701</f>
        <v>Yes</v>
      </c>
      <c r="W704" t="str">
        <f>S701</f>
        <v>No</v>
      </c>
      <c r="X704" t="str">
        <f t="shared" si="268"/>
        <v>No</v>
      </c>
    </row>
    <row r="705" spans="1:32" x14ac:dyDescent="0.2">
      <c r="A705" t="s">
        <v>64</v>
      </c>
      <c r="B705" t="s">
        <v>40</v>
      </c>
      <c r="C705">
        <v>2.4</v>
      </c>
      <c r="D705" t="s">
        <v>4</v>
      </c>
      <c r="F705" s="2" t="str">
        <f t="shared" si="265"/>
        <v>Yes</v>
      </c>
      <c r="G705" t="s">
        <v>5</v>
      </c>
      <c r="H705" t="s">
        <v>43</v>
      </c>
      <c r="J705" s="2" t="s">
        <v>25</v>
      </c>
      <c r="K705">
        <v>17</v>
      </c>
      <c r="L705" t="s">
        <v>12</v>
      </c>
      <c r="M705" t="s">
        <v>48</v>
      </c>
      <c r="N705" t="str">
        <f>IF(K705="N/A","No", IF(K705&gt;=20,"Yes","No"))</f>
        <v>No</v>
      </c>
      <c r="O705" t="str">
        <f>IF(K705="Not","No",IF(K705="n/a","N/A",IF(K705&gt;=$Y$5,"Yes","No")))</f>
        <v>No</v>
      </c>
      <c r="U705" t="s">
        <v>101</v>
      </c>
      <c r="V705" t="s">
        <v>9</v>
      </c>
      <c r="W705" t="s">
        <v>9</v>
      </c>
      <c r="X705" t="str">
        <f>IF(V705="N/A","N/A",IF(W705="N/A", "N/A", IF(V705=W705, "Yes","No")))</f>
        <v>Yes</v>
      </c>
    </row>
    <row r="706" spans="1:32" x14ac:dyDescent="0.2">
      <c r="A706" t="s">
        <v>109</v>
      </c>
      <c r="B706" t="s">
        <v>54</v>
      </c>
      <c r="C706">
        <v>14</v>
      </c>
      <c r="D706" t="s">
        <v>33</v>
      </c>
      <c r="F706" s="2" t="str">
        <f>IF(C706&gt;$W$5,"Yes","No")</f>
        <v>No</v>
      </c>
      <c r="G706" t="s">
        <v>9</v>
      </c>
      <c r="J706" s="2" t="s">
        <v>29</v>
      </c>
      <c r="K706">
        <v>0</v>
      </c>
      <c r="L706" t="s">
        <v>12</v>
      </c>
      <c r="M706" t="s">
        <v>72</v>
      </c>
      <c r="N706" t="str">
        <f>IF(K706="N/A","No", IF(K706&gt;20,"Yes","No"))</f>
        <v>No</v>
      </c>
      <c r="O706" t="str">
        <f t="shared" ref="O706" si="269">IF(K706="Not","No",IF(K706="n/a","N/A",IF(K706&gt;$Y$6,"Yes","No")))</f>
        <v>No</v>
      </c>
      <c r="U706" t="s">
        <v>104</v>
      </c>
      <c r="V706" t="s">
        <v>9</v>
      </c>
      <c r="W706" t="s">
        <v>9</v>
      </c>
      <c r="X706" t="str">
        <f>IF(V706="N/A","N/A",IF(W706="N/A", "N/A", IF(V706=W706, "Yes","No")))</f>
        <v>Yes</v>
      </c>
    </row>
    <row r="707" spans="1:32" x14ac:dyDescent="0.2">
      <c r="A707" t="s">
        <v>71</v>
      </c>
      <c r="B707" t="s">
        <v>32</v>
      </c>
      <c r="C707">
        <v>4.5999999999999996</v>
      </c>
      <c r="D707" t="s">
        <v>33</v>
      </c>
      <c r="F707" s="2" t="str">
        <f>IF(C707&gt;$W$6,"Yes","No")</f>
        <v>No</v>
      </c>
      <c r="G707" t="s">
        <v>9</v>
      </c>
      <c r="J707" s="2" t="s">
        <v>34</v>
      </c>
      <c r="K707">
        <v>0</v>
      </c>
      <c r="L707" t="s">
        <v>12</v>
      </c>
      <c r="M707" t="s">
        <v>447</v>
      </c>
      <c r="N707" t="str">
        <f>IF(K707="N/A","No", IF(K707&gt;230,"Yes","No"))</f>
        <v>No</v>
      </c>
      <c r="O707" t="str">
        <f>IF(K707="Not","No",IF(K707="n/a","N/A",IF(K707&gt;$Y$6,"Yes","No")))</f>
        <v>No</v>
      </c>
      <c r="U707" t="s">
        <v>106</v>
      </c>
      <c r="V707" t="str">
        <f>R702</f>
        <v>No</v>
      </c>
      <c r="W707" t="str">
        <f>S702</f>
        <v>No</v>
      </c>
      <c r="X707" t="str">
        <f>IF(V707="N/A","N/A",IF(W707="N/A", "N/A", IF(V707=W707, "Yes","No")))</f>
        <v>Yes</v>
      </c>
    </row>
    <row r="708" spans="1:32" x14ac:dyDescent="0.2">
      <c r="F708" s="2"/>
      <c r="J708" s="2"/>
      <c r="U708" t="s">
        <v>121</v>
      </c>
      <c r="V708" t="str">
        <f>R703</f>
        <v>Yes</v>
      </c>
      <c r="W708" t="str">
        <f>S703</f>
        <v>No</v>
      </c>
      <c r="X708" t="str">
        <f>IF(V708="N/A","N/A",IF(W708="N/A", "N/A", IF(V708=W708, "Yes","No")))</f>
        <v>No</v>
      </c>
    </row>
    <row r="710" spans="1:32" x14ac:dyDescent="0.2">
      <c r="A710" s="1">
        <f>VLOOKUP(C710,'Grid - LRA Samples'!$A$2:$B$108, 2,FALSE)</f>
        <v>1525</v>
      </c>
      <c r="B710" t="s">
        <v>319</v>
      </c>
      <c r="C710">
        <v>103</v>
      </c>
    </row>
    <row r="711" spans="1:32" x14ac:dyDescent="0.2">
      <c r="A711" s="5" t="s">
        <v>0</v>
      </c>
      <c r="E711" s="2" t="s">
        <v>274</v>
      </c>
      <c r="F711" s="2" t="s">
        <v>275</v>
      </c>
      <c r="G711" t="s">
        <v>119</v>
      </c>
      <c r="J711" s="5" t="s">
        <v>1</v>
      </c>
      <c r="N711" s="2" t="s">
        <v>277</v>
      </c>
      <c r="O711" t="s">
        <v>278</v>
      </c>
      <c r="Q711" s="5" t="s">
        <v>115</v>
      </c>
      <c r="R711" s="5" t="s">
        <v>0</v>
      </c>
      <c r="S711" s="5" t="s">
        <v>1</v>
      </c>
      <c r="U711" s="5" t="s">
        <v>115</v>
      </c>
      <c r="V711" s="5" t="s">
        <v>0</v>
      </c>
      <c r="W711" s="5" t="s">
        <v>1</v>
      </c>
      <c r="X711" s="5" t="s">
        <v>122</v>
      </c>
      <c r="AA711" t="str">
        <f>IF(R712="Yes","LRA-Soil","")</f>
        <v/>
      </c>
      <c r="AB711" t="str">
        <f>IF(R713="Yes","LRA-Paint","")</f>
        <v/>
      </c>
      <c r="AC711" t="str">
        <f>IF(R714="Yes","LRA-Dust","")</f>
        <v/>
      </c>
      <c r="AD711" t="str">
        <f>IF(S712="Yes","LSK-Soil","")</f>
        <v/>
      </c>
      <c r="AE711" t="str">
        <f>IF(S713="Yes","LSK-Paint","")</f>
        <v/>
      </c>
      <c r="AF711" t="str">
        <f>IF(S714="Yes","LSK-Dust","")</f>
        <v/>
      </c>
    </row>
    <row r="712" spans="1:32" x14ac:dyDescent="0.2">
      <c r="A712" t="s">
        <v>63</v>
      </c>
      <c r="B712" t="s">
        <v>18</v>
      </c>
      <c r="C712">
        <v>0</v>
      </c>
      <c r="D712" t="s">
        <v>4</v>
      </c>
      <c r="F712" s="2" t="str">
        <f t="shared" ref="F712:F715" si="270">IF(C712&gt;=$W$2,"Yes","No")</f>
        <v>No</v>
      </c>
      <c r="G712" t="s">
        <v>9</v>
      </c>
      <c r="H712" t="s">
        <v>46</v>
      </c>
      <c r="J712" s="2" t="s">
        <v>6</v>
      </c>
      <c r="K712">
        <v>113</v>
      </c>
      <c r="L712" t="s">
        <v>12</v>
      </c>
      <c r="M712" t="s">
        <v>36</v>
      </c>
      <c r="N712" t="str">
        <f>IF(K712="N/A","No", IF(K712&gt;1200,"Yes","No"))</f>
        <v>No</v>
      </c>
      <c r="O712" t="str">
        <f>IF(K712="Not","No",IF(K712="n/a","N/A",IF(K712&gt;=$Y$3,"Yes","No")))</f>
        <v>No</v>
      </c>
      <c r="Q712" s="2" t="s">
        <v>116</v>
      </c>
      <c r="R712" t="str">
        <f>_xlfn.XLOOKUP("ppm",D712:D717,F712:F717,"N/A")</f>
        <v>No</v>
      </c>
      <c r="S712" t="str">
        <f>IF(COUNTIF(O712:O714,"Yes"),"Yes","No")</f>
        <v>No</v>
      </c>
      <c r="U712" t="s">
        <v>92</v>
      </c>
      <c r="V712" t="s">
        <v>120</v>
      </c>
      <c r="W712" t="s">
        <v>120</v>
      </c>
      <c r="X712" t="str">
        <f>IF(V712="N/A","N/A",IF(W712="N/A", "N/A", IF(V712=W712, "Yes","No")))</f>
        <v>N/A</v>
      </c>
    </row>
    <row r="713" spans="1:32" x14ac:dyDescent="0.2">
      <c r="A713" t="s">
        <v>75</v>
      </c>
      <c r="B713" t="s">
        <v>301</v>
      </c>
      <c r="C713">
        <v>200</v>
      </c>
      <c r="D713" t="s">
        <v>12</v>
      </c>
      <c r="F713" s="2" t="str">
        <f t="shared" ref="F713" si="271">IF(C713&gt;=$W$3,"Yes","No")</f>
        <v>No</v>
      </c>
      <c r="G713" s="2" t="s">
        <v>9</v>
      </c>
      <c r="H713" t="s">
        <v>46</v>
      </c>
      <c r="J713" s="2" t="s">
        <v>11</v>
      </c>
      <c r="K713" s="2">
        <v>0</v>
      </c>
      <c r="L713" t="s">
        <v>12</v>
      </c>
      <c r="M713" t="s">
        <v>176</v>
      </c>
      <c r="N713" t="str">
        <f t="shared" ref="N713:N714" si="272">IF(K713="N/A","No", IF(K713&gt;1200,"Yes","No"))</f>
        <v>No</v>
      </c>
      <c r="O713" t="str">
        <f t="shared" ref="O713:O714" si="273">IF(K713="Not","No",IF(K713="n/a","N/A",IF(K713&gt;$Y$3,"Yes","No")))</f>
        <v>No</v>
      </c>
      <c r="Q713" s="2" t="s">
        <v>98</v>
      </c>
      <c r="R713" t="str">
        <f>IF(COUNTIFS(D712:D717,"mg/cm2",G712:G717,"Yes")&gt;=1, "Yes","No")</f>
        <v>No</v>
      </c>
      <c r="S713" t="str">
        <f>IF(COUNTIF(O715:O716,"Yes"),"Yes","No")</f>
        <v>No</v>
      </c>
      <c r="U713" t="s">
        <v>95</v>
      </c>
      <c r="V713" t="str">
        <f>R712</f>
        <v>No</v>
      </c>
      <c r="W713" t="str">
        <f>S712</f>
        <v>No</v>
      </c>
      <c r="X713" t="str">
        <f t="shared" ref="X713:X716" si="274">IF(V713="N/A","N/A",IF(W713="N/A", "N/A", IF(V713=W713, "Yes","No")))</f>
        <v>Yes</v>
      </c>
    </row>
    <row r="714" spans="1:32" x14ac:dyDescent="0.2">
      <c r="A714" t="s">
        <v>161</v>
      </c>
      <c r="B714" t="s">
        <v>28</v>
      </c>
      <c r="C714" t="s">
        <v>397</v>
      </c>
      <c r="D714" t="s">
        <v>4</v>
      </c>
      <c r="F714" s="2" t="s">
        <v>9</v>
      </c>
      <c r="G714" t="s">
        <v>9</v>
      </c>
      <c r="H714" t="s">
        <v>46</v>
      </c>
      <c r="J714" s="2" t="s">
        <v>15</v>
      </c>
      <c r="K714">
        <v>33</v>
      </c>
      <c r="L714" t="s">
        <v>12</v>
      </c>
      <c r="M714" t="s">
        <v>41</v>
      </c>
      <c r="N714" t="str">
        <f t="shared" si="272"/>
        <v>No</v>
      </c>
      <c r="O714" t="str">
        <f t="shared" si="273"/>
        <v>No</v>
      </c>
      <c r="Q714" s="2" t="s">
        <v>117</v>
      </c>
      <c r="R714" t="str">
        <f>_xlfn.XLOOKUP("ug/ft2",D712:D717,F712:F717,"N/A")</f>
        <v>No</v>
      </c>
      <c r="S714" t="str">
        <f>IF(COUNTIF(O717:O720,"Yes"),"Yes","No")</f>
        <v>No</v>
      </c>
      <c r="U714" t="s">
        <v>163</v>
      </c>
      <c r="V714" t="s">
        <v>9</v>
      </c>
      <c r="W714" t="s">
        <v>9</v>
      </c>
      <c r="X714" t="str">
        <f t="shared" si="274"/>
        <v>Yes</v>
      </c>
    </row>
    <row r="715" spans="1:32" x14ac:dyDescent="0.2">
      <c r="A715" t="s">
        <v>71</v>
      </c>
      <c r="B715" t="s">
        <v>40</v>
      </c>
      <c r="C715">
        <v>0</v>
      </c>
      <c r="D715" t="s">
        <v>4</v>
      </c>
      <c r="F715" s="2" t="str">
        <f t="shared" si="270"/>
        <v>No</v>
      </c>
      <c r="G715" t="s">
        <v>9</v>
      </c>
      <c r="H715" t="s">
        <v>43</v>
      </c>
      <c r="J715" s="2" t="s">
        <v>19</v>
      </c>
      <c r="K715">
        <v>18</v>
      </c>
      <c r="L715" t="s">
        <v>12</v>
      </c>
      <c r="M715" t="s">
        <v>444</v>
      </c>
      <c r="N715" t="str">
        <f>IF(K715="N/A","No", IF(K715&gt;5000,"Yes","No"))</f>
        <v>No</v>
      </c>
      <c r="O715" t="str">
        <f>IF(K715="Not","No",IF(K715="n/a","N/A",IF(K715&gt;$Y$2,"Yes","No")))</f>
        <v>No</v>
      </c>
      <c r="Q715" s="2" t="s">
        <v>118</v>
      </c>
      <c r="R715" t="str">
        <f>IF(COUNTIF(R712:R714,"Yes"),"Yes","No")</f>
        <v>No</v>
      </c>
      <c r="S715" t="str">
        <f>IF(COUNTIF(S712:S714,"Yes"),"Yes","No")</f>
        <v>No</v>
      </c>
      <c r="U715" t="s">
        <v>164</v>
      </c>
      <c r="V715" t="s">
        <v>9</v>
      </c>
      <c r="W715" t="s">
        <v>9</v>
      </c>
      <c r="X715" t="str">
        <f t="shared" si="274"/>
        <v>Yes</v>
      </c>
    </row>
    <row r="716" spans="1:32" x14ac:dyDescent="0.2">
      <c r="A716" t="s">
        <v>109</v>
      </c>
      <c r="B716" t="s">
        <v>32</v>
      </c>
      <c r="C716">
        <v>3</v>
      </c>
      <c r="D716" t="s">
        <v>33</v>
      </c>
      <c r="F716" s="2" t="str">
        <f>IF(C716&gt;$W$6,"Yes","No")</f>
        <v>No</v>
      </c>
      <c r="G716" t="s">
        <v>9</v>
      </c>
      <c r="H716" t="s">
        <v>43</v>
      </c>
      <c r="J716" s="2" t="s">
        <v>22</v>
      </c>
      <c r="K716">
        <v>13</v>
      </c>
      <c r="L716" t="s">
        <v>12</v>
      </c>
      <c r="M716" t="s">
        <v>402</v>
      </c>
      <c r="N716" t="str">
        <f>IF(K716="N/A","No", IF(K716&gt;5000,"Yes","No"))</f>
        <v>No</v>
      </c>
      <c r="O716" t="str">
        <f>IF(K716="Not","No",IF(K716="n/a","N/A",IF(K716&gt;$Y$2,"Yes","No")))</f>
        <v>No</v>
      </c>
      <c r="U716" t="s">
        <v>162</v>
      </c>
      <c r="V716" t="str">
        <f>R713</f>
        <v>No</v>
      </c>
      <c r="W716" t="str">
        <f>S713</f>
        <v>No</v>
      </c>
      <c r="X716" t="str">
        <f t="shared" si="274"/>
        <v>Yes</v>
      </c>
    </row>
    <row r="717" spans="1:32" x14ac:dyDescent="0.2">
      <c r="A717" t="s">
        <v>293</v>
      </c>
      <c r="B717" t="s">
        <v>54</v>
      </c>
      <c r="C717">
        <v>16</v>
      </c>
      <c r="D717" t="s">
        <v>33</v>
      </c>
      <c r="F717" s="2" t="str">
        <f>IF(C717&gt;$W$5,"Yes","No")</f>
        <v>No</v>
      </c>
      <c r="G717" t="s">
        <v>9</v>
      </c>
      <c r="H717" t="s">
        <v>43</v>
      </c>
      <c r="J717" s="2" t="s">
        <v>25</v>
      </c>
      <c r="K717">
        <v>0</v>
      </c>
      <c r="L717" t="s">
        <v>12</v>
      </c>
      <c r="M717" t="s">
        <v>448</v>
      </c>
      <c r="N717" t="str">
        <f>IF(K717="N/A","No", IF(K717&gt;=20,"Yes","No"))</f>
        <v>No</v>
      </c>
      <c r="O717" t="str">
        <f>IF(K717="Not","No",IF(K717="n/a","N/A",IF(K717&gt;=$Y$5,"Yes","No")))</f>
        <v>No</v>
      </c>
      <c r="U717" t="s">
        <v>101</v>
      </c>
      <c r="V717" t="s">
        <v>9</v>
      </c>
      <c r="W717" t="s">
        <v>9</v>
      </c>
      <c r="X717" t="str">
        <f>IF(V717="N/A","N/A",IF(W717="N/A", "N/A", IF(V717=W717, "Yes","No")))</f>
        <v>Yes</v>
      </c>
    </row>
    <row r="718" spans="1:32" x14ac:dyDescent="0.2">
      <c r="F718" s="2"/>
      <c r="J718" s="2" t="s">
        <v>29</v>
      </c>
      <c r="K718">
        <v>0</v>
      </c>
      <c r="L718" t="s">
        <v>12</v>
      </c>
      <c r="M718" t="s">
        <v>72</v>
      </c>
      <c r="N718" t="str">
        <f>IF(K718="N/A","No", IF(K718&gt;20,"Yes","No"))</f>
        <v>No</v>
      </c>
      <c r="O718" t="str">
        <f t="shared" ref="O718" si="275">IF(K718="Not","No",IF(K718="n/a","N/A",IF(K718&gt;$Y$6,"Yes","No")))</f>
        <v>No</v>
      </c>
      <c r="U718" t="s">
        <v>104</v>
      </c>
      <c r="V718" t="s">
        <v>9</v>
      </c>
      <c r="W718" t="s">
        <v>9</v>
      </c>
      <c r="X718" t="str">
        <f>IF(V718="N/A","N/A",IF(W718="N/A", "N/A", IF(V718=W718, "Yes","No")))</f>
        <v>Yes</v>
      </c>
    </row>
    <row r="719" spans="1:32" x14ac:dyDescent="0.2">
      <c r="F719" s="2"/>
      <c r="J719" s="2" t="s">
        <v>34</v>
      </c>
      <c r="K719">
        <v>0</v>
      </c>
      <c r="L719" t="s">
        <v>12</v>
      </c>
      <c r="M719" t="s">
        <v>74</v>
      </c>
      <c r="N719" t="str">
        <f>IF(K719="N/A","No", IF(K719&gt;230,"Yes","No"))</f>
        <v>No</v>
      </c>
      <c r="O719" t="str">
        <f>IF(K719="Not","No",IF(K719="n/a","N/A",IF(K719&gt;$Y$6,"Yes","No")))</f>
        <v>No</v>
      </c>
      <c r="U719" t="s">
        <v>106</v>
      </c>
      <c r="V719" t="str">
        <f>R714</f>
        <v>No</v>
      </c>
      <c r="W719" t="str">
        <f>S714</f>
        <v>No</v>
      </c>
      <c r="X719" t="str">
        <f>IF(V719="N/A","N/A",IF(W719="N/A", "N/A", IF(V719=W719, "Yes","No")))</f>
        <v>Yes</v>
      </c>
    </row>
    <row r="720" spans="1:32" x14ac:dyDescent="0.2">
      <c r="F720" s="2"/>
      <c r="J720" s="2"/>
      <c r="U720" t="s">
        <v>121</v>
      </c>
      <c r="V720" t="str">
        <f>R715</f>
        <v>No</v>
      </c>
      <c r="W720" t="str">
        <f>S715</f>
        <v>No</v>
      </c>
      <c r="X720" t="str">
        <f>IF(V720="N/A","N/A",IF(W720="N/A", "N/A", IF(V720=W720, "Yes","No")))</f>
        <v>Yes</v>
      </c>
    </row>
    <row r="722" spans="1:32" x14ac:dyDescent="0.2">
      <c r="A722" s="1">
        <f>VLOOKUP(C722,'Grid - LRA Samples'!$A$2:$B$108, 2,FALSE)</f>
        <v>1529</v>
      </c>
      <c r="B722" t="s">
        <v>319</v>
      </c>
      <c r="C722">
        <v>104</v>
      </c>
    </row>
    <row r="723" spans="1:32" x14ac:dyDescent="0.2">
      <c r="A723" s="5" t="s">
        <v>0</v>
      </c>
      <c r="E723" s="2" t="s">
        <v>274</v>
      </c>
      <c r="F723" s="2" t="s">
        <v>275</v>
      </c>
      <c r="G723" t="s">
        <v>119</v>
      </c>
      <c r="J723" s="5" t="s">
        <v>1</v>
      </c>
      <c r="N723" s="2" t="s">
        <v>277</v>
      </c>
      <c r="O723" t="s">
        <v>278</v>
      </c>
      <c r="Q723" s="5" t="s">
        <v>115</v>
      </c>
      <c r="R723" s="5" t="s">
        <v>0</v>
      </c>
      <c r="S723" s="5" t="s">
        <v>1</v>
      </c>
      <c r="U723" s="5" t="s">
        <v>115</v>
      </c>
      <c r="V723" s="5" t="s">
        <v>0</v>
      </c>
      <c r="W723" s="5" t="s">
        <v>1</v>
      </c>
      <c r="X723" s="5" t="s">
        <v>122</v>
      </c>
      <c r="AA723" t="str">
        <f>IF(R724="Yes","LRA-Soil","")</f>
        <v/>
      </c>
      <c r="AB723" t="str">
        <f>IF(R725="Yes","LRA-Paint","")</f>
        <v/>
      </c>
      <c r="AC723" t="str">
        <f>IF(R726="Yes","LRA-Dust","")</f>
        <v/>
      </c>
      <c r="AD723" t="str">
        <f>IF(S724="Yes","LSK-Soil","")</f>
        <v/>
      </c>
      <c r="AE723" t="str">
        <f>IF(S725="Yes","LSK-Paint","")</f>
        <v/>
      </c>
      <c r="AF723" t="str">
        <f>IF(S726="Yes","LSK-Dust","")</f>
        <v>LSK-Dust</v>
      </c>
    </row>
    <row r="724" spans="1:32" x14ac:dyDescent="0.2">
      <c r="A724" t="s">
        <v>63</v>
      </c>
      <c r="B724" t="s">
        <v>450</v>
      </c>
      <c r="C724">
        <v>0</v>
      </c>
      <c r="D724" t="s">
        <v>4</v>
      </c>
      <c r="F724" s="2" t="str">
        <f t="shared" ref="F724:F725" si="276">IF(C724&gt;=$W$2,"Yes","No")</f>
        <v>No</v>
      </c>
      <c r="G724" t="s">
        <v>9</v>
      </c>
      <c r="H724" t="s">
        <v>46</v>
      </c>
      <c r="J724" s="2" t="s">
        <v>6</v>
      </c>
      <c r="K724" t="s">
        <v>120</v>
      </c>
      <c r="L724" t="s">
        <v>12</v>
      </c>
      <c r="M724" t="s">
        <v>66</v>
      </c>
      <c r="N724" t="str">
        <f>IF(K724="N/A","No", IF(K724&gt;1200,"Yes","No"))</f>
        <v>No</v>
      </c>
      <c r="O724" t="str">
        <f>IF(K724="Not","No",IF(K724="n/a","N/A",IF(K724&gt;=$Y$3,"Yes","No")))</f>
        <v>N/A</v>
      </c>
      <c r="Q724" s="2" t="s">
        <v>116</v>
      </c>
      <c r="R724" t="str">
        <f>_xlfn.XLOOKUP("ppm",D724:D727,F724:F727,"N/A")</f>
        <v>N/A</v>
      </c>
      <c r="S724" t="s">
        <v>120</v>
      </c>
      <c r="U724" t="s">
        <v>92</v>
      </c>
      <c r="V724" t="s">
        <v>120</v>
      </c>
      <c r="W724" t="s">
        <v>120</v>
      </c>
      <c r="X724" t="str">
        <f>IF(V724="N/A","N/A",IF(W724="N/A", "N/A", IF(V724=W724, "Yes","No")))</f>
        <v>N/A</v>
      </c>
    </row>
    <row r="725" spans="1:32" x14ac:dyDescent="0.2">
      <c r="A725" t="s">
        <v>109</v>
      </c>
      <c r="B725" t="s">
        <v>40</v>
      </c>
      <c r="C725">
        <v>0.24</v>
      </c>
      <c r="D725" t="s">
        <v>4</v>
      </c>
      <c r="F725" s="2" t="str">
        <f t="shared" si="276"/>
        <v>No</v>
      </c>
      <c r="G725" s="2" t="s">
        <v>9</v>
      </c>
      <c r="H725" t="s">
        <v>46</v>
      </c>
      <c r="J725" s="2" t="s">
        <v>11</v>
      </c>
      <c r="K725" s="2" t="s">
        <v>120</v>
      </c>
      <c r="L725" t="s">
        <v>12</v>
      </c>
      <c r="M725" t="s">
        <v>66</v>
      </c>
      <c r="N725" t="str">
        <f t="shared" ref="N725:N726" si="277">IF(K725="N/A","No", IF(K725&gt;1200,"Yes","No"))</f>
        <v>No</v>
      </c>
      <c r="O725" t="str">
        <f t="shared" ref="O725:O726" si="278">IF(K725="Not","No",IF(K725="n/a","N/A",IF(K725&gt;$Y$3,"Yes","No")))</f>
        <v>N/A</v>
      </c>
      <c r="Q725" s="2" t="s">
        <v>98</v>
      </c>
      <c r="R725" t="str">
        <f>IF(COUNTIFS(D724:D727,"mg/cm2",G724:G727,"Yes")&gt;=1, "Yes","No")</f>
        <v>No</v>
      </c>
      <c r="S725" t="str">
        <f>IF(COUNTIF(O727:O728,"Yes"),"Yes","No")</f>
        <v>No</v>
      </c>
      <c r="U725" t="s">
        <v>95</v>
      </c>
      <c r="V725" t="str">
        <f>R724</f>
        <v>N/A</v>
      </c>
      <c r="W725" t="s">
        <v>120</v>
      </c>
      <c r="X725" t="str">
        <f t="shared" ref="X725:X728" si="279">IF(V725="N/A","N/A",IF(W725="N/A", "N/A", IF(V725=W725, "Yes","No")))</f>
        <v>N/A</v>
      </c>
    </row>
    <row r="726" spans="1:32" x14ac:dyDescent="0.2">
      <c r="A726" t="s">
        <v>109</v>
      </c>
      <c r="B726" t="s">
        <v>54</v>
      </c>
      <c r="C726">
        <v>24</v>
      </c>
      <c r="D726" t="s">
        <v>33</v>
      </c>
      <c r="F726" s="2" t="str">
        <f>IF(C726&gt;$W$5,"Yes","No")</f>
        <v>No</v>
      </c>
      <c r="G726" t="s">
        <v>9</v>
      </c>
      <c r="H726" t="s">
        <v>46</v>
      </c>
      <c r="J726" s="2" t="s">
        <v>15</v>
      </c>
      <c r="K726" t="s">
        <v>120</v>
      </c>
      <c r="L726" t="s">
        <v>12</v>
      </c>
      <c r="M726" t="s">
        <v>66</v>
      </c>
      <c r="N726" t="str">
        <f t="shared" si="277"/>
        <v>No</v>
      </c>
      <c r="O726" t="str">
        <f t="shared" si="278"/>
        <v>N/A</v>
      </c>
      <c r="Q726" s="2" t="s">
        <v>117</v>
      </c>
      <c r="R726" t="str">
        <f>_xlfn.XLOOKUP("ug/ft2",D724:D727,F724:F727,"N/A")</f>
        <v>No</v>
      </c>
      <c r="S726" t="str">
        <f>IF(COUNTIF(O729:O732,"Yes"),"Yes","No")</f>
        <v>Yes</v>
      </c>
      <c r="U726" t="s">
        <v>163</v>
      </c>
      <c r="V726" t="s">
        <v>9</v>
      </c>
      <c r="W726" t="s">
        <v>9</v>
      </c>
      <c r="X726" t="str">
        <f t="shared" si="279"/>
        <v>Yes</v>
      </c>
    </row>
    <row r="727" spans="1:32" x14ac:dyDescent="0.2">
      <c r="A727" t="s">
        <v>71</v>
      </c>
      <c r="B727" t="s">
        <v>32</v>
      </c>
      <c r="C727">
        <v>5.2</v>
      </c>
      <c r="D727" t="s">
        <v>33</v>
      </c>
      <c r="F727" s="2" t="str">
        <f>IF(C727&gt;$W$6,"Yes","No")</f>
        <v>No</v>
      </c>
      <c r="G727" t="s">
        <v>9</v>
      </c>
      <c r="H727" t="s">
        <v>43</v>
      </c>
      <c r="J727" s="2" t="s">
        <v>19</v>
      </c>
      <c r="K727">
        <v>0</v>
      </c>
      <c r="L727" t="s">
        <v>12</v>
      </c>
      <c r="M727" t="s">
        <v>449</v>
      </c>
      <c r="N727" t="str">
        <f>IF(K727="N/A","No", IF(K727&gt;5000,"Yes","No"))</f>
        <v>No</v>
      </c>
      <c r="O727" t="str">
        <f>IF(K727="Not","No",IF(K727="n/a","N/A",IF(K727&gt;$Y$2,"Yes","No")))</f>
        <v>No</v>
      </c>
      <c r="Q727" s="2" t="s">
        <v>118</v>
      </c>
      <c r="R727" t="str">
        <f>IF(COUNTIF(R724:R726,"Yes"),"Yes","No")</f>
        <v>No</v>
      </c>
      <c r="S727" t="str">
        <f>IF(COUNTIF(S724:S726,"Yes"),"Yes","No")</f>
        <v>Yes</v>
      </c>
      <c r="U727" t="s">
        <v>164</v>
      </c>
      <c r="V727" t="s">
        <v>9</v>
      </c>
      <c r="W727" t="s">
        <v>9</v>
      </c>
      <c r="X727" t="str">
        <f t="shared" si="279"/>
        <v>Yes</v>
      </c>
    </row>
    <row r="728" spans="1:32" x14ac:dyDescent="0.2">
      <c r="F728" s="2"/>
      <c r="J728" s="2" t="s">
        <v>22</v>
      </c>
      <c r="K728">
        <v>0</v>
      </c>
      <c r="L728" t="s">
        <v>12</v>
      </c>
      <c r="M728" t="s">
        <v>402</v>
      </c>
      <c r="N728" t="str">
        <f>IF(K728="N/A","No", IF(K728&gt;5000,"Yes","No"))</f>
        <v>No</v>
      </c>
      <c r="O728" t="str">
        <f>IF(K728="Not","No",IF(K728="n/a","N/A",IF(K728&gt;$Y$2,"Yes","No")))</f>
        <v>No</v>
      </c>
      <c r="U728" t="s">
        <v>162</v>
      </c>
      <c r="V728" t="str">
        <f>R725</f>
        <v>No</v>
      </c>
      <c r="W728" t="str">
        <f>S725</f>
        <v>No</v>
      </c>
      <c r="X728" t="str">
        <f t="shared" si="279"/>
        <v>Yes</v>
      </c>
    </row>
    <row r="729" spans="1:32" x14ac:dyDescent="0.2">
      <c r="F729" s="2"/>
      <c r="J729" s="2" t="s">
        <v>25</v>
      </c>
      <c r="K729">
        <v>9</v>
      </c>
      <c r="L729" t="s">
        <v>12</v>
      </c>
      <c r="M729" t="s">
        <v>59</v>
      </c>
      <c r="N729" t="str">
        <f>IF(K729="N/A","No", IF(K729&gt;=20,"Yes","No"))</f>
        <v>No</v>
      </c>
      <c r="O729" t="str">
        <f>IF(K729="Not","No",IF(K729="n/a","N/A",IF(K729&gt;=$Y$5,"Yes","No")))</f>
        <v>No</v>
      </c>
      <c r="U729" t="s">
        <v>101</v>
      </c>
      <c r="V729" t="s">
        <v>9</v>
      </c>
      <c r="W729" t="s">
        <v>5</v>
      </c>
      <c r="X729" t="str">
        <f>IF(V729="N/A","N/A",IF(W729="N/A", "N/A", IF(V729=W729, "Yes","No")))</f>
        <v>No</v>
      </c>
    </row>
    <row r="730" spans="1:32" x14ac:dyDescent="0.2">
      <c r="F730" s="2"/>
      <c r="J730" s="2" t="s">
        <v>29</v>
      </c>
      <c r="K730">
        <v>27</v>
      </c>
      <c r="L730" t="s">
        <v>12</v>
      </c>
      <c r="M730" t="s">
        <v>72</v>
      </c>
      <c r="N730" t="str">
        <f>IF(K730="N/A","No", IF(K730&gt;20,"Yes","No"))</f>
        <v>Yes</v>
      </c>
      <c r="O730" t="str">
        <f t="shared" ref="O730" si="280">IF(K730="Not","No",IF(K730="n/a","N/A",IF(K730&gt;$Y$6,"Yes","No")))</f>
        <v>Yes</v>
      </c>
      <c r="U730" t="s">
        <v>104</v>
      </c>
      <c r="V730" t="s">
        <v>9</v>
      </c>
      <c r="W730" t="s">
        <v>9</v>
      </c>
      <c r="X730" t="str">
        <f>IF(V730="N/A","N/A",IF(W730="N/A", "N/A", IF(V730=W730, "Yes","No")))</f>
        <v>Yes</v>
      </c>
    </row>
    <row r="731" spans="1:32" x14ac:dyDescent="0.2">
      <c r="F731" s="2"/>
      <c r="J731" s="2" t="s">
        <v>34</v>
      </c>
      <c r="K731">
        <v>12</v>
      </c>
      <c r="L731" t="s">
        <v>12</v>
      </c>
      <c r="M731" t="s">
        <v>74</v>
      </c>
      <c r="N731" t="str">
        <f>IF(K731="N/A","No", IF(K731&gt;230,"Yes","No"))</f>
        <v>No</v>
      </c>
      <c r="O731" t="str">
        <f>IF(K731="Not","No",IF(K731="n/a","N/A",IF(K731&gt;$Y$6,"Yes","No")))</f>
        <v>No</v>
      </c>
      <c r="U731" t="s">
        <v>106</v>
      </c>
      <c r="V731" t="str">
        <f>R726</f>
        <v>No</v>
      </c>
      <c r="W731" t="str">
        <f>S726</f>
        <v>Yes</v>
      </c>
      <c r="X731" t="str">
        <f>IF(V731="N/A","N/A",IF(W731="N/A", "N/A", IF(V731=W731, "Yes","No")))</f>
        <v>No</v>
      </c>
    </row>
    <row r="732" spans="1:32" x14ac:dyDescent="0.2">
      <c r="F732" s="2"/>
      <c r="J732" s="2"/>
      <c r="U732" t="s">
        <v>121</v>
      </c>
      <c r="V732" t="str">
        <f>R727</f>
        <v>No</v>
      </c>
      <c r="W732" t="str">
        <f>S727</f>
        <v>Yes</v>
      </c>
      <c r="X732" t="str">
        <f>IF(V732="N/A","N/A",IF(W732="N/A", "N/A", IF(V732=W732, "Yes","No")))</f>
        <v>No</v>
      </c>
    </row>
    <row r="733" spans="1:32" x14ac:dyDescent="0.2">
      <c r="A733" s="1">
        <f>VLOOKUP(C733,'Grid - LRA Samples'!$A$2:$B$108, 2,FALSE)</f>
        <v>1533</v>
      </c>
      <c r="B733" t="s">
        <v>319</v>
      </c>
      <c r="C733">
        <v>105</v>
      </c>
    </row>
    <row r="734" spans="1:32" x14ac:dyDescent="0.2">
      <c r="A734" s="5" t="s">
        <v>0</v>
      </c>
      <c r="E734" s="2" t="s">
        <v>274</v>
      </c>
      <c r="F734" s="2" t="s">
        <v>275</v>
      </c>
      <c r="G734" t="s">
        <v>119</v>
      </c>
      <c r="J734" s="5" t="s">
        <v>1</v>
      </c>
      <c r="N734" s="2" t="s">
        <v>277</v>
      </c>
      <c r="O734" t="s">
        <v>278</v>
      </c>
      <c r="Q734" s="5" t="s">
        <v>115</v>
      </c>
      <c r="R734" s="5" t="s">
        <v>0</v>
      </c>
      <c r="S734" s="5" t="s">
        <v>1</v>
      </c>
      <c r="U734" s="5" t="s">
        <v>115</v>
      </c>
      <c r="V734" s="5" t="s">
        <v>0</v>
      </c>
      <c r="W734" s="5" t="s">
        <v>1</v>
      </c>
      <c r="X734" s="5" t="s">
        <v>122</v>
      </c>
      <c r="AA734" t="str">
        <f>IF(R735="Yes","LRA-Soil","")</f>
        <v/>
      </c>
      <c r="AB734" t="str">
        <f>IF(R736="Yes","LRA-Paint","")</f>
        <v>LRA-Paint</v>
      </c>
      <c r="AC734" t="str">
        <f>IF(R737="Yes","LRA-Dust","")</f>
        <v/>
      </c>
      <c r="AD734" t="str">
        <f>IF(S735="Yes","LSK-Soil","")</f>
        <v/>
      </c>
      <c r="AE734" t="str">
        <f>IF(S736="Yes","LSK-Paint","")</f>
        <v/>
      </c>
      <c r="AF734" t="str">
        <f>IF(S737="Yes","LSK-Dust","")</f>
        <v>LSK-Dust</v>
      </c>
    </row>
    <row r="735" spans="1:32" x14ac:dyDescent="0.2">
      <c r="A735" t="s">
        <v>63</v>
      </c>
      <c r="B735" t="s">
        <v>18</v>
      </c>
      <c r="C735">
        <v>0</v>
      </c>
      <c r="D735" t="s">
        <v>4</v>
      </c>
      <c r="F735" s="2" t="str">
        <f t="shared" ref="F735:F742" si="281">IF(C735&gt;=$W$2,"Yes","No")</f>
        <v>No</v>
      </c>
      <c r="G735" t="s">
        <v>9</v>
      </c>
      <c r="H735" t="s">
        <v>46</v>
      </c>
      <c r="J735" s="2" t="s">
        <v>6</v>
      </c>
      <c r="K735">
        <v>374</v>
      </c>
      <c r="L735" t="s">
        <v>12</v>
      </c>
      <c r="M735" t="s">
        <v>36</v>
      </c>
      <c r="N735" t="str">
        <f>IF(K735="N/A","No", IF(K735&gt;1200,"Yes","No"))</f>
        <v>No</v>
      </c>
      <c r="O735" t="str">
        <f>IF(K735="Not","No",IF(K735="n/a","N/A",IF(K735&gt;=$Y$3,"Yes","No")))</f>
        <v>No</v>
      </c>
      <c r="Q735" s="2" t="s">
        <v>116</v>
      </c>
      <c r="R735" t="str">
        <f>_xlfn.XLOOKUP("ppm",D735:D744,F735:F744,"N/A")</f>
        <v>No</v>
      </c>
      <c r="S735" t="str">
        <f>IF(COUNTIF(O735:O737,"Yes"),"Yes","No")</f>
        <v>No</v>
      </c>
      <c r="U735" t="s">
        <v>92</v>
      </c>
      <c r="V735" t="s">
        <v>120</v>
      </c>
      <c r="W735" t="s">
        <v>120</v>
      </c>
      <c r="X735" t="str">
        <f>IF(V735="N/A","N/A",IF(W735="N/A", "N/A", IF(V735=W735, "Yes","No")))</f>
        <v>N/A</v>
      </c>
    </row>
    <row r="736" spans="1:32" x14ac:dyDescent="0.2">
      <c r="A736" t="s">
        <v>75</v>
      </c>
      <c r="B736" t="s">
        <v>69</v>
      </c>
      <c r="C736">
        <v>200</v>
      </c>
      <c r="D736" t="s">
        <v>12</v>
      </c>
      <c r="F736" s="2" t="str">
        <f t="shared" ref="F736:F737" si="282">IF(C736&gt;=$W$3,"Yes","No")</f>
        <v>No</v>
      </c>
      <c r="G736" s="2" t="s">
        <v>9</v>
      </c>
      <c r="J736" s="2" t="s">
        <v>11</v>
      </c>
      <c r="K736" s="2">
        <v>60</v>
      </c>
      <c r="L736" t="s">
        <v>12</v>
      </c>
      <c r="M736" t="s">
        <v>38</v>
      </c>
      <c r="N736" t="str">
        <f t="shared" ref="N736:N737" si="283">IF(K736="N/A","No", IF(K736&gt;1200,"Yes","No"))</f>
        <v>No</v>
      </c>
      <c r="O736" t="str">
        <f t="shared" ref="O736:O737" si="284">IF(K736="Not","No",IF(K736="n/a","N/A",IF(K736&gt;$Y$3,"Yes","No")))</f>
        <v>No</v>
      </c>
      <c r="Q736" s="2" t="s">
        <v>98</v>
      </c>
      <c r="R736" t="str">
        <f>IF(COUNTIFS(D735:D744,"mg/cm2",G735:G744,"Yes")&gt;=1, "Yes","No")</f>
        <v>Yes</v>
      </c>
      <c r="S736" t="str">
        <f>IF(COUNTIF(O738:O739,"Yes"),"Yes","No")</f>
        <v>No</v>
      </c>
      <c r="U736" t="s">
        <v>95</v>
      </c>
      <c r="V736" t="str">
        <f>R735</f>
        <v>No</v>
      </c>
      <c r="W736" t="str">
        <f>S735</f>
        <v>No</v>
      </c>
      <c r="X736" t="str">
        <f t="shared" ref="X736:X739" si="285">IF(V736="N/A","N/A",IF(W736="N/A", "N/A", IF(V736=W736, "Yes","No")))</f>
        <v>Yes</v>
      </c>
    </row>
    <row r="737" spans="1:32" x14ac:dyDescent="0.2">
      <c r="A737" t="s">
        <v>75</v>
      </c>
      <c r="B737" t="s">
        <v>301</v>
      </c>
      <c r="C737">
        <v>390</v>
      </c>
      <c r="D737" t="s">
        <v>12</v>
      </c>
      <c r="F737" s="2" t="str">
        <f t="shared" si="282"/>
        <v>No</v>
      </c>
      <c r="G737" t="s">
        <v>9</v>
      </c>
      <c r="J737" s="2" t="s">
        <v>15</v>
      </c>
      <c r="K737">
        <v>97</v>
      </c>
      <c r="L737" t="s">
        <v>12</v>
      </c>
      <c r="M737" t="s">
        <v>41</v>
      </c>
      <c r="N737" t="str">
        <f t="shared" si="283"/>
        <v>No</v>
      </c>
      <c r="O737" t="str">
        <f t="shared" si="284"/>
        <v>No</v>
      </c>
      <c r="Q737" s="2" t="s">
        <v>117</v>
      </c>
      <c r="R737" t="str">
        <f>_xlfn.XLOOKUP("ug/ft2",D735:D744,F735:F744,"N/A")</f>
        <v>No</v>
      </c>
      <c r="S737" t="str">
        <f>IF(COUNTIF(O740:O743,"Yes"),"Yes","No")</f>
        <v>Yes</v>
      </c>
      <c r="U737" t="s">
        <v>163</v>
      </c>
      <c r="V737" t="s">
        <v>5</v>
      </c>
      <c r="W737" t="s">
        <v>9</v>
      </c>
      <c r="X737" t="str">
        <f t="shared" si="285"/>
        <v>No</v>
      </c>
    </row>
    <row r="738" spans="1:32" x14ac:dyDescent="0.2">
      <c r="A738" t="s">
        <v>245</v>
      </c>
      <c r="B738" t="s">
        <v>10</v>
      </c>
      <c r="C738">
        <v>6</v>
      </c>
      <c r="D738" t="s">
        <v>4</v>
      </c>
      <c r="F738" s="2" t="str">
        <f t="shared" si="281"/>
        <v>Yes</v>
      </c>
      <c r="G738" t="s">
        <v>5</v>
      </c>
      <c r="H738" t="s">
        <v>43</v>
      </c>
      <c r="J738" s="2" t="s">
        <v>19</v>
      </c>
      <c r="K738">
        <v>282</v>
      </c>
      <c r="L738" t="s">
        <v>12</v>
      </c>
      <c r="M738" t="s">
        <v>444</v>
      </c>
      <c r="N738" t="str">
        <f>IF(K738="N/A","No", IF(K738&gt;5000,"Yes","No"))</f>
        <v>No</v>
      </c>
      <c r="O738" t="str">
        <f>IF(K738="Not","No",IF(K738="n/a","N/A",IF(K738&gt;$Y$2,"Yes","No")))</f>
        <v>No</v>
      </c>
      <c r="Q738" s="2" t="s">
        <v>118</v>
      </c>
      <c r="R738" t="str">
        <f>IF(COUNTIF(R735:R737,"Yes"),"Yes","No")</f>
        <v>Yes</v>
      </c>
      <c r="S738" t="str">
        <f>IF(COUNTIF(S735:S737,"Yes"),"Yes","No")</f>
        <v>Yes</v>
      </c>
      <c r="U738" t="s">
        <v>164</v>
      </c>
      <c r="V738" t="s">
        <v>9</v>
      </c>
      <c r="W738" t="s">
        <v>9</v>
      </c>
      <c r="X738" t="str">
        <f t="shared" si="285"/>
        <v>Yes</v>
      </c>
    </row>
    <row r="739" spans="1:32" x14ac:dyDescent="0.2">
      <c r="A739" t="s">
        <v>64</v>
      </c>
      <c r="B739" t="s">
        <v>10</v>
      </c>
      <c r="C739">
        <v>1.3</v>
      </c>
      <c r="D739" t="s">
        <v>4</v>
      </c>
      <c r="F739" s="2" t="str">
        <f t="shared" si="281"/>
        <v>Yes</v>
      </c>
      <c r="G739" t="s">
        <v>5</v>
      </c>
      <c r="H739" t="s">
        <v>43</v>
      </c>
      <c r="J739" s="2" t="s">
        <v>22</v>
      </c>
      <c r="K739">
        <v>2</v>
      </c>
      <c r="L739" t="s">
        <v>12</v>
      </c>
      <c r="M739" t="s">
        <v>36</v>
      </c>
      <c r="N739" t="str">
        <f>IF(K739="N/A","No", IF(K739&gt;5000,"Yes","No"))</f>
        <v>No</v>
      </c>
      <c r="O739" t="str">
        <f>IF(K739="Not","No",IF(K739="n/a","N/A",IF(K739&gt;$Y$2,"Yes","No")))</f>
        <v>No</v>
      </c>
      <c r="U739" t="s">
        <v>162</v>
      </c>
      <c r="V739" t="str">
        <f>R736</f>
        <v>Yes</v>
      </c>
      <c r="W739" t="str">
        <f>S736</f>
        <v>No</v>
      </c>
      <c r="X739" t="str">
        <f t="shared" si="285"/>
        <v>No</v>
      </c>
    </row>
    <row r="740" spans="1:32" x14ac:dyDescent="0.2">
      <c r="A740" t="s">
        <v>64</v>
      </c>
      <c r="B740" t="s">
        <v>10</v>
      </c>
      <c r="C740">
        <v>1.8</v>
      </c>
      <c r="D740" t="s">
        <v>4</v>
      </c>
      <c r="F740" s="2" t="str">
        <f t="shared" si="281"/>
        <v>Yes</v>
      </c>
      <c r="G740" t="s">
        <v>5</v>
      </c>
      <c r="H740" t="s">
        <v>43</v>
      </c>
      <c r="J740" s="2" t="s">
        <v>25</v>
      </c>
      <c r="K740">
        <v>7</v>
      </c>
      <c r="L740" t="s">
        <v>12</v>
      </c>
      <c r="M740" t="s">
        <v>48</v>
      </c>
      <c r="N740" t="str">
        <f>IF(K740="N/A","No", IF(K740&gt;=20,"Yes","No"))</f>
        <v>No</v>
      </c>
      <c r="O740" t="str">
        <f>IF(K740="Not","No",IF(K740="n/a","N/A",IF(K740&gt;=$Y$5,"Yes","No")))</f>
        <v>No</v>
      </c>
      <c r="U740" t="s">
        <v>101</v>
      </c>
      <c r="V740" t="s">
        <v>9</v>
      </c>
      <c r="W740" t="s">
        <v>5</v>
      </c>
      <c r="X740" t="str">
        <f>IF(V740="N/A","N/A",IF(W740="N/A", "N/A", IF(V740=W740, "Yes","No")))</f>
        <v>No</v>
      </c>
    </row>
    <row r="741" spans="1:32" x14ac:dyDescent="0.2">
      <c r="A741" t="s">
        <v>64</v>
      </c>
      <c r="B741" t="s">
        <v>40</v>
      </c>
      <c r="C741">
        <v>1.9</v>
      </c>
      <c r="D741" t="s">
        <v>4</v>
      </c>
      <c r="F741" s="2" t="str">
        <f t="shared" si="281"/>
        <v>Yes</v>
      </c>
      <c r="G741" t="s">
        <v>5</v>
      </c>
      <c r="H741" t="s">
        <v>43</v>
      </c>
      <c r="J741" s="2" t="s">
        <v>29</v>
      </c>
      <c r="K741">
        <v>0</v>
      </c>
      <c r="L741" t="s">
        <v>12</v>
      </c>
      <c r="M741" t="s">
        <v>72</v>
      </c>
      <c r="N741" t="str">
        <f>IF(K741="N/A","No", IF(K741&gt;20,"Yes","No"))</f>
        <v>No</v>
      </c>
      <c r="O741" t="str">
        <f t="shared" ref="O741" si="286">IF(K741="Not","No",IF(K741="n/a","N/A",IF(K741&gt;$Y$6,"Yes","No")))</f>
        <v>No</v>
      </c>
      <c r="U741" t="s">
        <v>104</v>
      </c>
      <c r="V741" t="s">
        <v>9</v>
      </c>
      <c r="W741" t="s">
        <v>9</v>
      </c>
      <c r="X741" t="str">
        <f>IF(V741="N/A","N/A",IF(W741="N/A", "N/A", IF(V741=W741, "Yes","No")))</f>
        <v>Yes</v>
      </c>
    </row>
    <row r="742" spans="1:32" x14ac:dyDescent="0.2">
      <c r="A742" t="s">
        <v>64</v>
      </c>
      <c r="B742" t="s">
        <v>40</v>
      </c>
      <c r="C742">
        <v>3.2</v>
      </c>
      <c r="D742" t="s">
        <v>4</v>
      </c>
      <c r="F742" s="2" t="str">
        <f t="shared" si="281"/>
        <v>Yes</v>
      </c>
      <c r="G742" t="s">
        <v>5</v>
      </c>
      <c r="H742" t="s">
        <v>43</v>
      </c>
      <c r="J742" s="2" t="s">
        <v>34</v>
      </c>
      <c r="K742">
        <v>125</v>
      </c>
      <c r="L742" t="s">
        <v>12</v>
      </c>
      <c r="M742" t="s">
        <v>451</v>
      </c>
      <c r="N742" t="str">
        <f>IF(K742="N/A","No", IF(K742&gt;230,"Yes","No"))</f>
        <v>No</v>
      </c>
      <c r="O742" t="str">
        <f>IF(K742="Not","No",IF(K742="n/a","N/A",IF(K742&gt;$Y$6,"Yes","No")))</f>
        <v>Yes</v>
      </c>
      <c r="U742" t="s">
        <v>106</v>
      </c>
      <c r="V742" t="str">
        <f>R737</f>
        <v>No</v>
      </c>
      <c r="W742" t="str">
        <f>S737</f>
        <v>Yes</v>
      </c>
      <c r="X742" t="str">
        <f>IF(V742="N/A","N/A",IF(W742="N/A", "N/A", IF(V742=W742, "Yes","No")))</f>
        <v>No</v>
      </c>
    </row>
    <row r="743" spans="1:32" x14ac:dyDescent="0.2">
      <c r="A743" t="s">
        <v>71</v>
      </c>
      <c r="B743" t="s">
        <v>32</v>
      </c>
      <c r="C743">
        <v>4.7</v>
      </c>
      <c r="D743" t="s">
        <v>33</v>
      </c>
      <c r="F743" s="2" t="str">
        <f>IF(C743&gt;$W$6,"Yes","No")</f>
        <v>No</v>
      </c>
      <c r="G743" t="s">
        <v>9</v>
      </c>
      <c r="J743" s="2"/>
      <c r="U743" t="s">
        <v>121</v>
      </c>
      <c r="V743" t="str">
        <f>R738</f>
        <v>Yes</v>
      </c>
      <c r="W743" t="str">
        <f>S738</f>
        <v>Yes</v>
      </c>
      <c r="X743" t="str">
        <f>IF(V743="N/A","N/A",IF(W743="N/A", "N/A", IF(V743=W743, "Yes","No")))</f>
        <v>Yes</v>
      </c>
    </row>
    <row r="744" spans="1:32" x14ac:dyDescent="0.2">
      <c r="A744" t="s">
        <v>158</v>
      </c>
      <c r="B744" t="s">
        <v>54</v>
      </c>
      <c r="C744">
        <v>18</v>
      </c>
      <c r="D744" t="s">
        <v>33</v>
      </c>
      <c r="F744" s="2" t="str">
        <f>IF(C744&gt;$W$5,"Yes","No")</f>
        <v>No</v>
      </c>
      <c r="G744" t="s">
        <v>9</v>
      </c>
    </row>
    <row r="747" spans="1:32" x14ac:dyDescent="0.2">
      <c r="A747" s="1">
        <f>VLOOKUP(C747,'Grid - LRA Samples'!$A$2:$B$108, 2,FALSE)</f>
        <v>1532</v>
      </c>
      <c r="B747" t="s">
        <v>319</v>
      </c>
      <c r="C747">
        <v>106</v>
      </c>
    </row>
    <row r="748" spans="1:32" x14ac:dyDescent="0.2">
      <c r="A748" s="5" t="s">
        <v>0</v>
      </c>
      <c r="E748" s="2" t="s">
        <v>274</v>
      </c>
      <c r="F748" s="2" t="s">
        <v>275</v>
      </c>
      <c r="G748" t="s">
        <v>119</v>
      </c>
      <c r="J748" s="5" t="s">
        <v>1</v>
      </c>
      <c r="N748" s="2" t="s">
        <v>277</v>
      </c>
      <c r="O748" t="s">
        <v>278</v>
      </c>
      <c r="Q748" s="5" t="s">
        <v>115</v>
      </c>
      <c r="R748" s="5" t="s">
        <v>0</v>
      </c>
      <c r="S748" s="5" t="s">
        <v>1</v>
      </c>
      <c r="U748" s="5" t="s">
        <v>115</v>
      </c>
      <c r="V748" s="5" t="s">
        <v>0</v>
      </c>
      <c r="W748" s="5" t="s">
        <v>1</v>
      </c>
      <c r="X748" s="5" t="s">
        <v>122</v>
      </c>
      <c r="AA748" t="str">
        <f>IF(R749="Yes","LRA-Soil","")</f>
        <v/>
      </c>
      <c r="AB748" t="str">
        <f>IF(R750="Yes","LRA-Paint","")</f>
        <v>LRA-Paint</v>
      </c>
      <c r="AC748" t="str">
        <f>IF(R751="Yes","LRA-Dust","")</f>
        <v/>
      </c>
      <c r="AD748" t="str">
        <f>IF(S749="Yes","LSK-Soil","")</f>
        <v/>
      </c>
      <c r="AE748" t="str">
        <f>IF(S750="Yes","LSK-Paint","")</f>
        <v>LSK-Paint</v>
      </c>
      <c r="AF748" t="str">
        <f>IF(S751="Yes","LSK-Dust","")</f>
        <v>LSK-Dust</v>
      </c>
    </row>
    <row r="749" spans="1:32" x14ac:dyDescent="0.2">
      <c r="A749" t="s">
        <v>62</v>
      </c>
      <c r="B749" t="s">
        <v>10</v>
      </c>
      <c r="C749">
        <v>7.7</v>
      </c>
      <c r="D749" t="s">
        <v>4</v>
      </c>
      <c r="F749" s="2" t="str">
        <f t="shared" ref="F749:F758" si="287">IF(C749&gt;=$W$2,"Yes","No")</f>
        <v>Yes</v>
      </c>
      <c r="G749" t="s">
        <v>5</v>
      </c>
      <c r="H749" t="s">
        <v>46</v>
      </c>
      <c r="J749" s="2" t="s">
        <v>6</v>
      </c>
      <c r="K749" t="s">
        <v>120</v>
      </c>
      <c r="L749" t="s">
        <v>12</v>
      </c>
      <c r="M749" t="s">
        <v>66</v>
      </c>
      <c r="N749" t="str">
        <f>IF(K749="N/A","No", IF(K749&gt;1200,"Yes","No"))</f>
        <v>No</v>
      </c>
      <c r="O749" t="str">
        <f>IF(K749="Not","No",IF(K749="n/a","N/A",IF(K749&gt;=$Y$3,"Yes","No")))</f>
        <v>N/A</v>
      </c>
      <c r="Q749" s="2" t="s">
        <v>116</v>
      </c>
      <c r="R749" t="str">
        <f>_xlfn.XLOOKUP("ppm",D749:D758,F749:F758,"N/A")</f>
        <v>N/A</v>
      </c>
      <c r="S749" t="s">
        <v>120</v>
      </c>
      <c r="U749" t="s">
        <v>92</v>
      </c>
      <c r="V749" t="s">
        <v>120</v>
      </c>
      <c r="W749" t="s">
        <v>120</v>
      </c>
      <c r="X749" t="str">
        <f>IF(V749="N/A","N/A",IF(W749="N/A", "N/A", IF(V749=W749, "Yes","No")))</f>
        <v>N/A</v>
      </c>
    </row>
    <row r="750" spans="1:32" x14ac:dyDescent="0.2">
      <c r="A750" t="s">
        <v>62</v>
      </c>
      <c r="B750" t="s">
        <v>77</v>
      </c>
      <c r="C750">
        <v>9</v>
      </c>
      <c r="D750" t="s">
        <v>4</v>
      </c>
      <c r="F750" s="2" t="str">
        <f t="shared" si="287"/>
        <v>Yes</v>
      </c>
      <c r="G750" s="2" t="s">
        <v>5</v>
      </c>
      <c r="H750" t="s">
        <v>46</v>
      </c>
      <c r="J750" s="2" t="s">
        <v>11</v>
      </c>
      <c r="K750" s="2" t="s">
        <v>120</v>
      </c>
      <c r="L750" t="s">
        <v>12</v>
      </c>
      <c r="M750" t="s">
        <v>66</v>
      </c>
      <c r="N750" t="str">
        <f t="shared" ref="N750:N751" si="288">IF(K750="N/A","No", IF(K750&gt;1200,"Yes","No"))</f>
        <v>No</v>
      </c>
      <c r="O750" t="str">
        <f t="shared" ref="O750:O751" si="289">IF(K750="Not","No",IF(K750="n/a","N/A",IF(K750&gt;$Y$3,"Yes","No")))</f>
        <v>N/A</v>
      </c>
      <c r="Q750" s="2" t="s">
        <v>98</v>
      </c>
      <c r="R750" t="str">
        <f>IF(COUNTIFS(D749:D760,"mg/cm2",G749:G760,"Yes")&gt;=1, "Yes","No")</f>
        <v>Yes</v>
      </c>
      <c r="S750" t="str">
        <f>IF(COUNTIF(O752:O753,"Yes"),"Yes","No")</f>
        <v>Yes</v>
      </c>
      <c r="U750" t="s">
        <v>95</v>
      </c>
      <c r="V750" t="str">
        <f>R749</f>
        <v>N/A</v>
      </c>
      <c r="W750" t="s">
        <v>120</v>
      </c>
      <c r="X750" t="str">
        <f t="shared" ref="X750:X753" si="290">IF(V750="N/A","N/A",IF(W750="N/A", "N/A", IF(V750=W750, "Yes","No")))</f>
        <v>N/A</v>
      </c>
    </row>
    <row r="751" spans="1:32" x14ac:dyDescent="0.2">
      <c r="A751" t="s">
        <v>62</v>
      </c>
      <c r="B751" t="s">
        <v>18</v>
      </c>
      <c r="C751">
        <v>3.9</v>
      </c>
      <c r="D751" t="s">
        <v>4</v>
      </c>
      <c r="F751" s="2" t="str">
        <f t="shared" si="287"/>
        <v>Yes</v>
      </c>
      <c r="G751" t="s">
        <v>5</v>
      </c>
      <c r="H751" t="s">
        <v>46</v>
      </c>
      <c r="J751" s="2" t="s">
        <v>15</v>
      </c>
      <c r="K751" t="s">
        <v>120</v>
      </c>
      <c r="L751" t="s">
        <v>12</v>
      </c>
      <c r="M751" t="s">
        <v>66</v>
      </c>
      <c r="N751" t="str">
        <f t="shared" si="288"/>
        <v>No</v>
      </c>
      <c r="O751" t="str">
        <f t="shared" si="289"/>
        <v>N/A</v>
      </c>
      <c r="Q751" s="2" t="s">
        <v>117</v>
      </c>
      <c r="R751" t="str">
        <f>_xlfn.XLOOKUP("ug/ft2",D749:D760,F749:F760,"N/A")</f>
        <v>No</v>
      </c>
      <c r="S751" t="str">
        <f>IF(COUNTIF(O754:O757,"Yes"),"Yes","No")</f>
        <v>Yes</v>
      </c>
      <c r="U751" t="s">
        <v>163</v>
      </c>
      <c r="V751" t="s">
        <v>5</v>
      </c>
      <c r="W751" t="s">
        <v>9</v>
      </c>
      <c r="X751" t="str">
        <f t="shared" si="290"/>
        <v>No</v>
      </c>
    </row>
    <row r="752" spans="1:32" x14ac:dyDescent="0.2">
      <c r="A752" t="s">
        <v>62</v>
      </c>
      <c r="B752" t="s">
        <v>24</v>
      </c>
      <c r="C752">
        <v>1.6</v>
      </c>
      <c r="D752" t="s">
        <v>4</v>
      </c>
      <c r="F752" s="2" t="str">
        <f t="shared" si="287"/>
        <v>Yes</v>
      </c>
      <c r="G752" t="s">
        <v>5</v>
      </c>
      <c r="H752" t="s">
        <v>46</v>
      </c>
      <c r="J752" s="2" t="s">
        <v>19</v>
      </c>
      <c r="K752">
        <v>4031</v>
      </c>
      <c r="L752" t="s">
        <v>12</v>
      </c>
      <c r="M752" t="s">
        <v>444</v>
      </c>
      <c r="N752" t="str">
        <f>IF(K752="N/A","No", IF(K752&gt;5000,"Yes","No"))</f>
        <v>No</v>
      </c>
      <c r="O752" t="str">
        <f>IF(K752="Not","No",IF(K752="n/a","N/A",IF(K752&gt;$Y$2,"Yes","No")))</f>
        <v>No</v>
      </c>
      <c r="Q752" s="2" t="s">
        <v>118</v>
      </c>
      <c r="R752" t="str">
        <f>IF(COUNTIF(R749:R751,"Yes"),"Yes","No")</f>
        <v>Yes</v>
      </c>
      <c r="S752" t="str">
        <f>IF(COUNTIF(S749:S751,"Yes"),"Yes","No")</f>
        <v>Yes</v>
      </c>
      <c r="U752" t="s">
        <v>164</v>
      </c>
      <c r="V752" t="s">
        <v>5</v>
      </c>
      <c r="W752" t="s">
        <v>5</v>
      </c>
      <c r="X752" t="str">
        <f t="shared" si="290"/>
        <v>Yes</v>
      </c>
    </row>
    <row r="753" spans="1:24" x14ac:dyDescent="0.2">
      <c r="A753" t="s">
        <v>62</v>
      </c>
      <c r="B753" t="s">
        <v>24</v>
      </c>
      <c r="C753">
        <v>8.5</v>
      </c>
      <c r="D753" t="s">
        <v>4</v>
      </c>
      <c r="F753" s="2" t="str">
        <f t="shared" si="287"/>
        <v>Yes</v>
      </c>
      <c r="G753" t="s">
        <v>5</v>
      </c>
      <c r="H753" t="s">
        <v>46</v>
      </c>
      <c r="J753" s="2" t="s">
        <v>22</v>
      </c>
      <c r="K753">
        <v>65600</v>
      </c>
      <c r="L753" t="s">
        <v>12</v>
      </c>
      <c r="M753" t="s">
        <v>402</v>
      </c>
      <c r="N753" t="str">
        <f>IF(K753="N/A","No", IF(K753&gt;5000,"Yes","No"))</f>
        <v>Yes</v>
      </c>
      <c r="O753" t="str">
        <f>IF(K753="Not","No",IF(K753="n/a","N/A",IF(K753&gt;$Y$2,"Yes","No")))</f>
        <v>Yes</v>
      </c>
      <c r="U753" t="s">
        <v>162</v>
      </c>
      <c r="V753" t="str">
        <f>R750</f>
        <v>Yes</v>
      </c>
      <c r="W753" t="str">
        <f>S750</f>
        <v>Yes</v>
      </c>
      <c r="X753" t="str">
        <f t="shared" si="290"/>
        <v>Yes</v>
      </c>
    </row>
    <row r="754" spans="1:24" x14ac:dyDescent="0.2">
      <c r="A754" t="s">
        <v>62</v>
      </c>
      <c r="B754" t="s">
        <v>24</v>
      </c>
      <c r="C754">
        <v>10.3</v>
      </c>
      <c r="D754" t="s">
        <v>4</v>
      </c>
      <c r="F754" s="2" t="str">
        <f t="shared" si="287"/>
        <v>Yes</v>
      </c>
      <c r="G754" t="s">
        <v>5</v>
      </c>
      <c r="H754" t="s">
        <v>46</v>
      </c>
      <c r="J754" s="2" t="s">
        <v>25</v>
      </c>
      <c r="K754">
        <v>9</v>
      </c>
      <c r="L754" t="s">
        <v>12</v>
      </c>
      <c r="M754" t="s">
        <v>59</v>
      </c>
      <c r="N754" t="str">
        <f>IF(K754="N/A","No", IF(K754&gt;=20,"Yes","No"))</f>
        <v>No</v>
      </c>
      <c r="O754" t="str">
        <f>IF(K754="Not","No",IF(K754="n/a","N/A",IF(K754&gt;=$Y$5,"Yes","No")))</f>
        <v>No</v>
      </c>
      <c r="U754" t="s">
        <v>101</v>
      </c>
      <c r="V754" t="s">
        <v>9</v>
      </c>
      <c r="W754" t="s">
        <v>5</v>
      </c>
      <c r="X754" t="str">
        <f>IF(V754="N/A","N/A",IF(W754="N/A", "N/A", IF(V754=W754, "Yes","No")))</f>
        <v>No</v>
      </c>
    </row>
    <row r="755" spans="1:24" x14ac:dyDescent="0.2">
      <c r="A755" t="s">
        <v>245</v>
      </c>
      <c r="B755" t="s">
        <v>64</v>
      </c>
      <c r="C755">
        <v>2</v>
      </c>
      <c r="D755" t="s">
        <v>4</v>
      </c>
      <c r="F755" s="2" t="str">
        <f t="shared" si="287"/>
        <v>Yes</v>
      </c>
      <c r="G755" t="s">
        <v>5</v>
      </c>
      <c r="H755" t="s">
        <v>43</v>
      </c>
      <c r="J755" s="2" t="s">
        <v>29</v>
      </c>
      <c r="K755">
        <v>0</v>
      </c>
      <c r="L755" t="s">
        <v>12</v>
      </c>
      <c r="M755" t="s">
        <v>72</v>
      </c>
      <c r="N755" t="str">
        <f>IF(K755="N/A","No", IF(K755&gt;20,"Yes","No"))</f>
        <v>No</v>
      </c>
      <c r="O755" t="str">
        <f t="shared" ref="O755" si="291">IF(K755="Not","No",IF(K755="n/a","N/A",IF(K755&gt;$Y$6,"Yes","No")))</f>
        <v>No</v>
      </c>
      <c r="U755" t="s">
        <v>104</v>
      </c>
      <c r="V755" t="s">
        <v>9</v>
      </c>
      <c r="W755" t="s">
        <v>9</v>
      </c>
      <c r="X755" t="str">
        <f>IF(V755="N/A","N/A",IF(W755="N/A", "N/A", IF(V755=W755, "Yes","No")))</f>
        <v>Yes</v>
      </c>
    </row>
    <row r="756" spans="1:24" x14ac:dyDescent="0.2">
      <c r="A756" t="s">
        <v>113</v>
      </c>
      <c r="B756" t="s">
        <v>40</v>
      </c>
      <c r="C756">
        <v>5.7</v>
      </c>
      <c r="D756" t="s">
        <v>4</v>
      </c>
      <c r="F756" s="2" t="str">
        <f t="shared" si="287"/>
        <v>Yes</v>
      </c>
      <c r="G756" t="s">
        <v>5</v>
      </c>
      <c r="H756" t="s">
        <v>43</v>
      </c>
      <c r="J756" s="2" t="s">
        <v>34</v>
      </c>
      <c r="K756">
        <v>371</v>
      </c>
      <c r="L756" t="s">
        <v>12</v>
      </c>
      <c r="M756" t="s">
        <v>74</v>
      </c>
      <c r="N756" t="str">
        <f>IF(K756="N/A","No", IF(K756&gt;230,"Yes","No"))</f>
        <v>Yes</v>
      </c>
      <c r="O756" t="str">
        <f>IF(K756="Not","No",IF(K756="n/a","N/A",IF(K756&gt;$Y$6,"Yes","No")))</f>
        <v>Yes</v>
      </c>
      <c r="U756" t="s">
        <v>106</v>
      </c>
      <c r="V756" t="str">
        <f>R751</f>
        <v>No</v>
      </c>
      <c r="W756" t="str">
        <f>S751</f>
        <v>Yes</v>
      </c>
      <c r="X756" t="str">
        <f>IF(V756="N/A","N/A",IF(W756="N/A", "N/A", IF(V756=W756, "Yes","No")))</f>
        <v>No</v>
      </c>
    </row>
    <row r="757" spans="1:24" x14ac:dyDescent="0.2">
      <c r="A757" t="s">
        <v>71</v>
      </c>
      <c r="B757" t="s">
        <v>10</v>
      </c>
      <c r="C757">
        <v>5.0999999999999996</v>
      </c>
      <c r="D757" t="s">
        <v>4</v>
      </c>
      <c r="F757" s="2" t="str">
        <f t="shared" si="287"/>
        <v>Yes</v>
      </c>
      <c r="G757" t="s">
        <v>5</v>
      </c>
      <c r="H757" t="s">
        <v>43</v>
      </c>
      <c r="J757" s="2"/>
      <c r="U757" t="s">
        <v>121</v>
      </c>
      <c r="V757" t="str">
        <f>R752</f>
        <v>Yes</v>
      </c>
      <c r="W757" t="str">
        <f>S752</f>
        <v>Yes</v>
      </c>
      <c r="X757" t="str">
        <f>IF(V757="N/A","N/A",IF(W757="N/A", "N/A", IF(V757=W757, "Yes","No")))</f>
        <v>Yes</v>
      </c>
    </row>
    <row r="758" spans="1:24" x14ac:dyDescent="0.2">
      <c r="A758" t="s">
        <v>70</v>
      </c>
      <c r="B758" t="s">
        <v>40</v>
      </c>
      <c r="C758">
        <v>4.2</v>
      </c>
      <c r="D758" t="s">
        <v>4</v>
      </c>
      <c r="F758" s="2" t="str">
        <f t="shared" si="287"/>
        <v>Yes</v>
      </c>
      <c r="G758" t="s">
        <v>5</v>
      </c>
      <c r="H758" t="s">
        <v>43</v>
      </c>
    </row>
    <row r="759" spans="1:24" x14ac:dyDescent="0.2">
      <c r="A759" t="s">
        <v>109</v>
      </c>
      <c r="B759" t="s">
        <v>32</v>
      </c>
      <c r="C759">
        <v>3</v>
      </c>
      <c r="D759" t="s">
        <v>33</v>
      </c>
      <c r="F759" s="2" t="str">
        <f>IF(C759&gt;$W$6,"Yes","No")</f>
        <v>No</v>
      </c>
      <c r="G759" t="s">
        <v>9</v>
      </c>
    </row>
    <row r="760" spans="1:24" x14ac:dyDescent="0.2">
      <c r="A760" t="s">
        <v>109</v>
      </c>
      <c r="B760" t="s">
        <v>54</v>
      </c>
      <c r="C760">
        <v>18</v>
      </c>
      <c r="D760" t="s">
        <v>33</v>
      </c>
      <c r="F760" s="2" t="str">
        <f>IF(C760&gt;$W$5,"Yes","No")</f>
        <v>No</v>
      </c>
      <c r="G760" t="s">
        <v>9</v>
      </c>
    </row>
    <row r="763" spans="1:24" x14ac:dyDescent="0.2">
      <c r="F763" s="2"/>
    </row>
    <row r="764" spans="1:24" x14ac:dyDescent="0.2">
      <c r="F764" s="2"/>
    </row>
  </sheetData>
  <mergeCells count="2">
    <mergeCell ref="B2:D2"/>
    <mergeCell ref="H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B77E-647B-2E48-A60F-3ECC232DB4B2}">
  <sheetPr codeName="Sheet7"/>
  <dimension ref="A1:BB1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22" sqref="B122"/>
    </sheetView>
  </sheetViews>
  <sheetFormatPr baseColWidth="10" defaultRowHeight="16" x14ac:dyDescent="0.2"/>
  <cols>
    <col min="2" max="2" width="14.6640625" bestFit="1" customWidth="1"/>
    <col min="3" max="3" width="13.83203125" customWidth="1"/>
  </cols>
  <sheetData>
    <row r="1" spans="1:54" x14ac:dyDescent="0.2">
      <c r="A1" t="s">
        <v>285</v>
      </c>
      <c r="B1" t="s">
        <v>484</v>
      </c>
      <c r="C1" t="s">
        <v>457</v>
      </c>
      <c r="E1" t="s">
        <v>114</v>
      </c>
      <c r="F1" t="s">
        <v>67</v>
      </c>
      <c r="G1" t="s">
        <v>112</v>
      </c>
      <c r="H1" t="s">
        <v>46</v>
      </c>
      <c r="I1" t="s">
        <v>43</v>
      </c>
      <c r="J1" t="s">
        <v>126</v>
      </c>
      <c r="K1" t="s">
        <v>222</v>
      </c>
      <c r="L1" t="s">
        <v>210</v>
      </c>
      <c r="M1" t="s">
        <v>223</v>
      </c>
      <c r="P1" t="s">
        <v>452</v>
      </c>
      <c r="R1" t="s">
        <v>452</v>
      </c>
      <c r="T1" t="s">
        <v>453</v>
      </c>
      <c r="V1" t="s">
        <v>454</v>
      </c>
      <c r="X1" t="s">
        <v>454</v>
      </c>
    </row>
    <row r="2" spans="1:54" x14ac:dyDescent="0.2">
      <c r="A2">
        <v>8</v>
      </c>
      <c r="B2">
        <f>VLOOKUP(A2,'Grid - LRA Samples'!$A$2:$B$108,2,FALSE)</f>
        <v>391</v>
      </c>
      <c r="C2" s="26" t="s">
        <v>458</v>
      </c>
      <c r="E2" s="2">
        <v>46</v>
      </c>
      <c r="F2" s="2">
        <v>50.3</v>
      </c>
      <c r="G2" s="2">
        <v>79</v>
      </c>
      <c r="H2" s="2">
        <v>0</v>
      </c>
      <c r="I2" s="2">
        <v>18</v>
      </c>
      <c r="BA2">
        <v>1</v>
      </c>
      <c r="BB2">
        <v>2</v>
      </c>
    </row>
    <row r="3" spans="1:54" x14ac:dyDescent="0.2">
      <c r="A3">
        <v>15</v>
      </c>
      <c r="B3">
        <f>VLOOKUP(A3,'Grid - LRA Samples'!$A$2:$B$108,2,FALSE)</f>
        <v>468</v>
      </c>
      <c r="C3" s="26" t="s">
        <v>458</v>
      </c>
      <c r="E3">
        <v>17</v>
      </c>
      <c r="F3">
        <v>22</v>
      </c>
      <c r="G3">
        <v>29</v>
      </c>
      <c r="H3">
        <v>19</v>
      </c>
      <c r="I3">
        <v>2.5</v>
      </c>
      <c r="J3">
        <v>2.5</v>
      </c>
      <c r="K3">
        <v>2.5</v>
      </c>
      <c r="L3">
        <v>2.5</v>
      </c>
      <c r="M3">
        <v>9.6999999999999993</v>
      </c>
      <c r="BA3">
        <v>1</v>
      </c>
      <c r="BB3">
        <v>2</v>
      </c>
    </row>
    <row r="4" spans="1:54" x14ac:dyDescent="0.2">
      <c r="A4">
        <v>16</v>
      </c>
      <c r="B4">
        <f>VLOOKUP(A4,'Grid - LRA Samples'!$A$2:$B$108,2,FALSE)</f>
        <v>469</v>
      </c>
      <c r="C4" s="26" t="s">
        <v>458</v>
      </c>
      <c r="E4">
        <v>65</v>
      </c>
      <c r="F4">
        <v>66.599999999999994</v>
      </c>
      <c r="G4">
        <v>364</v>
      </c>
      <c r="H4">
        <v>2.5</v>
      </c>
      <c r="I4">
        <v>34923</v>
      </c>
      <c r="J4">
        <v>2.5</v>
      </c>
      <c r="K4">
        <v>2.5</v>
      </c>
      <c r="L4">
        <v>2.5</v>
      </c>
      <c r="M4">
        <v>143</v>
      </c>
      <c r="BA4">
        <v>1</v>
      </c>
      <c r="BB4">
        <v>2</v>
      </c>
    </row>
    <row r="5" spans="1:54" x14ac:dyDescent="0.2">
      <c r="A5">
        <v>17</v>
      </c>
      <c r="B5">
        <f>VLOOKUP(A5,'Grid - LRA Samples'!$A$2:$B$108,2,FALSE)</f>
        <v>591</v>
      </c>
      <c r="C5" s="26" t="s">
        <v>458</v>
      </c>
      <c r="E5">
        <v>67</v>
      </c>
      <c r="F5">
        <v>497</v>
      </c>
      <c r="G5">
        <v>1435</v>
      </c>
      <c r="H5">
        <v>37914</v>
      </c>
      <c r="I5">
        <v>3157</v>
      </c>
      <c r="J5">
        <v>17</v>
      </c>
      <c r="K5">
        <v>2.5</v>
      </c>
      <c r="L5">
        <v>14</v>
      </c>
      <c r="M5">
        <v>483</v>
      </c>
      <c r="BA5">
        <v>1</v>
      </c>
      <c r="BB5">
        <v>2</v>
      </c>
    </row>
    <row r="6" spans="1:54" x14ac:dyDescent="0.2">
      <c r="A6">
        <v>18</v>
      </c>
      <c r="B6">
        <f>VLOOKUP(A6,'Grid - LRA Samples'!$A$2:$B$108,2,FALSE)</f>
        <v>592</v>
      </c>
      <c r="C6" s="26" t="s">
        <v>458</v>
      </c>
      <c r="E6">
        <v>191</v>
      </c>
      <c r="F6">
        <v>67.5</v>
      </c>
      <c r="G6">
        <v>96</v>
      </c>
      <c r="H6">
        <v>6445</v>
      </c>
      <c r="I6">
        <v>4327</v>
      </c>
      <c r="J6">
        <v>2.5</v>
      </c>
      <c r="K6">
        <v>4</v>
      </c>
      <c r="L6">
        <v>2.5</v>
      </c>
      <c r="M6">
        <v>17.3</v>
      </c>
      <c r="BA6">
        <v>1</v>
      </c>
      <c r="BB6">
        <v>2</v>
      </c>
    </row>
    <row r="7" spans="1:54" x14ac:dyDescent="0.2">
      <c r="A7">
        <v>19</v>
      </c>
      <c r="B7">
        <f>VLOOKUP(A7,'Grid - LRA Samples'!$A$2:$B$108,2,FALSE)</f>
        <v>618</v>
      </c>
      <c r="C7" s="26" t="s">
        <v>458</v>
      </c>
      <c r="E7">
        <v>146</v>
      </c>
      <c r="F7">
        <v>2174</v>
      </c>
      <c r="G7">
        <v>1323</v>
      </c>
      <c r="H7">
        <v>20569</v>
      </c>
      <c r="I7">
        <v>309</v>
      </c>
      <c r="J7">
        <v>32</v>
      </c>
      <c r="K7">
        <v>22</v>
      </c>
      <c r="L7">
        <v>2.5</v>
      </c>
      <c r="M7">
        <v>945</v>
      </c>
      <c r="BA7">
        <v>1</v>
      </c>
      <c r="BB7">
        <v>2</v>
      </c>
    </row>
    <row r="8" spans="1:54" x14ac:dyDescent="0.2">
      <c r="A8">
        <v>20</v>
      </c>
      <c r="B8">
        <f>VLOOKUP(A8,'Grid - LRA Samples'!$A$2:$B$108,2,FALSE)</f>
        <v>742</v>
      </c>
      <c r="C8" s="26" t="s">
        <v>458</v>
      </c>
      <c r="E8">
        <v>55</v>
      </c>
      <c r="F8">
        <v>39.9</v>
      </c>
      <c r="G8">
        <v>90.9</v>
      </c>
      <c r="I8">
        <v>2.5</v>
      </c>
      <c r="J8">
        <v>2.5</v>
      </c>
      <c r="K8">
        <v>2.5</v>
      </c>
      <c r="L8">
        <v>2.5</v>
      </c>
      <c r="M8">
        <v>10.1</v>
      </c>
      <c r="BA8">
        <v>1</v>
      </c>
      <c r="BB8">
        <v>2</v>
      </c>
    </row>
    <row r="9" spans="1:54" x14ac:dyDescent="0.2">
      <c r="A9">
        <v>21</v>
      </c>
      <c r="B9">
        <f>VLOOKUP(A9,'Grid - LRA Samples'!$A$2:$B$108,2,FALSE)</f>
        <v>745</v>
      </c>
      <c r="C9" s="26" t="s">
        <v>458</v>
      </c>
      <c r="E9">
        <v>41</v>
      </c>
      <c r="F9">
        <v>156</v>
      </c>
      <c r="G9">
        <v>54.1</v>
      </c>
      <c r="H9">
        <v>322</v>
      </c>
      <c r="I9">
        <v>2.5</v>
      </c>
      <c r="J9">
        <v>5</v>
      </c>
      <c r="K9">
        <v>5</v>
      </c>
      <c r="L9">
        <v>7</v>
      </c>
      <c r="M9">
        <v>352</v>
      </c>
      <c r="BA9">
        <v>1</v>
      </c>
      <c r="BB9">
        <v>2</v>
      </c>
    </row>
    <row r="10" spans="1:54" x14ac:dyDescent="0.2">
      <c r="A10">
        <v>22</v>
      </c>
      <c r="B10">
        <f>VLOOKUP(A10,'Grid - LRA Samples'!$A$2:$B$108,2,FALSE)</f>
        <v>749</v>
      </c>
      <c r="C10" s="26" t="s">
        <v>458</v>
      </c>
      <c r="E10">
        <v>7.2</v>
      </c>
      <c r="F10">
        <v>49.7</v>
      </c>
      <c r="G10">
        <v>37.5</v>
      </c>
      <c r="H10">
        <v>11</v>
      </c>
      <c r="I10">
        <v>12</v>
      </c>
      <c r="J10">
        <v>2.5</v>
      </c>
      <c r="K10">
        <v>11</v>
      </c>
      <c r="L10">
        <v>7</v>
      </c>
      <c r="M10">
        <v>38.9</v>
      </c>
      <c r="BA10">
        <v>1</v>
      </c>
      <c r="BB10">
        <v>2</v>
      </c>
    </row>
    <row r="11" spans="1:54" x14ac:dyDescent="0.2">
      <c r="A11">
        <v>23</v>
      </c>
      <c r="B11">
        <f>VLOOKUP(A11,'Grid - LRA Samples'!$A$2:$B$108,2,FALSE)</f>
        <v>774</v>
      </c>
      <c r="C11" s="26" t="s">
        <v>458</v>
      </c>
      <c r="E11">
        <v>15.8</v>
      </c>
      <c r="F11">
        <v>11.2</v>
      </c>
      <c r="G11">
        <v>12.1</v>
      </c>
      <c r="H11">
        <v>23</v>
      </c>
      <c r="I11">
        <v>2.5</v>
      </c>
      <c r="J11">
        <v>2.5</v>
      </c>
      <c r="K11">
        <v>2.5</v>
      </c>
      <c r="L11">
        <v>2.5</v>
      </c>
      <c r="M11">
        <v>8.8000000000000007</v>
      </c>
      <c r="BA11">
        <v>1</v>
      </c>
      <c r="BB11">
        <v>2</v>
      </c>
    </row>
    <row r="12" spans="1:54" x14ac:dyDescent="0.2">
      <c r="A12">
        <v>24</v>
      </c>
      <c r="B12">
        <f>VLOOKUP(A12,'Grid - LRA Samples'!$A$2:$B$108,2,FALSE)</f>
        <v>859</v>
      </c>
      <c r="C12" s="26" t="s">
        <v>458</v>
      </c>
      <c r="E12">
        <v>127</v>
      </c>
      <c r="F12">
        <v>216</v>
      </c>
      <c r="G12">
        <v>26</v>
      </c>
      <c r="H12">
        <v>103</v>
      </c>
      <c r="I12">
        <v>17</v>
      </c>
      <c r="J12">
        <v>2.5</v>
      </c>
      <c r="K12">
        <v>13</v>
      </c>
      <c r="L12">
        <v>6</v>
      </c>
      <c r="M12">
        <v>23.7</v>
      </c>
      <c r="BA12">
        <v>1</v>
      </c>
      <c r="BB12">
        <v>2</v>
      </c>
    </row>
    <row r="13" spans="1:54" x14ac:dyDescent="0.2">
      <c r="A13">
        <v>25</v>
      </c>
      <c r="B13">
        <f>VLOOKUP(A13,'Grid - LRA Samples'!$A$2:$B$108,2,FALSE)</f>
        <v>862</v>
      </c>
      <c r="C13" s="26" t="s">
        <v>458</v>
      </c>
      <c r="E13">
        <v>508</v>
      </c>
      <c r="F13">
        <v>637</v>
      </c>
      <c r="G13">
        <v>4069</v>
      </c>
      <c r="H13">
        <v>104</v>
      </c>
      <c r="I13">
        <v>449</v>
      </c>
      <c r="J13">
        <v>2.5</v>
      </c>
      <c r="K13">
        <v>14</v>
      </c>
      <c r="L13">
        <v>2.5</v>
      </c>
      <c r="M13">
        <v>112</v>
      </c>
      <c r="BA13">
        <v>1</v>
      </c>
      <c r="BB13">
        <v>2</v>
      </c>
    </row>
    <row r="14" spans="1:54" x14ac:dyDescent="0.2">
      <c r="A14">
        <v>26</v>
      </c>
      <c r="B14">
        <f>VLOOKUP(A14,'Grid - LRA Samples'!$A$2:$B$108,2,FALSE)</f>
        <v>863</v>
      </c>
      <c r="C14" s="26" t="s">
        <v>458</v>
      </c>
      <c r="E14">
        <v>54</v>
      </c>
      <c r="F14">
        <v>29.3</v>
      </c>
      <c r="G14">
        <v>21.7</v>
      </c>
      <c r="J14">
        <v>2.5</v>
      </c>
      <c r="K14">
        <v>2.5</v>
      </c>
      <c r="L14">
        <v>2.5</v>
      </c>
      <c r="M14">
        <v>22.5</v>
      </c>
      <c r="BA14">
        <v>1</v>
      </c>
      <c r="BB14">
        <v>2</v>
      </c>
    </row>
    <row r="15" spans="1:54" x14ac:dyDescent="0.2">
      <c r="A15">
        <v>27</v>
      </c>
      <c r="B15">
        <f>VLOOKUP(A15,'Grid - LRA Samples'!$A$2:$B$108,2,FALSE)</f>
        <v>872</v>
      </c>
      <c r="C15" s="26" t="s">
        <v>458</v>
      </c>
      <c r="E15">
        <v>54.9</v>
      </c>
      <c r="F15">
        <v>195</v>
      </c>
      <c r="G15">
        <v>499</v>
      </c>
      <c r="H15">
        <v>1819</v>
      </c>
      <c r="I15">
        <v>2.5</v>
      </c>
      <c r="J15">
        <v>2.5</v>
      </c>
      <c r="K15">
        <v>2.5</v>
      </c>
      <c r="L15">
        <v>2.5</v>
      </c>
      <c r="M15">
        <v>32</v>
      </c>
      <c r="BA15">
        <v>1</v>
      </c>
      <c r="BB15">
        <v>2</v>
      </c>
    </row>
    <row r="16" spans="1:54" x14ac:dyDescent="0.2">
      <c r="A16">
        <v>28</v>
      </c>
      <c r="B16">
        <f>VLOOKUP(A16,'Grid - LRA Samples'!$A$2:$B$108,2,FALSE)</f>
        <v>1040</v>
      </c>
      <c r="C16" s="26" t="s">
        <v>458</v>
      </c>
      <c r="E16">
        <v>67.7</v>
      </c>
      <c r="F16">
        <v>269</v>
      </c>
      <c r="G16">
        <v>269</v>
      </c>
      <c r="H16">
        <v>11855</v>
      </c>
      <c r="I16">
        <v>3021</v>
      </c>
      <c r="J16">
        <v>30</v>
      </c>
      <c r="K16">
        <v>13</v>
      </c>
      <c r="L16">
        <v>11</v>
      </c>
      <c r="M16">
        <v>336</v>
      </c>
      <c r="BA16">
        <v>1</v>
      </c>
      <c r="BB16">
        <v>2</v>
      </c>
    </row>
    <row r="17" spans="1:54" x14ac:dyDescent="0.2">
      <c r="A17">
        <v>29</v>
      </c>
      <c r="B17">
        <f>VLOOKUP(A17,'Grid - LRA Samples'!$A$2:$B$108,2,FALSE)</f>
        <v>1144</v>
      </c>
      <c r="C17" s="26" t="s">
        <v>458</v>
      </c>
      <c r="E17">
        <v>70</v>
      </c>
      <c r="F17">
        <v>80.8</v>
      </c>
      <c r="G17">
        <v>186</v>
      </c>
      <c r="H17">
        <v>27</v>
      </c>
      <c r="I17">
        <v>2.5</v>
      </c>
      <c r="J17">
        <v>2.5</v>
      </c>
      <c r="K17">
        <v>2.5</v>
      </c>
      <c r="L17">
        <v>5</v>
      </c>
      <c r="BA17">
        <v>1</v>
      </c>
      <c r="BB17">
        <v>2</v>
      </c>
    </row>
    <row r="18" spans="1:54" x14ac:dyDescent="0.2">
      <c r="A18">
        <v>30</v>
      </c>
      <c r="B18">
        <f>VLOOKUP(A18,'Grid - LRA Samples'!$A$2:$B$108,2,FALSE)</f>
        <v>1151</v>
      </c>
      <c r="C18" s="26" t="s">
        <v>458</v>
      </c>
      <c r="E18">
        <v>18.7</v>
      </c>
      <c r="F18">
        <v>9.3000000000000007</v>
      </c>
      <c r="G18">
        <v>13.5</v>
      </c>
      <c r="H18">
        <v>2.5</v>
      </c>
      <c r="I18">
        <v>2.5</v>
      </c>
      <c r="J18">
        <v>2.5</v>
      </c>
      <c r="K18">
        <v>2.5</v>
      </c>
      <c r="L18">
        <v>2.5</v>
      </c>
      <c r="M18">
        <v>26.5</v>
      </c>
      <c r="BA18">
        <v>1</v>
      </c>
      <c r="BB18">
        <v>2</v>
      </c>
    </row>
    <row r="19" spans="1:54" x14ac:dyDescent="0.2">
      <c r="A19">
        <v>31</v>
      </c>
      <c r="B19">
        <f>VLOOKUP(A19,'Grid - LRA Samples'!$A$2:$B$108,2,FALSE)</f>
        <v>1152</v>
      </c>
      <c r="C19" s="26" t="s">
        <v>458</v>
      </c>
      <c r="E19">
        <v>58.9</v>
      </c>
      <c r="F19">
        <v>30.7</v>
      </c>
      <c r="G19">
        <v>459</v>
      </c>
      <c r="H19">
        <v>18072</v>
      </c>
      <c r="I19">
        <v>573</v>
      </c>
      <c r="J19">
        <v>4</v>
      </c>
      <c r="K19">
        <v>10</v>
      </c>
      <c r="L19">
        <v>2.5</v>
      </c>
      <c r="M19">
        <v>89</v>
      </c>
      <c r="BA19">
        <v>1</v>
      </c>
      <c r="BB19">
        <v>2</v>
      </c>
    </row>
    <row r="20" spans="1:54" x14ac:dyDescent="0.2">
      <c r="A20">
        <v>32</v>
      </c>
      <c r="B20">
        <f>VLOOKUP(A20,'Grid - LRA Samples'!$A$2:$B$108,2,FALSE)</f>
        <v>1153</v>
      </c>
      <c r="C20" s="26" t="s">
        <v>458</v>
      </c>
      <c r="E20">
        <v>42.1</v>
      </c>
      <c r="F20">
        <v>42.7</v>
      </c>
      <c r="G20">
        <v>2778</v>
      </c>
      <c r="H20">
        <v>2.5</v>
      </c>
      <c r="I20">
        <v>20</v>
      </c>
      <c r="J20">
        <v>93</v>
      </c>
      <c r="K20">
        <v>8</v>
      </c>
      <c r="L20">
        <v>2.5</v>
      </c>
      <c r="M20">
        <v>237</v>
      </c>
      <c r="BA20">
        <v>1</v>
      </c>
      <c r="BB20">
        <v>2</v>
      </c>
    </row>
    <row r="21" spans="1:54" x14ac:dyDescent="0.2">
      <c r="A21">
        <v>33</v>
      </c>
      <c r="B21">
        <f>VLOOKUP(A21,'Grid - LRA Samples'!$A$2:$B$108,2,FALSE)</f>
        <v>1154</v>
      </c>
      <c r="C21" s="26" t="s">
        <v>458</v>
      </c>
      <c r="E21">
        <v>41</v>
      </c>
      <c r="F21">
        <v>12.1</v>
      </c>
      <c r="G21">
        <v>250</v>
      </c>
      <c r="H21">
        <v>9216</v>
      </c>
      <c r="I21">
        <v>2.5</v>
      </c>
      <c r="J21">
        <v>2.5</v>
      </c>
      <c r="K21">
        <v>18</v>
      </c>
      <c r="L21">
        <v>2.5</v>
      </c>
      <c r="M21">
        <v>77</v>
      </c>
      <c r="BA21">
        <v>1</v>
      </c>
      <c r="BB21">
        <v>2</v>
      </c>
    </row>
    <row r="22" spans="1:54" x14ac:dyDescent="0.2">
      <c r="A22">
        <v>34</v>
      </c>
      <c r="B22">
        <f>VLOOKUP(A22,'Grid - LRA Samples'!$A$2:$B$108,2,FALSE)</f>
        <v>1157</v>
      </c>
      <c r="C22" s="26" t="s">
        <v>458</v>
      </c>
      <c r="E22">
        <v>154</v>
      </c>
      <c r="F22">
        <v>1313</v>
      </c>
      <c r="G22">
        <v>534</v>
      </c>
      <c r="H22">
        <v>42</v>
      </c>
      <c r="I22">
        <v>2.5</v>
      </c>
      <c r="J22">
        <v>5</v>
      </c>
      <c r="K22">
        <v>6</v>
      </c>
      <c r="L22">
        <v>21</v>
      </c>
      <c r="M22">
        <v>346</v>
      </c>
      <c r="BA22">
        <v>1</v>
      </c>
      <c r="BB22">
        <v>2</v>
      </c>
    </row>
    <row r="23" spans="1:54" x14ac:dyDescent="0.2">
      <c r="A23">
        <v>35</v>
      </c>
      <c r="B23">
        <f>VLOOKUP(A23,'Grid - LRA Samples'!$A$2:$B$108,2,FALSE)</f>
        <v>1160</v>
      </c>
      <c r="C23" s="26" t="s">
        <v>458</v>
      </c>
      <c r="E23">
        <v>60.9</v>
      </c>
      <c r="F23">
        <v>317</v>
      </c>
      <c r="G23">
        <v>878</v>
      </c>
      <c r="H23">
        <v>72</v>
      </c>
      <c r="I23">
        <v>405</v>
      </c>
      <c r="J23">
        <v>5</v>
      </c>
      <c r="K23">
        <v>4</v>
      </c>
      <c r="L23">
        <v>2.5</v>
      </c>
      <c r="M23">
        <v>134</v>
      </c>
      <c r="BA23">
        <v>1</v>
      </c>
      <c r="BB23">
        <v>2</v>
      </c>
    </row>
    <row r="24" spans="1:54" x14ac:dyDescent="0.2">
      <c r="A24">
        <v>36</v>
      </c>
      <c r="B24">
        <f>VLOOKUP(A24,'Grid - LRA Samples'!$A$2:$B$108,2,FALSE)</f>
        <v>1165</v>
      </c>
      <c r="C24" s="26" t="s">
        <v>458</v>
      </c>
      <c r="E24">
        <v>23.8</v>
      </c>
      <c r="F24">
        <v>23.3</v>
      </c>
      <c r="G24">
        <v>24.2</v>
      </c>
      <c r="H24">
        <v>36</v>
      </c>
      <c r="I24">
        <v>2.5</v>
      </c>
      <c r="J24">
        <v>2.5</v>
      </c>
      <c r="K24">
        <v>2.5</v>
      </c>
      <c r="L24">
        <v>2.5</v>
      </c>
      <c r="M24">
        <v>9</v>
      </c>
      <c r="BA24">
        <v>1</v>
      </c>
      <c r="BB24">
        <v>2</v>
      </c>
    </row>
    <row r="25" spans="1:54" x14ac:dyDescent="0.2">
      <c r="A25">
        <v>37</v>
      </c>
      <c r="B25">
        <f>VLOOKUP(A25,'Grid - LRA Samples'!$A$2:$B$108,2,FALSE)</f>
        <v>1168</v>
      </c>
      <c r="C25" s="26" t="s">
        <v>458</v>
      </c>
      <c r="E25">
        <v>23.8</v>
      </c>
      <c r="F25">
        <v>50.9</v>
      </c>
      <c r="G25">
        <v>19.8</v>
      </c>
      <c r="H25">
        <v>618</v>
      </c>
      <c r="I25">
        <v>2.5</v>
      </c>
      <c r="J25">
        <v>2.5</v>
      </c>
      <c r="K25">
        <v>2.5</v>
      </c>
      <c r="L25">
        <v>2.5</v>
      </c>
      <c r="M25">
        <v>28</v>
      </c>
      <c r="BA25">
        <v>1</v>
      </c>
      <c r="BB25">
        <v>2</v>
      </c>
    </row>
    <row r="26" spans="1:54" x14ac:dyDescent="0.2">
      <c r="A26">
        <v>38</v>
      </c>
      <c r="B26">
        <f>VLOOKUP(A26,'Grid - LRA Samples'!$A$2:$B$108,2,FALSE)</f>
        <v>1170</v>
      </c>
      <c r="C26" s="26" t="s">
        <v>458</v>
      </c>
      <c r="E26">
        <v>15</v>
      </c>
      <c r="F26">
        <v>14.2</v>
      </c>
      <c r="G26">
        <v>14.5</v>
      </c>
      <c r="I26">
        <v>2.5</v>
      </c>
      <c r="J26">
        <v>2.5</v>
      </c>
      <c r="K26">
        <v>2.5</v>
      </c>
      <c r="L26">
        <v>2.5</v>
      </c>
      <c r="M26">
        <v>9.1</v>
      </c>
      <c r="BA26">
        <v>1</v>
      </c>
      <c r="BB26">
        <v>2</v>
      </c>
    </row>
    <row r="27" spans="1:54" x14ac:dyDescent="0.2">
      <c r="A27">
        <v>39</v>
      </c>
      <c r="B27">
        <f>VLOOKUP(A27,'Grid - LRA Samples'!$A$2:$B$108,2,FALSE)</f>
        <v>1171</v>
      </c>
      <c r="C27" s="26" t="s">
        <v>458</v>
      </c>
      <c r="E27">
        <v>31.9</v>
      </c>
      <c r="F27">
        <v>19.399999999999999</v>
      </c>
      <c r="G27">
        <v>20.5</v>
      </c>
      <c r="H27">
        <v>3474</v>
      </c>
      <c r="I27">
        <v>69</v>
      </c>
      <c r="J27">
        <v>2.5</v>
      </c>
      <c r="K27">
        <v>47</v>
      </c>
      <c r="L27">
        <v>2.5</v>
      </c>
      <c r="M27">
        <v>10.7</v>
      </c>
      <c r="BA27">
        <v>1</v>
      </c>
      <c r="BB27">
        <v>2</v>
      </c>
    </row>
    <row r="28" spans="1:54" x14ac:dyDescent="0.2">
      <c r="A28">
        <v>40</v>
      </c>
      <c r="B28">
        <f>VLOOKUP(A28,'Grid - LRA Samples'!$A$2:$B$108,2,FALSE)</f>
        <v>1172</v>
      </c>
      <c r="C28" s="26" t="s">
        <v>458</v>
      </c>
      <c r="E28">
        <v>141</v>
      </c>
      <c r="F28">
        <v>565</v>
      </c>
      <c r="G28">
        <v>1385</v>
      </c>
      <c r="H28">
        <v>1817</v>
      </c>
      <c r="I28">
        <v>25</v>
      </c>
      <c r="J28">
        <v>409</v>
      </c>
      <c r="K28">
        <v>577</v>
      </c>
      <c r="L28">
        <v>21</v>
      </c>
      <c r="M28">
        <v>783</v>
      </c>
      <c r="BA28">
        <v>1</v>
      </c>
      <c r="BB28">
        <v>2</v>
      </c>
    </row>
    <row r="29" spans="1:54" x14ac:dyDescent="0.2">
      <c r="A29">
        <v>41</v>
      </c>
      <c r="B29">
        <f>VLOOKUP(A29,'Grid - LRA Samples'!$A$2:$B$108,2,FALSE)</f>
        <v>1175</v>
      </c>
      <c r="C29" s="26" t="s">
        <v>458</v>
      </c>
      <c r="E29">
        <v>138</v>
      </c>
      <c r="F29">
        <v>130</v>
      </c>
      <c r="G29">
        <v>1723</v>
      </c>
      <c r="H29">
        <v>12236</v>
      </c>
      <c r="I29">
        <v>34752</v>
      </c>
      <c r="J29">
        <v>5</v>
      </c>
      <c r="K29">
        <v>409</v>
      </c>
      <c r="L29">
        <v>127</v>
      </c>
      <c r="M29">
        <v>366</v>
      </c>
      <c r="BA29">
        <v>1</v>
      </c>
      <c r="BB29">
        <v>2</v>
      </c>
    </row>
    <row r="30" spans="1:54" x14ac:dyDescent="0.2">
      <c r="A30">
        <v>42</v>
      </c>
      <c r="B30">
        <f>VLOOKUP(A30,'Grid - LRA Samples'!$A$2:$B$108,2,FALSE)</f>
        <v>1176</v>
      </c>
      <c r="C30" s="26" t="s">
        <v>458</v>
      </c>
      <c r="E30">
        <v>32.799999999999997</v>
      </c>
      <c r="F30">
        <v>26.2</v>
      </c>
      <c r="G30">
        <v>20.399999999999999</v>
      </c>
      <c r="H30">
        <v>16</v>
      </c>
      <c r="I30">
        <v>12</v>
      </c>
      <c r="J30">
        <v>2.5</v>
      </c>
      <c r="K30">
        <v>2.5</v>
      </c>
      <c r="L30">
        <v>5</v>
      </c>
      <c r="M30">
        <v>2.5</v>
      </c>
      <c r="BA30">
        <v>1</v>
      </c>
      <c r="BB30">
        <v>2</v>
      </c>
    </row>
    <row r="31" spans="1:54" x14ac:dyDescent="0.2">
      <c r="A31">
        <v>43</v>
      </c>
      <c r="B31">
        <f>VLOOKUP(A31,'Grid - LRA Samples'!$A$2:$B$108,2,FALSE)</f>
        <v>1179</v>
      </c>
      <c r="C31" s="26" t="s">
        <v>458</v>
      </c>
      <c r="E31">
        <v>202</v>
      </c>
      <c r="F31">
        <v>933</v>
      </c>
      <c r="G31">
        <v>845</v>
      </c>
      <c r="H31">
        <v>15</v>
      </c>
      <c r="I31">
        <v>2.5</v>
      </c>
      <c r="J31">
        <v>2.5</v>
      </c>
      <c r="K31">
        <v>2.5</v>
      </c>
      <c r="L31">
        <v>5</v>
      </c>
      <c r="M31">
        <v>2.5</v>
      </c>
      <c r="BA31">
        <v>1</v>
      </c>
      <c r="BB31">
        <v>2</v>
      </c>
    </row>
    <row r="32" spans="1:54" x14ac:dyDescent="0.2">
      <c r="A32">
        <v>44</v>
      </c>
      <c r="B32">
        <f>VLOOKUP(A32,'Grid - LRA Samples'!$A$2:$B$108,2,FALSE)</f>
        <v>1209</v>
      </c>
      <c r="C32" s="26" t="s">
        <v>458</v>
      </c>
      <c r="E32">
        <v>106</v>
      </c>
      <c r="F32">
        <v>346</v>
      </c>
      <c r="G32">
        <v>2333</v>
      </c>
      <c r="H32">
        <v>23</v>
      </c>
      <c r="I32">
        <v>188</v>
      </c>
      <c r="J32">
        <v>4</v>
      </c>
      <c r="K32">
        <v>5</v>
      </c>
      <c r="L32">
        <v>11</v>
      </c>
      <c r="M32">
        <v>363</v>
      </c>
      <c r="BA32">
        <v>1</v>
      </c>
      <c r="BB32">
        <v>2</v>
      </c>
    </row>
    <row r="33" spans="1:54" x14ac:dyDescent="0.2">
      <c r="A33">
        <v>45</v>
      </c>
      <c r="B33">
        <f>VLOOKUP(A33,'Grid - LRA Samples'!$A$2:$B$108,2,FALSE)</f>
        <v>1210</v>
      </c>
      <c r="C33" s="26" t="s">
        <v>458</v>
      </c>
      <c r="E33">
        <v>80</v>
      </c>
      <c r="F33">
        <v>26.6</v>
      </c>
      <c r="G33">
        <v>24.7</v>
      </c>
      <c r="I33">
        <v>2.5</v>
      </c>
      <c r="J33">
        <v>2.5</v>
      </c>
      <c r="K33">
        <v>2.5</v>
      </c>
      <c r="L33">
        <v>2.5</v>
      </c>
      <c r="M33">
        <v>12.9</v>
      </c>
      <c r="BA33">
        <v>1</v>
      </c>
      <c r="BB33">
        <v>2</v>
      </c>
    </row>
    <row r="34" spans="1:54" x14ac:dyDescent="0.2">
      <c r="A34">
        <v>46</v>
      </c>
      <c r="B34">
        <f>VLOOKUP(A34,'Grid - LRA Samples'!$A$2:$B$108,2,FALSE)</f>
        <v>1223</v>
      </c>
      <c r="C34" s="26" t="s">
        <v>458</v>
      </c>
      <c r="E34">
        <v>30</v>
      </c>
      <c r="F34">
        <v>334</v>
      </c>
      <c r="G34">
        <v>494</v>
      </c>
      <c r="H34">
        <v>23593</v>
      </c>
      <c r="I34">
        <v>180</v>
      </c>
      <c r="J34">
        <v>2.5</v>
      </c>
      <c r="K34">
        <v>2.5</v>
      </c>
      <c r="L34">
        <v>5</v>
      </c>
      <c r="M34">
        <v>2.5</v>
      </c>
      <c r="BA34">
        <v>1</v>
      </c>
      <c r="BB34">
        <v>2</v>
      </c>
    </row>
    <row r="35" spans="1:54" x14ac:dyDescent="0.2">
      <c r="A35">
        <v>47</v>
      </c>
      <c r="B35">
        <f>VLOOKUP(A35,'Grid - LRA Samples'!$A$2:$B$108,2,FALSE)</f>
        <v>1241</v>
      </c>
      <c r="C35" s="26" t="s">
        <v>458</v>
      </c>
      <c r="E35">
        <v>88</v>
      </c>
      <c r="F35">
        <v>35.700000000000003</v>
      </c>
      <c r="G35">
        <v>2102</v>
      </c>
      <c r="H35">
        <v>934</v>
      </c>
      <c r="I35">
        <v>306</v>
      </c>
      <c r="J35">
        <v>2.5</v>
      </c>
      <c r="K35">
        <v>2.5</v>
      </c>
      <c r="L35">
        <v>140</v>
      </c>
      <c r="M35">
        <v>219</v>
      </c>
      <c r="BA35">
        <v>1</v>
      </c>
      <c r="BB35">
        <v>2</v>
      </c>
    </row>
    <row r="36" spans="1:54" x14ac:dyDescent="0.2">
      <c r="A36">
        <v>48</v>
      </c>
      <c r="B36">
        <f>VLOOKUP(A36,'Grid - LRA Samples'!$A$2:$B$108,2,FALSE)</f>
        <v>1242</v>
      </c>
      <c r="C36" s="26" t="s">
        <v>458</v>
      </c>
      <c r="E36">
        <v>40.299999999999997</v>
      </c>
      <c r="F36">
        <v>99</v>
      </c>
      <c r="H36">
        <v>224</v>
      </c>
      <c r="I36">
        <v>1863</v>
      </c>
      <c r="J36">
        <v>2.5</v>
      </c>
      <c r="K36">
        <v>46</v>
      </c>
      <c r="L36">
        <v>80</v>
      </c>
      <c r="M36">
        <v>804</v>
      </c>
      <c r="BA36">
        <v>1</v>
      </c>
      <c r="BB36">
        <v>2</v>
      </c>
    </row>
    <row r="37" spans="1:54" x14ac:dyDescent="0.2">
      <c r="A37">
        <v>49</v>
      </c>
      <c r="B37">
        <f>VLOOKUP(A37,'Grid - LRA Samples'!$A$2:$B$108,2,FALSE)</f>
        <v>1243</v>
      </c>
      <c r="C37" s="26" t="s">
        <v>458</v>
      </c>
      <c r="E37">
        <v>139</v>
      </c>
      <c r="F37">
        <v>181</v>
      </c>
      <c r="G37">
        <v>85.7</v>
      </c>
      <c r="H37">
        <v>2.5</v>
      </c>
      <c r="I37">
        <v>2.5</v>
      </c>
      <c r="J37">
        <v>2.5</v>
      </c>
      <c r="K37">
        <v>18</v>
      </c>
      <c r="L37">
        <v>2.5</v>
      </c>
      <c r="M37">
        <v>2.5</v>
      </c>
      <c r="BA37">
        <v>1</v>
      </c>
      <c r="BB37">
        <v>2</v>
      </c>
    </row>
    <row r="38" spans="1:54" x14ac:dyDescent="0.2">
      <c r="A38">
        <v>50</v>
      </c>
      <c r="B38">
        <f>VLOOKUP(A38,'Grid - LRA Samples'!$A$2:$B$108,2,FALSE)</f>
        <v>1244</v>
      </c>
      <c r="C38" s="26" t="s">
        <v>458</v>
      </c>
      <c r="E38">
        <v>34.200000000000003</v>
      </c>
      <c r="F38">
        <v>27.4</v>
      </c>
      <c r="G38">
        <v>59.7</v>
      </c>
      <c r="H38">
        <v>7346</v>
      </c>
      <c r="I38">
        <v>2.5</v>
      </c>
      <c r="J38">
        <v>2.5</v>
      </c>
      <c r="L38">
        <v>2.5</v>
      </c>
      <c r="M38">
        <v>29.1</v>
      </c>
      <c r="BA38">
        <v>1</v>
      </c>
      <c r="BB38">
        <v>2</v>
      </c>
    </row>
    <row r="39" spans="1:54" x14ac:dyDescent="0.2">
      <c r="A39">
        <v>51</v>
      </c>
      <c r="B39">
        <f>VLOOKUP(A39,'Grid - LRA Samples'!$A$2:$B$108,2,FALSE)</f>
        <v>1245</v>
      </c>
      <c r="C39" s="26" t="s">
        <v>458</v>
      </c>
      <c r="E39">
        <v>87</v>
      </c>
      <c r="F39">
        <v>599</v>
      </c>
      <c r="G39">
        <v>50.8</v>
      </c>
      <c r="H39">
        <v>2.5</v>
      </c>
      <c r="I39">
        <v>2.5</v>
      </c>
      <c r="J39">
        <v>8</v>
      </c>
      <c r="K39">
        <v>2.5</v>
      </c>
      <c r="L39">
        <v>2.5</v>
      </c>
      <c r="M39">
        <v>74</v>
      </c>
      <c r="BA39">
        <v>1</v>
      </c>
      <c r="BB39">
        <v>2</v>
      </c>
    </row>
    <row r="40" spans="1:54" x14ac:dyDescent="0.2">
      <c r="A40">
        <v>52</v>
      </c>
      <c r="B40">
        <f>VLOOKUP(A40,'Grid - LRA Samples'!$A$2:$B$108,2,FALSE)</f>
        <v>1246</v>
      </c>
      <c r="C40" s="26" t="s">
        <v>458</v>
      </c>
      <c r="E40">
        <v>28.4</v>
      </c>
      <c r="F40">
        <v>67.900000000000006</v>
      </c>
      <c r="G40">
        <v>71.5</v>
      </c>
      <c r="H40">
        <v>17489</v>
      </c>
      <c r="I40">
        <v>2.5</v>
      </c>
      <c r="J40">
        <v>14</v>
      </c>
      <c r="K40">
        <v>281</v>
      </c>
      <c r="L40">
        <v>2.5</v>
      </c>
      <c r="M40">
        <v>84.2</v>
      </c>
      <c r="BA40">
        <v>1</v>
      </c>
      <c r="BB40">
        <v>2</v>
      </c>
    </row>
    <row r="41" spans="1:54" x14ac:dyDescent="0.2">
      <c r="A41">
        <v>56</v>
      </c>
      <c r="B41">
        <f>VLOOKUP(A41,'Grid - LRA Samples'!$A$2:$B$108,2,FALSE)</f>
        <v>1265</v>
      </c>
      <c r="C41" s="26" t="s">
        <v>458</v>
      </c>
      <c r="E41">
        <v>15</v>
      </c>
      <c r="F41">
        <v>39.6</v>
      </c>
      <c r="G41">
        <v>216</v>
      </c>
      <c r="H41">
        <v>13467</v>
      </c>
      <c r="I41">
        <v>40</v>
      </c>
      <c r="J41">
        <v>11</v>
      </c>
      <c r="K41">
        <v>28</v>
      </c>
      <c r="L41">
        <v>44</v>
      </c>
      <c r="M41">
        <v>1110</v>
      </c>
      <c r="BA41">
        <v>1</v>
      </c>
      <c r="BB41">
        <v>2</v>
      </c>
    </row>
    <row r="42" spans="1:54" x14ac:dyDescent="0.2">
      <c r="A42">
        <v>58</v>
      </c>
      <c r="B42">
        <f>VLOOKUP(A42,'Grid - LRA Samples'!$A$2:$B$108,2,FALSE)</f>
        <v>1279</v>
      </c>
      <c r="C42" s="26" t="s">
        <v>458</v>
      </c>
      <c r="E42">
        <v>24.2</v>
      </c>
      <c r="F42">
        <v>130</v>
      </c>
      <c r="G42">
        <v>480</v>
      </c>
      <c r="H42">
        <v>32</v>
      </c>
      <c r="J42">
        <v>5</v>
      </c>
      <c r="K42">
        <v>2.5</v>
      </c>
      <c r="L42">
        <v>290</v>
      </c>
      <c r="M42">
        <v>20</v>
      </c>
      <c r="BA42">
        <v>1</v>
      </c>
      <c r="BB42">
        <v>2</v>
      </c>
    </row>
    <row r="43" spans="1:54" x14ac:dyDescent="0.2">
      <c r="A43">
        <v>59</v>
      </c>
      <c r="B43">
        <f>VLOOKUP(A43,'Grid - LRA Samples'!$A$2:$B$108,2,FALSE)</f>
        <v>1282</v>
      </c>
      <c r="C43" s="26" t="s">
        <v>458</v>
      </c>
      <c r="E43">
        <v>95</v>
      </c>
      <c r="F43">
        <v>1279</v>
      </c>
      <c r="G43">
        <v>1159</v>
      </c>
      <c r="H43">
        <v>245</v>
      </c>
      <c r="I43">
        <v>74</v>
      </c>
      <c r="J43">
        <v>7</v>
      </c>
      <c r="K43">
        <v>10</v>
      </c>
      <c r="L43">
        <v>19</v>
      </c>
      <c r="M43">
        <v>295</v>
      </c>
      <c r="BA43">
        <v>1</v>
      </c>
      <c r="BB43">
        <v>2</v>
      </c>
    </row>
    <row r="44" spans="1:54" x14ac:dyDescent="0.2">
      <c r="A44">
        <v>60</v>
      </c>
      <c r="B44">
        <f>VLOOKUP(A44,'Grid - LRA Samples'!$A$2:$B$108,2,FALSE)</f>
        <v>1283</v>
      </c>
      <c r="C44" s="26" t="s">
        <v>458</v>
      </c>
      <c r="E44">
        <v>44.5</v>
      </c>
      <c r="F44">
        <v>16.399999999999999</v>
      </c>
      <c r="G44">
        <v>97</v>
      </c>
      <c r="J44">
        <v>2.5</v>
      </c>
      <c r="K44">
        <v>2.5</v>
      </c>
      <c r="L44">
        <v>6</v>
      </c>
      <c r="M44">
        <v>31.2</v>
      </c>
      <c r="BA44">
        <v>1</v>
      </c>
      <c r="BB44">
        <v>2</v>
      </c>
    </row>
    <row r="45" spans="1:54" x14ac:dyDescent="0.2">
      <c r="A45">
        <v>61</v>
      </c>
      <c r="B45">
        <f>VLOOKUP(A45,'Grid - LRA Samples'!$A$2:$B$108,2,FALSE)</f>
        <v>1284</v>
      </c>
      <c r="C45" s="26" t="s">
        <v>458</v>
      </c>
      <c r="E45">
        <v>127</v>
      </c>
      <c r="F45">
        <v>50</v>
      </c>
      <c r="G45">
        <v>241</v>
      </c>
      <c r="H45">
        <v>18585</v>
      </c>
      <c r="I45">
        <v>1219</v>
      </c>
      <c r="J45">
        <v>4</v>
      </c>
      <c r="K45">
        <v>15</v>
      </c>
      <c r="L45">
        <v>33</v>
      </c>
      <c r="M45">
        <v>1037</v>
      </c>
      <c r="BA45">
        <v>1</v>
      </c>
      <c r="BB45">
        <v>2</v>
      </c>
    </row>
    <row r="46" spans="1:54" x14ac:dyDescent="0.2">
      <c r="A46">
        <v>64</v>
      </c>
      <c r="B46">
        <f>VLOOKUP(A46,'Grid - LRA Samples'!$A$2:$B$108,2,FALSE)</f>
        <v>1288</v>
      </c>
      <c r="C46" s="26" t="s">
        <v>458</v>
      </c>
      <c r="E46">
        <v>13.5</v>
      </c>
      <c r="F46">
        <v>11.6</v>
      </c>
      <c r="G46">
        <v>12.6</v>
      </c>
      <c r="H46">
        <v>2.5</v>
      </c>
      <c r="I46">
        <v>2.5</v>
      </c>
      <c r="J46">
        <v>2.5</v>
      </c>
      <c r="K46">
        <v>2.5</v>
      </c>
      <c r="L46">
        <v>2.5</v>
      </c>
      <c r="M46">
        <v>2.5</v>
      </c>
      <c r="BA46">
        <v>1</v>
      </c>
      <c r="BB46">
        <v>2</v>
      </c>
    </row>
    <row r="47" spans="1:54" x14ac:dyDescent="0.2">
      <c r="A47">
        <v>65</v>
      </c>
      <c r="B47">
        <f>VLOOKUP(A47,'Grid - LRA Samples'!$A$2:$B$108,2,FALSE)</f>
        <v>1289</v>
      </c>
      <c r="C47" s="26" t="s">
        <v>458</v>
      </c>
      <c r="E47">
        <v>34</v>
      </c>
      <c r="F47">
        <v>26.3</v>
      </c>
      <c r="G47">
        <v>37.200000000000003</v>
      </c>
      <c r="H47">
        <v>579</v>
      </c>
      <c r="I47">
        <v>9</v>
      </c>
      <c r="J47">
        <v>2.5</v>
      </c>
      <c r="K47">
        <v>15</v>
      </c>
      <c r="L47">
        <v>2.5</v>
      </c>
      <c r="M47">
        <v>27.7</v>
      </c>
      <c r="BA47">
        <v>1</v>
      </c>
      <c r="BB47">
        <v>2</v>
      </c>
    </row>
    <row r="48" spans="1:54" x14ac:dyDescent="0.2">
      <c r="A48">
        <v>66</v>
      </c>
      <c r="B48">
        <f>VLOOKUP(A48,'Grid - LRA Samples'!$A$2:$B$108,2,FALSE)</f>
        <v>1290</v>
      </c>
      <c r="C48" s="26" t="s">
        <v>458</v>
      </c>
      <c r="E48">
        <v>117</v>
      </c>
      <c r="F48">
        <v>963</v>
      </c>
      <c r="G48">
        <v>574</v>
      </c>
      <c r="H48">
        <v>7126</v>
      </c>
      <c r="I48">
        <v>24</v>
      </c>
      <c r="J48">
        <v>5</v>
      </c>
      <c r="K48">
        <v>10</v>
      </c>
      <c r="L48">
        <v>2.5</v>
      </c>
      <c r="M48">
        <v>25.6</v>
      </c>
      <c r="BA48">
        <v>1</v>
      </c>
      <c r="BB48">
        <v>2</v>
      </c>
    </row>
    <row r="49" spans="1:54" x14ac:dyDescent="0.2">
      <c r="A49">
        <v>67</v>
      </c>
      <c r="B49">
        <f>VLOOKUP(A49,'Grid - LRA Samples'!$A$2:$B$108,2,FALSE)</f>
        <v>1291</v>
      </c>
      <c r="C49" s="26" t="s">
        <v>458</v>
      </c>
      <c r="E49">
        <v>9.3000000000000007</v>
      </c>
      <c r="F49">
        <v>25.5</v>
      </c>
      <c r="G49">
        <v>27.9</v>
      </c>
      <c r="H49">
        <v>2.5</v>
      </c>
      <c r="J49">
        <v>2.5</v>
      </c>
      <c r="K49">
        <v>81</v>
      </c>
      <c r="L49">
        <v>2.5</v>
      </c>
      <c r="M49">
        <v>34.700000000000003</v>
      </c>
      <c r="BA49">
        <v>1</v>
      </c>
      <c r="BB49">
        <v>2</v>
      </c>
    </row>
    <row r="50" spans="1:54" x14ac:dyDescent="0.2">
      <c r="A50">
        <v>68</v>
      </c>
      <c r="B50">
        <f>VLOOKUP(A50,'Grid - LRA Samples'!$A$2:$B$108,2,FALSE)</f>
        <v>1293</v>
      </c>
      <c r="C50" s="26" t="s">
        <v>458</v>
      </c>
      <c r="E50">
        <v>253</v>
      </c>
      <c r="F50">
        <v>100</v>
      </c>
      <c r="G50">
        <v>10249</v>
      </c>
      <c r="J50">
        <v>2.5</v>
      </c>
      <c r="K50">
        <v>2.5</v>
      </c>
      <c r="L50">
        <v>2.5</v>
      </c>
      <c r="M50">
        <v>196</v>
      </c>
      <c r="BA50">
        <v>1</v>
      </c>
      <c r="BB50">
        <v>2</v>
      </c>
    </row>
    <row r="51" spans="1:54" x14ac:dyDescent="0.2">
      <c r="A51">
        <v>72</v>
      </c>
      <c r="B51">
        <f>VLOOKUP(A51,'Grid - LRA Samples'!$A$2:$B$108,2,FALSE)</f>
        <v>1318</v>
      </c>
      <c r="C51" s="26" t="s">
        <v>458</v>
      </c>
      <c r="E51">
        <v>14.2</v>
      </c>
      <c r="F51">
        <v>12.4</v>
      </c>
      <c r="G51">
        <v>15.2</v>
      </c>
      <c r="H51">
        <v>2.5</v>
      </c>
      <c r="I51">
        <v>2.5</v>
      </c>
      <c r="J51">
        <v>2.5</v>
      </c>
      <c r="K51">
        <v>2.5</v>
      </c>
      <c r="L51">
        <v>2.5</v>
      </c>
      <c r="M51">
        <v>98</v>
      </c>
      <c r="BA51">
        <v>1</v>
      </c>
      <c r="BB51">
        <v>2</v>
      </c>
    </row>
    <row r="52" spans="1:54" x14ac:dyDescent="0.2">
      <c r="A52">
        <v>73</v>
      </c>
      <c r="B52">
        <f>VLOOKUP(A52,'Grid - LRA Samples'!$A$2:$B$108,2,FALSE)</f>
        <v>1345</v>
      </c>
      <c r="C52" s="26" t="s">
        <v>458</v>
      </c>
      <c r="E52">
        <v>27.6</v>
      </c>
      <c r="F52">
        <v>17.600000000000001</v>
      </c>
      <c r="G52">
        <v>25</v>
      </c>
      <c r="H52">
        <v>2.5</v>
      </c>
      <c r="I52">
        <v>2.5</v>
      </c>
      <c r="J52">
        <v>5</v>
      </c>
      <c r="K52">
        <v>2.5</v>
      </c>
      <c r="L52">
        <v>8</v>
      </c>
      <c r="M52">
        <v>2.5</v>
      </c>
      <c r="BA52">
        <v>1</v>
      </c>
      <c r="BB52">
        <v>2</v>
      </c>
    </row>
    <row r="53" spans="1:54" x14ac:dyDescent="0.2">
      <c r="A53">
        <v>74</v>
      </c>
      <c r="B53">
        <f>VLOOKUP(A53,'Grid - LRA Samples'!$A$2:$B$108,2,FALSE)</f>
        <v>1346</v>
      </c>
      <c r="C53" s="26" t="s">
        <v>458</v>
      </c>
      <c r="E53">
        <v>55.7</v>
      </c>
      <c r="F53">
        <v>26.1</v>
      </c>
      <c r="G53">
        <v>37.799999999999997</v>
      </c>
      <c r="H53">
        <v>430</v>
      </c>
      <c r="I53">
        <v>10</v>
      </c>
      <c r="J53">
        <v>2.5</v>
      </c>
      <c r="K53">
        <v>2.5</v>
      </c>
      <c r="L53">
        <v>2.5</v>
      </c>
      <c r="M53">
        <v>28.6</v>
      </c>
      <c r="BA53">
        <v>1</v>
      </c>
      <c r="BB53">
        <v>2</v>
      </c>
    </row>
    <row r="54" spans="1:54" x14ac:dyDescent="0.2">
      <c r="A54">
        <v>76</v>
      </c>
      <c r="B54">
        <f>VLOOKUP(A54,'Grid - LRA Samples'!$A$2:$B$108,2,FALSE)</f>
        <v>1350</v>
      </c>
      <c r="C54" s="26" t="s">
        <v>458</v>
      </c>
      <c r="E54">
        <v>69.900000000000006</v>
      </c>
      <c r="F54">
        <v>1029</v>
      </c>
      <c r="G54">
        <v>1393</v>
      </c>
      <c r="H54">
        <v>56842</v>
      </c>
      <c r="I54">
        <v>285</v>
      </c>
      <c r="J54">
        <v>20</v>
      </c>
      <c r="K54">
        <v>2.5</v>
      </c>
      <c r="L54">
        <v>2.5</v>
      </c>
      <c r="M54">
        <v>707</v>
      </c>
      <c r="BA54">
        <v>1</v>
      </c>
      <c r="BB54">
        <v>2</v>
      </c>
    </row>
    <row r="55" spans="1:54" x14ac:dyDescent="0.2">
      <c r="A55">
        <v>77</v>
      </c>
      <c r="B55">
        <f>VLOOKUP(A55,'Grid - LRA Samples'!$A$2:$B$108,2,FALSE)</f>
        <v>1355</v>
      </c>
      <c r="C55" s="26" t="s">
        <v>458</v>
      </c>
      <c r="E55">
        <v>35.4</v>
      </c>
      <c r="F55">
        <v>35.4</v>
      </c>
      <c r="G55">
        <v>25.5</v>
      </c>
      <c r="H55">
        <v>2.5</v>
      </c>
      <c r="I55">
        <v>2.5</v>
      </c>
      <c r="J55">
        <v>2.5</v>
      </c>
      <c r="K55">
        <v>2.5</v>
      </c>
      <c r="L55">
        <v>2.5</v>
      </c>
      <c r="M55">
        <v>4.4000000000000004</v>
      </c>
      <c r="BA55">
        <v>1</v>
      </c>
      <c r="BB55">
        <v>2</v>
      </c>
    </row>
    <row r="56" spans="1:54" x14ac:dyDescent="0.2">
      <c r="A56">
        <v>83</v>
      </c>
      <c r="B56">
        <f>VLOOKUP(A56,'Grid - LRA Samples'!$A$2:$B$108,2,FALSE)</f>
        <v>1511</v>
      </c>
      <c r="C56" s="26" t="s">
        <v>458</v>
      </c>
      <c r="E56">
        <v>38.799999999999997</v>
      </c>
      <c r="F56">
        <v>24.9</v>
      </c>
      <c r="G56">
        <v>157</v>
      </c>
      <c r="H56">
        <v>2.5</v>
      </c>
      <c r="I56">
        <v>2.5</v>
      </c>
      <c r="J56">
        <v>2.5</v>
      </c>
      <c r="K56">
        <v>54</v>
      </c>
      <c r="L56">
        <v>20</v>
      </c>
      <c r="M56">
        <v>7.7</v>
      </c>
      <c r="BA56">
        <v>1</v>
      </c>
      <c r="BB56">
        <v>2</v>
      </c>
    </row>
    <row r="57" spans="1:54" x14ac:dyDescent="0.2">
      <c r="A57">
        <v>84</v>
      </c>
      <c r="B57">
        <f>VLOOKUP(A57,'Grid - LRA Samples'!$A$2:$B$108,2,FALSE)</f>
        <v>1512</v>
      </c>
      <c r="C57" s="26" t="s">
        <v>458</v>
      </c>
      <c r="E57">
        <v>48.3</v>
      </c>
      <c r="F57">
        <v>43.9</v>
      </c>
      <c r="G57">
        <v>40.4</v>
      </c>
      <c r="H57">
        <v>2.5</v>
      </c>
      <c r="I57">
        <v>2.5</v>
      </c>
      <c r="J57">
        <v>2.5</v>
      </c>
      <c r="K57">
        <v>4</v>
      </c>
      <c r="L57">
        <v>2.5</v>
      </c>
      <c r="M57">
        <v>4.5999999999999996</v>
      </c>
      <c r="BA57">
        <v>1</v>
      </c>
      <c r="BB57">
        <v>2</v>
      </c>
    </row>
    <row r="58" spans="1:54" x14ac:dyDescent="0.2">
      <c r="A58">
        <v>86</v>
      </c>
      <c r="B58">
        <f>VLOOKUP(A58,'Grid - LRA Samples'!$A$2:$B$108,2,FALSE)</f>
        <v>1515</v>
      </c>
      <c r="C58" s="26" t="s">
        <v>458</v>
      </c>
      <c r="E58">
        <v>10.199999999999999</v>
      </c>
      <c r="F58">
        <v>10</v>
      </c>
      <c r="G58">
        <v>16.600000000000001</v>
      </c>
      <c r="H58">
        <v>2.5</v>
      </c>
      <c r="I58">
        <v>2.5</v>
      </c>
      <c r="J58">
        <v>2.5</v>
      </c>
      <c r="K58">
        <v>2.5</v>
      </c>
      <c r="L58">
        <v>2.5</v>
      </c>
      <c r="M58">
        <v>2.5</v>
      </c>
      <c r="BA58">
        <v>1</v>
      </c>
      <c r="BB58">
        <v>2</v>
      </c>
    </row>
    <row r="59" spans="1:54" x14ac:dyDescent="0.2">
      <c r="A59">
        <v>87</v>
      </c>
      <c r="B59">
        <f>VLOOKUP(A59,'Grid - LRA Samples'!$A$2:$B$108,2,FALSE)</f>
        <v>1516</v>
      </c>
      <c r="C59" s="26" t="s">
        <v>458</v>
      </c>
      <c r="E59">
        <v>13.1</v>
      </c>
      <c r="F59">
        <v>12.3</v>
      </c>
      <c r="G59">
        <v>12.1</v>
      </c>
      <c r="H59">
        <v>186</v>
      </c>
      <c r="I59">
        <v>2.5</v>
      </c>
      <c r="J59">
        <v>6</v>
      </c>
      <c r="K59">
        <v>2.5</v>
      </c>
      <c r="L59">
        <v>2.5</v>
      </c>
      <c r="M59">
        <v>20.6</v>
      </c>
      <c r="BA59">
        <v>1</v>
      </c>
      <c r="BB59">
        <v>2</v>
      </c>
    </row>
    <row r="60" spans="1:54" x14ac:dyDescent="0.2">
      <c r="A60">
        <v>88</v>
      </c>
      <c r="B60">
        <f>VLOOKUP(A60,'Grid - LRA Samples'!$A$2:$B$108,2,FALSE)</f>
        <v>1517</v>
      </c>
      <c r="C60" s="26" t="s">
        <v>458</v>
      </c>
      <c r="E60">
        <v>36.700000000000003</v>
      </c>
      <c r="F60">
        <v>21.2</v>
      </c>
      <c r="G60">
        <v>85</v>
      </c>
      <c r="H60">
        <v>2.5</v>
      </c>
      <c r="I60">
        <v>139</v>
      </c>
      <c r="J60">
        <v>2.5</v>
      </c>
      <c r="K60">
        <v>2.5</v>
      </c>
      <c r="L60">
        <v>2.5</v>
      </c>
      <c r="M60">
        <v>34</v>
      </c>
      <c r="BA60">
        <v>1</v>
      </c>
      <c r="BB60">
        <v>2</v>
      </c>
    </row>
    <row r="61" spans="1:54" x14ac:dyDescent="0.2">
      <c r="A61">
        <v>89</v>
      </c>
      <c r="B61">
        <f>VLOOKUP(A61,'Grid - LRA Samples'!$A$2:$B$108,2,FALSE)</f>
        <v>1519</v>
      </c>
      <c r="C61" s="26" t="s">
        <v>458</v>
      </c>
      <c r="E61">
        <v>24.9</v>
      </c>
      <c r="F61">
        <v>25.6</v>
      </c>
      <c r="G61">
        <v>17.7</v>
      </c>
      <c r="H61">
        <v>2.5</v>
      </c>
      <c r="I61">
        <v>2.5</v>
      </c>
      <c r="J61">
        <v>2.5</v>
      </c>
      <c r="K61">
        <v>5</v>
      </c>
      <c r="L61">
        <v>2.5</v>
      </c>
      <c r="M61">
        <v>32</v>
      </c>
      <c r="BA61">
        <v>1</v>
      </c>
      <c r="BB61">
        <v>2</v>
      </c>
    </row>
    <row r="62" spans="1:54" x14ac:dyDescent="0.2">
      <c r="A62">
        <v>90</v>
      </c>
      <c r="B62">
        <f>VLOOKUP(A62,'Grid - LRA Samples'!$A$2:$B$108,2,FALSE)</f>
        <v>1520</v>
      </c>
      <c r="C62" s="26" t="s">
        <v>458</v>
      </c>
      <c r="E62">
        <v>252</v>
      </c>
      <c r="F62">
        <v>238</v>
      </c>
      <c r="G62">
        <v>10773</v>
      </c>
      <c r="H62">
        <v>17462</v>
      </c>
      <c r="I62">
        <v>99</v>
      </c>
      <c r="J62">
        <v>813</v>
      </c>
      <c r="K62">
        <v>456</v>
      </c>
      <c r="L62">
        <v>21</v>
      </c>
      <c r="M62">
        <v>61</v>
      </c>
      <c r="BA62">
        <v>1</v>
      </c>
      <c r="BB62">
        <v>2</v>
      </c>
    </row>
    <row r="63" spans="1:54" x14ac:dyDescent="0.2">
      <c r="A63">
        <v>91</v>
      </c>
      <c r="B63">
        <f>VLOOKUP(A63,'Grid - LRA Samples'!$A$2:$B$108,2,FALSE)</f>
        <v>1547</v>
      </c>
      <c r="C63" s="26" t="s">
        <v>458</v>
      </c>
      <c r="E63">
        <v>10.4</v>
      </c>
      <c r="F63">
        <v>12.5</v>
      </c>
      <c r="G63">
        <v>11.3</v>
      </c>
      <c r="H63">
        <v>2.5</v>
      </c>
      <c r="I63">
        <v>2.5</v>
      </c>
      <c r="J63">
        <v>2.5</v>
      </c>
      <c r="K63">
        <v>2.5</v>
      </c>
      <c r="L63">
        <v>6</v>
      </c>
      <c r="M63">
        <v>5.7</v>
      </c>
      <c r="BA63">
        <v>1</v>
      </c>
      <c r="BB63">
        <v>2</v>
      </c>
    </row>
    <row r="64" spans="1:54" x14ac:dyDescent="0.2">
      <c r="A64">
        <v>107</v>
      </c>
      <c r="B64">
        <f>VLOOKUP(A64,'Grid - LRA Samples'!$A$2:$B$108,2,FALSE)</f>
        <v>9445</v>
      </c>
      <c r="C64" s="26" t="s">
        <v>458</v>
      </c>
      <c r="E64">
        <v>15.9</v>
      </c>
      <c r="F64">
        <v>17.3</v>
      </c>
      <c r="G64">
        <v>61</v>
      </c>
      <c r="H64">
        <v>2.5</v>
      </c>
      <c r="I64">
        <v>2.5</v>
      </c>
      <c r="J64">
        <v>2.5</v>
      </c>
      <c r="K64">
        <v>2.5</v>
      </c>
      <c r="L64">
        <v>2.5</v>
      </c>
      <c r="M64">
        <v>2.5</v>
      </c>
      <c r="BA64">
        <v>1</v>
      </c>
      <c r="BB64">
        <v>2</v>
      </c>
    </row>
    <row r="66" spans="1:54" x14ac:dyDescent="0.2">
      <c r="C66" t="s">
        <v>475</v>
      </c>
      <c r="E66">
        <f>COUNT(E2:E64)</f>
        <v>63</v>
      </c>
      <c r="F66">
        <f t="shared" ref="F66:M66" si="0">COUNT(F2:F64)</f>
        <v>63</v>
      </c>
      <c r="G66">
        <f t="shared" si="0"/>
        <v>62</v>
      </c>
      <c r="H66">
        <f t="shared" si="0"/>
        <v>57</v>
      </c>
      <c r="I66">
        <f t="shared" si="0"/>
        <v>58</v>
      </c>
      <c r="J66">
        <f t="shared" si="0"/>
        <v>62</v>
      </c>
      <c r="K66">
        <f t="shared" si="0"/>
        <v>61</v>
      </c>
      <c r="L66">
        <f t="shared" si="0"/>
        <v>62</v>
      </c>
      <c r="M66">
        <f t="shared" si="0"/>
        <v>61</v>
      </c>
    </row>
    <row r="67" spans="1:54" x14ac:dyDescent="0.2">
      <c r="C67" t="s">
        <v>479</v>
      </c>
      <c r="E67">
        <f>COUNTIF(E2:E64,"&gt;=400")</f>
        <v>1</v>
      </c>
      <c r="F67">
        <f t="shared" ref="F67:G67" si="1">COUNTIF(F2:F64,"&gt;=400")</f>
        <v>10</v>
      </c>
      <c r="G67">
        <f t="shared" si="1"/>
        <v>20</v>
      </c>
      <c r="H67">
        <f>COUNTIF(H2:H64,"&gt;=5000")</f>
        <v>15</v>
      </c>
      <c r="I67">
        <f>COUNTIF(I2:I64,"&gt;=5000")</f>
        <v>2</v>
      </c>
      <c r="J67">
        <f>COUNTIF(J2:J64,"&gt;=20")</f>
        <v>6</v>
      </c>
      <c r="K67">
        <f>COUNTIF(K2:K64,"&gt;=20")</f>
        <v>10</v>
      </c>
      <c r="L67">
        <f>COUNTIF(L2:L64,"&gt;=230")</f>
        <v>1</v>
      </c>
    </row>
    <row r="68" spans="1:54" x14ac:dyDescent="0.2">
      <c r="C68" t="s">
        <v>482</v>
      </c>
      <c r="E68">
        <f>COUNTIF(E2:E64,"&gt;=80")</f>
        <v>18</v>
      </c>
      <c r="F68">
        <f t="shared" ref="F68:G68" si="2">COUNTIF(F2:F64,"&gt;=80")</f>
        <v>24</v>
      </c>
      <c r="G68">
        <f t="shared" si="2"/>
        <v>32</v>
      </c>
    </row>
    <row r="69" spans="1:54" x14ac:dyDescent="0.2">
      <c r="C69" t="s">
        <v>481</v>
      </c>
      <c r="E69" s="15">
        <f>E67/E66</f>
        <v>1.5873015873015872E-2</v>
      </c>
      <c r="F69" s="15">
        <f t="shared" ref="F69:L69" si="3">F67/F66</f>
        <v>0.15873015873015872</v>
      </c>
      <c r="G69" s="15">
        <f t="shared" si="3"/>
        <v>0.32258064516129031</v>
      </c>
      <c r="H69" s="15">
        <f t="shared" si="3"/>
        <v>0.26315789473684209</v>
      </c>
      <c r="I69" s="15">
        <f t="shared" si="3"/>
        <v>3.4482758620689655E-2</v>
      </c>
      <c r="J69" s="15">
        <f t="shared" si="3"/>
        <v>9.6774193548387094E-2</v>
      </c>
      <c r="K69" s="15">
        <f t="shared" si="3"/>
        <v>0.16393442622950818</v>
      </c>
      <c r="L69" s="15">
        <f t="shared" si="3"/>
        <v>1.6129032258064516E-2</v>
      </c>
    </row>
    <row r="70" spans="1:54" x14ac:dyDescent="0.2">
      <c r="C70" t="s">
        <v>480</v>
      </c>
      <c r="E70" s="15">
        <f>SUM(E67:G67)/SUM(E66:G66)</f>
        <v>0.16489361702127658</v>
      </c>
      <c r="H70" s="15">
        <f>SUM(H67:I67)/SUM(H66:I66)</f>
        <v>0.14782608695652175</v>
      </c>
      <c r="J70" s="15">
        <f>SUM(J67:L67)/SUM(J66:L66)</f>
        <v>9.1891891891891897E-2</v>
      </c>
    </row>
    <row r="72" spans="1:54" x14ac:dyDescent="0.2">
      <c r="A72">
        <v>1</v>
      </c>
      <c r="B72">
        <f>VLOOKUP(A72,'Grid - LRA Samples'!$A$2:$B$108,2,FALSE)</f>
        <v>369</v>
      </c>
      <c r="C72" s="26" t="s">
        <v>152</v>
      </c>
      <c r="E72" s="2">
        <v>66.7</v>
      </c>
      <c r="F72" s="2">
        <v>410.8</v>
      </c>
      <c r="G72" s="2">
        <v>390.8</v>
      </c>
      <c r="H72" s="2">
        <v>74.2</v>
      </c>
      <c r="I72" s="2">
        <v>14003</v>
      </c>
      <c r="J72" s="2">
        <v>23.6</v>
      </c>
      <c r="L72" s="2">
        <v>22.3</v>
      </c>
      <c r="V72" s="2">
        <v>168.6</v>
      </c>
      <c r="W72" s="2" t="s">
        <v>35</v>
      </c>
      <c r="BA72">
        <v>1</v>
      </c>
      <c r="BB72">
        <v>2</v>
      </c>
    </row>
    <row r="73" spans="1:54" x14ac:dyDescent="0.2">
      <c r="A73">
        <v>2</v>
      </c>
      <c r="B73">
        <f>VLOOKUP(A73,'Grid - LRA Samples'!$A$2:$B$108,2,FALSE)</f>
        <v>367</v>
      </c>
      <c r="C73" s="26" t="s">
        <v>152</v>
      </c>
      <c r="E73" s="2">
        <v>101.5</v>
      </c>
      <c r="F73" s="2">
        <v>54.4</v>
      </c>
      <c r="G73" s="2">
        <v>79.400000000000006</v>
      </c>
      <c r="H73" s="2">
        <v>0</v>
      </c>
      <c r="I73" s="2">
        <v>14.5</v>
      </c>
      <c r="K73" s="2">
        <v>41.7</v>
      </c>
      <c r="L73" s="2">
        <v>0</v>
      </c>
      <c r="BA73">
        <v>1</v>
      </c>
      <c r="BB73">
        <v>2</v>
      </c>
    </row>
    <row r="74" spans="1:54" x14ac:dyDescent="0.2">
      <c r="A74">
        <v>3</v>
      </c>
      <c r="B74">
        <f>VLOOKUP(A74,'Grid - LRA Samples'!$A$2:$B$108,2,FALSE)</f>
        <v>370</v>
      </c>
      <c r="C74" s="26" t="s">
        <v>152</v>
      </c>
      <c r="E74" s="2">
        <v>64.8</v>
      </c>
      <c r="F74" s="2">
        <v>19.899999999999999</v>
      </c>
      <c r="G74" s="2">
        <v>168.3</v>
      </c>
      <c r="H74" s="2">
        <v>0</v>
      </c>
      <c r="I74" s="2">
        <v>0</v>
      </c>
      <c r="J74" s="2">
        <v>0</v>
      </c>
      <c r="K74" s="2">
        <v>51.5</v>
      </c>
      <c r="L74" s="2">
        <v>11.8</v>
      </c>
      <c r="BA74">
        <v>1</v>
      </c>
      <c r="BB74">
        <v>2</v>
      </c>
    </row>
    <row r="75" spans="1:54" x14ac:dyDescent="0.2">
      <c r="A75">
        <v>4</v>
      </c>
      <c r="B75">
        <f>VLOOKUP(A75,'Grid - LRA Samples'!$A$2:$B$108,2,FALSE)</f>
        <v>368</v>
      </c>
      <c r="C75" s="26" t="s">
        <v>152</v>
      </c>
      <c r="E75" s="2">
        <v>12.7</v>
      </c>
      <c r="F75" s="2"/>
      <c r="G75" s="2">
        <v>46.5</v>
      </c>
      <c r="H75" s="2"/>
      <c r="I75" s="2"/>
      <c r="J75">
        <v>0</v>
      </c>
      <c r="K75">
        <v>0</v>
      </c>
      <c r="L75" s="2"/>
      <c r="BA75">
        <v>1</v>
      </c>
      <c r="BB75">
        <v>2</v>
      </c>
    </row>
    <row r="76" spans="1:54" x14ac:dyDescent="0.2">
      <c r="A76">
        <v>5</v>
      </c>
      <c r="B76">
        <f>VLOOKUP(A76,'Grid - LRA Samples'!$A$2:$B$108,2,FALSE)</f>
        <v>171</v>
      </c>
      <c r="C76" s="26" t="s">
        <v>152</v>
      </c>
      <c r="E76" s="2">
        <v>63.1</v>
      </c>
      <c r="F76" s="2">
        <v>30.8</v>
      </c>
      <c r="G76" s="2">
        <v>850.3</v>
      </c>
      <c r="H76" s="2">
        <v>0</v>
      </c>
      <c r="I76" s="2"/>
      <c r="J76" s="2">
        <v>0</v>
      </c>
      <c r="K76" s="2">
        <v>0</v>
      </c>
      <c r="L76" s="2">
        <v>0</v>
      </c>
      <c r="BA76">
        <v>1</v>
      </c>
      <c r="BB76">
        <v>2</v>
      </c>
    </row>
    <row r="77" spans="1:54" x14ac:dyDescent="0.2">
      <c r="A77">
        <v>6</v>
      </c>
      <c r="B77">
        <f>VLOOKUP(A77,'Grid - LRA Samples'!$A$2:$B$108,2,FALSE)</f>
        <v>683</v>
      </c>
      <c r="C77" s="26" t="s">
        <v>152</v>
      </c>
      <c r="H77" s="2"/>
      <c r="I77" s="2"/>
      <c r="J77" s="2"/>
      <c r="K77" s="2"/>
      <c r="L77" s="2"/>
      <c r="BA77">
        <v>1</v>
      </c>
      <c r="BB77">
        <v>2</v>
      </c>
    </row>
    <row r="78" spans="1:54" x14ac:dyDescent="0.2">
      <c r="A78">
        <v>7</v>
      </c>
      <c r="B78">
        <f>VLOOKUP(A78,'Grid - LRA Samples'!$A$2:$B$108,2,FALSE)</f>
        <v>1207</v>
      </c>
      <c r="C78" s="26" t="s">
        <v>152</v>
      </c>
      <c r="E78" s="2">
        <v>92</v>
      </c>
      <c r="F78" s="2">
        <v>0</v>
      </c>
      <c r="G78" s="2">
        <v>1743</v>
      </c>
      <c r="H78" s="2">
        <v>1559</v>
      </c>
      <c r="I78" s="2">
        <v>0</v>
      </c>
      <c r="J78" s="2"/>
      <c r="K78" s="2">
        <v>9</v>
      </c>
      <c r="L78" s="2">
        <v>0</v>
      </c>
      <c r="V78" s="2">
        <v>14</v>
      </c>
      <c r="W78" s="2" t="s">
        <v>107</v>
      </c>
      <c r="BA78">
        <v>1</v>
      </c>
      <c r="BB78">
        <v>2</v>
      </c>
    </row>
    <row r="79" spans="1:54" x14ac:dyDescent="0.2">
      <c r="A79">
        <v>9</v>
      </c>
      <c r="B79">
        <f>VLOOKUP(A79,'Grid - LRA Samples'!$A$2:$B$108,2,FALSE)</f>
        <v>980</v>
      </c>
      <c r="C79" s="26" t="s">
        <v>152</v>
      </c>
      <c r="E79">
        <v>54</v>
      </c>
      <c r="F79">
        <v>1183</v>
      </c>
      <c r="G79">
        <v>469</v>
      </c>
      <c r="H79">
        <v>251535</v>
      </c>
      <c r="I79">
        <v>13029</v>
      </c>
      <c r="J79">
        <v>729</v>
      </c>
      <c r="K79">
        <v>17</v>
      </c>
      <c r="L79">
        <v>229</v>
      </c>
      <c r="BA79">
        <v>1</v>
      </c>
      <c r="BB79">
        <v>2</v>
      </c>
    </row>
    <row r="80" spans="1:54" x14ac:dyDescent="0.2">
      <c r="A80">
        <v>10</v>
      </c>
      <c r="B80">
        <f>VLOOKUP(A80,'Grid - LRA Samples'!$A$2:$B$108,2,FALSE)</f>
        <v>519</v>
      </c>
      <c r="C80" s="26" t="s">
        <v>152</v>
      </c>
      <c r="E80">
        <v>241.5</v>
      </c>
      <c r="F80">
        <v>837.3</v>
      </c>
      <c r="G80">
        <v>321.2</v>
      </c>
      <c r="I80" s="2">
        <v>0</v>
      </c>
      <c r="J80">
        <v>4.9000000000000004</v>
      </c>
      <c r="K80">
        <v>161</v>
      </c>
      <c r="L80" s="2">
        <v>0</v>
      </c>
      <c r="BA80">
        <v>1</v>
      </c>
      <c r="BB80">
        <v>2</v>
      </c>
    </row>
    <row r="81" spans="1:54" x14ac:dyDescent="0.2">
      <c r="A81">
        <v>11</v>
      </c>
      <c r="B81">
        <f>VLOOKUP(A81,'Grid - LRA Samples'!$A$2:$B$108,2,FALSE)</f>
        <v>1208</v>
      </c>
      <c r="C81" s="26" t="s">
        <v>152</v>
      </c>
      <c r="E81">
        <v>233</v>
      </c>
      <c r="F81">
        <v>92</v>
      </c>
      <c r="P81">
        <v>140</v>
      </c>
      <c r="Q81" t="s">
        <v>455</v>
      </c>
      <c r="BA81">
        <v>1</v>
      </c>
      <c r="BB81">
        <v>2</v>
      </c>
    </row>
    <row r="82" spans="1:54" x14ac:dyDescent="0.2">
      <c r="A82">
        <v>12</v>
      </c>
      <c r="B82">
        <f>VLOOKUP(A82,'Grid - LRA Samples'!$A$2:$B$108,2,FALSE)</f>
        <v>1267</v>
      </c>
      <c r="C82" s="26" t="s">
        <v>152</v>
      </c>
      <c r="BA82">
        <v>1</v>
      </c>
      <c r="BB82">
        <v>2</v>
      </c>
    </row>
    <row r="83" spans="1:54" x14ac:dyDescent="0.2">
      <c r="A83">
        <v>13</v>
      </c>
      <c r="B83">
        <f>VLOOKUP(A83,'Grid - LRA Samples'!$A$2:$B$108,2,FALSE)</f>
        <v>1268</v>
      </c>
      <c r="C83" s="26" t="s">
        <v>152</v>
      </c>
      <c r="E83">
        <v>12</v>
      </c>
      <c r="F83">
        <v>9</v>
      </c>
      <c r="G83">
        <v>6</v>
      </c>
      <c r="H83">
        <v>0</v>
      </c>
      <c r="I83">
        <v>0</v>
      </c>
      <c r="J83">
        <v>0</v>
      </c>
      <c r="K83">
        <v>0</v>
      </c>
      <c r="L83">
        <v>0</v>
      </c>
      <c r="BA83">
        <v>1</v>
      </c>
      <c r="BB83">
        <v>2</v>
      </c>
    </row>
    <row r="84" spans="1:54" x14ac:dyDescent="0.2">
      <c r="A84">
        <v>14</v>
      </c>
      <c r="B84">
        <f>VLOOKUP(A84,'Grid - LRA Samples'!$A$2:$B$108,2,FALSE)</f>
        <v>1266</v>
      </c>
      <c r="C84" s="26" t="s">
        <v>152</v>
      </c>
      <c r="E84">
        <v>77</v>
      </c>
      <c r="F84">
        <v>44</v>
      </c>
      <c r="G84">
        <v>46</v>
      </c>
      <c r="H84">
        <v>501</v>
      </c>
      <c r="J84">
        <v>17</v>
      </c>
      <c r="K84">
        <v>14</v>
      </c>
      <c r="L84">
        <v>45</v>
      </c>
      <c r="BA84">
        <v>1</v>
      </c>
      <c r="BB84">
        <v>2</v>
      </c>
    </row>
    <row r="85" spans="1:54" x14ac:dyDescent="0.2">
      <c r="A85">
        <v>53</v>
      </c>
      <c r="B85">
        <f>VLOOKUP(A85,'Grid - LRA Samples'!$A$2:$B$108,2,FALSE)</f>
        <v>1258</v>
      </c>
      <c r="C85" s="26" t="s">
        <v>152</v>
      </c>
      <c r="BA85">
        <v>1</v>
      </c>
      <c r="BB85">
        <v>2</v>
      </c>
    </row>
    <row r="86" spans="1:54" x14ac:dyDescent="0.2">
      <c r="A86">
        <v>54</v>
      </c>
      <c r="B86">
        <f>VLOOKUP(A86,'Grid - LRA Samples'!$A$2:$B$108,2,FALSE)</f>
        <v>1261</v>
      </c>
      <c r="C86" s="26" t="s">
        <v>152</v>
      </c>
      <c r="E86">
        <v>22</v>
      </c>
      <c r="F86">
        <v>28</v>
      </c>
      <c r="H86">
        <v>29145</v>
      </c>
      <c r="J86">
        <v>0</v>
      </c>
      <c r="K86">
        <v>0</v>
      </c>
      <c r="L86">
        <v>0</v>
      </c>
      <c r="BA86">
        <v>1</v>
      </c>
      <c r="BB86">
        <v>2</v>
      </c>
    </row>
    <row r="87" spans="1:54" x14ac:dyDescent="0.2">
      <c r="A87">
        <v>55</v>
      </c>
      <c r="B87">
        <f>VLOOKUP(A87,'Grid - LRA Samples'!$A$2:$B$108,2,FALSE)</f>
        <v>1263</v>
      </c>
      <c r="C87" s="26" t="s">
        <v>152</v>
      </c>
      <c r="BA87">
        <v>1</v>
      </c>
      <c r="BB87">
        <v>2</v>
      </c>
    </row>
    <row r="88" spans="1:54" x14ac:dyDescent="0.2">
      <c r="A88">
        <v>57</v>
      </c>
      <c r="B88">
        <f>VLOOKUP(A88,'Grid - LRA Samples'!$A$2:$B$108,2,FALSE)</f>
        <v>1269</v>
      </c>
      <c r="C88" s="26" t="s">
        <v>152</v>
      </c>
      <c r="E88">
        <v>35</v>
      </c>
      <c r="F88">
        <v>294</v>
      </c>
      <c r="G88">
        <v>73</v>
      </c>
      <c r="H88">
        <v>224856</v>
      </c>
      <c r="I88">
        <v>3</v>
      </c>
      <c r="J88">
        <v>0</v>
      </c>
      <c r="K88">
        <v>0</v>
      </c>
      <c r="L88">
        <v>5</v>
      </c>
      <c r="BA88">
        <v>1</v>
      </c>
      <c r="BB88">
        <v>2</v>
      </c>
    </row>
    <row r="89" spans="1:54" x14ac:dyDescent="0.2">
      <c r="A89">
        <v>62</v>
      </c>
      <c r="B89">
        <f>VLOOKUP(A89,'Grid - LRA Samples'!$A$2:$B$108,2,FALSE)</f>
        <v>571</v>
      </c>
      <c r="C89" s="26" t="s">
        <v>152</v>
      </c>
      <c r="E89">
        <v>127.4</v>
      </c>
      <c r="F89">
        <v>1167.0999999999999</v>
      </c>
      <c r="G89">
        <v>515.6</v>
      </c>
      <c r="H89">
        <v>10726.7</v>
      </c>
      <c r="I89">
        <v>328.3</v>
      </c>
      <c r="J89">
        <v>32.4</v>
      </c>
      <c r="BA89">
        <v>1</v>
      </c>
      <c r="BB89">
        <v>2</v>
      </c>
    </row>
    <row r="90" spans="1:54" x14ac:dyDescent="0.2">
      <c r="A90">
        <v>63</v>
      </c>
      <c r="B90">
        <f>VLOOKUP(A90,'Grid - LRA Samples'!$A$2:$B$108,2,FALSE)</f>
        <v>778</v>
      </c>
      <c r="C90" s="26" t="s">
        <v>152</v>
      </c>
      <c r="E90">
        <v>7</v>
      </c>
      <c r="F90">
        <v>15</v>
      </c>
      <c r="G90">
        <v>62</v>
      </c>
      <c r="H90">
        <v>0</v>
      </c>
      <c r="I90">
        <v>2699</v>
      </c>
      <c r="K90">
        <v>0</v>
      </c>
      <c r="L90">
        <v>0</v>
      </c>
      <c r="BA90">
        <v>1</v>
      </c>
      <c r="BB90">
        <v>2</v>
      </c>
    </row>
    <row r="91" spans="1:54" x14ac:dyDescent="0.2">
      <c r="A91">
        <v>69</v>
      </c>
      <c r="B91">
        <f>VLOOKUP(A91,'Grid - LRA Samples'!$A$2:$B$108,2,FALSE)</f>
        <v>1305</v>
      </c>
      <c r="C91" s="26" t="s">
        <v>152</v>
      </c>
      <c r="F91">
        <v>167</v>
      </c>
      <c r="G91">
        <v>1443</v>
      </c>
      <c r="H91">
        <v>146104</v>
      </c>
      <c r="I91">
        <v>0</v>
      </c>
      <c r="J91">
        <v>0</v>
      </c>
      <c r="K91">
        <v>0</v>
      </c>
      <c r="L91">
        <v>64</v>
      </c>
      <c r="P91">
        <v>41</v>
      </c>
      <c r="Q91" t="s">
        <v>404</v>
      </c>
      <c r="BA91">
        <v>1</v>
      </c>
      <c r="BB91">
        <v>2</v>
      </c>
    </row>
    <row r="92" spans="1:54" x14ac:dyDescent="0.2">
      <c r="A92">
        <v>70</v>
      </c>
      <c r="B92">
        <f>VLOOKUP(A92,'Grid - LRA Samples'!$A$2:$B$108,2,FALSE)</f>
        <v>1310</v>
      </c>
      <c r="C92" s="26" t="s">
        <v>152</v>
      </c>
      <c r="E92">
        <v>10</v>
      </c>
      <c r="F92">
        <v>33</v>
      </c>
      <c r="H92">
        <v>0</v>
      </c>
      <c r="I92">
        <v>507</v>
      </c>
      <c r="J92">
        <v>0</v>
      </c>
      <c r="K92">
        <v>0</v>
      </c>
      <c r="L92">
        <v>0</v>
      </c>
      <c r="BA92">
        <v>1</v>
      </c>
      <c r="BB92">
        <v>2</v>
      </c>
    </row>
    <row r="93" spans="1:54" x14ac:dyDescent="0.2">
      <c r="A93">
        <v>71</v>
      </c>
      <c r="B93">
        <f>VLOOKUP(A93,'Grid - LRA Samples'!$A$2:$B$108,2,FALSE)</f>
        <v>1317</v>
      </c>
      <c r="C93" s="26" t="s">
        <v>152</v>
      </c>
      <c r="E93">
        <v>79</v>
      </c>
      <c r="F93">
        <v>37</v>
      </c>
      <c r="G93">
        <v>374</v>
      </c>
      <c r="H93">
        <v>41</v>
      </c>
      <c r="I93">
        <v>1</v>
      </c>
      <c r="J93">
        <v>7</v>
      </c>
      <c r="K93">
        <v>6</v>
      </c>
      <c r="L93">
        <v>0</v>
      </c>
      <c r="BA93">
        <v>1</v>
      </c>
      <c r="BB93">
        <v>2</v>
      </c>
    </row>
    <row r="94" spans="1:54" x14ac:dyDescent="0.2">
      <c r="A94">
        <v>75</v>
      </c>
      <c r="B94">
        <f>VLOOKUP(A94,'Grid - LRA Samples'!$A$2:$B$108,2,FALSE)</f>
        <v>1347</v>
      </c>
      <c r="C94" s="26" t="s">
        <v>152</v>
      </c>
      <c r="F94">
        <v>2</v>
      </c>
      <c r="G94">
        <v>9</v>
      </c>
      <c r="I94">
        <v>250</v>
      </c>
      <c r="J94">
        <v>0</v>
      </c>
      <c r="K94">
        <v>0</v>
      </c>
      <c r="L94">
        <v>0</v>
      </c>
      <c r="P94">
        <v>8</v>
      </c>
      <c r="Q94" t="s">
        <v>417</v>
      </c>
      <c r="BA94">
        <v>1</v>
      </c>
      <c r="BB94">
        <v>2</v>
      </c>
    </row>
    <row r="95" spans="1:54" x14ac:dyDescent="0.2">
      <c r="A95">
        <v>78</v>
      </c>
      <c r="B95">
        <f>VLOOKUP(A95,'Grid - LRA Samples'!$A$2:$B$108,2,FALSE)</f>
        <v>1356</v>
      </c>
      <c r="C95" s="26" t="s">
        <v>152</v>
      </c>
      <c r="E95">
        <v>81</v>
      </c>
      <c r="F95">
        <v>306</v>
      </c>
      <c r="G95">
        <v>279</v>
      </c>
      <c r="H95">
        <v>78</v>
      </c>
      <c r="I95">
        <v>288</v>
      </c>
      <c r="J95">
        <v>0</v>
      </c>
      <c r="K95">
        <v>0</v>
      </c>
      <c r="L95">
        <v>85</v>
      </c>
      <c r="BA95">
        <v>1</v>
      </c>
      <c r="BB95">
        <v>2</v>
      </c>
    </row>
    <row r="96" spans="1:54" x14ac:dyDescent="0.2">
      <c r="A96">
        <v>81</v>
      </c>
      <c r="B96">
        <f>VLOOKUP(A96,'Grid - LRA Samples'!$A$2:$B$108,2,FALSE)</f>
        <v>1403</v>
      </c>
      <c r="C96" s="26" t="s">
        <v>152</v>
      </c>
      <c r="E96">
        <v>14</v>
      </c>
      <c r="F96">
        <v>153</v>
      </c>
      <c r="G96">
        <v>125</v>
      </c>
      <c r="H96">
        <v>16</v>
      </c>
      <c r="I96">
        <v>377</v>
      </c>
      <c r="J96">
        <v>25</v>
      </c>
      <c r="K96">
        <v>108</v>
      </c>
      <c r="L96">
        <v>0</v>
      </c>
      <c r="BA96">
        <v>1</v>
      </c>
      <c r="BB96">
        <v>2</v>
      </c>
    </row>
    <row r="97" spans="1:54" x14ac:dyDescent="0.2">
      <c r="A97">
        <v>82</v>
      </c>
      <c r="B97">
        <f>VLOOKUP(A97,'Grid - LRA Samples'!$A$2:$B$108,2,FALSE)</f>
        <v>1415</v>
      </c>
      <c r="C97" s="26" t="s">
        <v>152</v>
      </c>
      <c r="E97">
        <v>16</v>
      </c>
      <c r="F97">
        <v>197</v>
      </c>
      <c r="G97">
        <v>1579</v>
      </c>
      <c r="H97">
        <v>380</v>
      </c>
      <c r="I97">
        <v>514</v>
      </c>
      <c r="J97">
        <v>57</v>
      </c>
      <c r="K97">
        <v>0</v>
      </c>
      <c r="L97">
        <v>51</v>
      </c>
      <c r="BA97">
        <v>1</v>
      </c>
      <c r="BB97">
        <v>2</v>
      </c>
    </row>
    <row r="98" spans="1:54" x14ac:dyDescent="0.2">
      <c r="A98">
        <v>92</v>
      </c>
      <c r="B98">
        <f>VLOOKUP(A98,'Grid - LRA Samples'!$A$2:$B$108,2,FALSE)</f>
        <v>1436</v>
      </c>
      <c r="C98" s="26" t="s">
        <v>152</v>
      </c>
      <c r="E98">
        <v>58</v>
      </c>
      <c r="F98">
        <v>2064</v>
      </c>
      <c r="G98">
        <v>389</v>
      </c>
      <c r="H98">
        <v>0</v>
      </c>
      <c r="I98">
        <v>0</v>
      </c>
      <c r="J98">
        <v>53</v>
      </c>
      <c r="K98">
        <v>0</v>
      </c>
      <c r="L98">
        <v>0</v>
      </c>
      <c r="BA98">
        <v>1</v>
      </c>
      <c r="BB98">
        <v>2</v>
      </c>
    </row>
    <row r="99" spans="1:54" x14ac:dyDescent="0.2">
      <c r="A99">
        <v>93</v>
      </c>
      <c r="B99">
        <f>VLOOKUP(A99,'Grid - LRA Samples'!$A$2:$B$108,2,FALSE)</f>
        <v>1437</v>
      </c>
      <c r="C99" s="26" t="s">
        <v>152</v>
      </c>
      <c r="E99">
        <v>101</v>
      </c>
      <c r="F99">
        <v>65</v>
      </c>
      <c r="G99">
        <v>561</v>
      </c>
      <c r="H99">
        <v>440</v>
      </c>
      <c r="I99">
        <v>3239</v>
      </c>
      <c r="J99">
        <v>67</v>
      </c>
      <c r="K99">
        <v>107</v>
      </c>
      <c r="L99">
        <v>491</v>
      </c>
      <c r="BA99">
        <v>1</v>
      </c>
      <c r="BB99">
        <v>2</v>
      </c>
    </row>
    <row r="100" spans="1:54" x14ac:dyDescent="0.2">
      <c r="A100">
        <v>94</v>
      </c>
      <c r="B100">
        <f>VLOOKUP(A100,'Grid - LRA Samples'!$A$2:$B$108,2,FALSE)</f>
        <v>1448</v>
      </c>
      <c r="C100" s="26" t="s">
        <v>152</v>
      </c>
      <c r="E100">
        <v>85</v>
      </c>
      <c r="F100">
        <v>161</v>
      </c>
      <c r="G100">
        <v>160</v>
      </c>
      <c r="H100">
        <v>51</v>
      </c>
      <c r="I100">
        <v>0</v>
      </c>
      <c r="J100">
        <v>202</v>
      </c>
      <c r="K100">
        <v>0</v>
      </c>
      <c r="L100">
        <v>25</v>
      </c>
      <c r="BA100">
        <v>1</v>
      </c>
      <c r="BB100">
        <v>2</v>
      </c>
    </row>
    <row r="101" spans="1:54" x14ac:dyDescent="0.2">
      <c r="A101">
        <v>95</v>
      </c>
      <c r="B101">
        <f>VLOOKUP(A101,'Grid - LRA Samples'!$A$2:$B$108,2,FALSE)</f>
        <v>1487</v>
      </c>
      <c r="C101" s="26" t="s">
        <v>152</v>
      </c>
      <c r="E101">
        <v>0</v>
      </c>
      <c r="F101">
        <v>43</v>
      </c>
      <c r="G101">
        <v>89</v>
      </c>
      <c r="H101">
        <v>0</v>
      </c>
      <c r="I101">
        <v>0</v>
      </c>
      <c r="J101">
        <v>13</v>
      </c>
      <c r="K101">
        <v>501</v>
      </c>
      <c r="L101">
        <v>24</v>
      </c>
      <c r="BA101">
        <v>1</v>
      </c>
      <c r="BB101">
        <v>2</v>
      </c>
    </row>
    <row r="102" spans="1:54" x14ac:dyDescent="0.2">
      <c r="A102">
        <v>96</v>
      </c>
      <c r="B102">
        <f>VLOOKUP(A102,'Grid - LRA Samples'!$A$2:$B$108,2,FALSE)</f>
        <v>1490</v>
      </c>
      <c r="C102" s="26" t="s">
        <v>152</v>
      </c>
      <c r="G102">
        <v>0</v>
      </c>
      <c r="H102">
        <v>0</v>
      </c>
      <c r="J102">
        <v>0</v>
      </c>
      <c r="K102">
        <v>0</v>
      </c>
      <c r="L102">
        <v>0</v>
      </c>
      <c r="BA102">
        <v>1</v>
      </c>
      <c r="BB102">
        <v>2</v>
      </c>
    </row>
    <row r="103" spans="1:54" x14ac:dyDescent="0.2">
      <c r="A103">
        <v>97</v>
      </c>
      <c r="B103">
        <f>VLOOKUP(A103,'Grid - LRA Samples'!$A$2:$B$108,2,FALSE)</f>
        <v>1493</v>
      </c>
      <c r="C103" s="26" t="s">
        <v>152</v>
      </c>
      <c r="F103">
        <v>55</v>
      </c>
      <c r="H103">
        <v>538</v>
      </c>
      <c r="I103">
        <v>417</v>
      </c>
      <c r="J103">
        <v>21</v>
      </c>
      <c r="K103">
        <v>14</v>
      </c>
      <c r="L103">
        <v>5</v>
      </c>
      <c r="P103">
        <v>0</v>
      </c>
      <c r="Q103" t="s">
        <v>415</v>
      </c>
      <c r="R103" s="2">
        <v>64</v>
      </c>
      <c r="S103" t="s">
        <v>38</v>
      </c>
      <c r="BA103">
        <v>1</v>
      </c>
      <c r="BB103">
        <v>2</v>
      </c>
    </row>
    <row r="104" spans="1:54" x14ac:dyDescent="0.2">
      <c r="A104">
        <v>98</v>
      </c>
      <c r="B104">
        <f>VLOOKUP(A104,'Grid - LRA Samples'!$A$2:$B$108,2,FALSE)</f>
        <v>1504</v>
      </c>
      <c r="C104" s="26" t="s">
        <v>152</v>
      </c>
      <c r="E104">
        <v>70</v>
      </c>
      <c r="F104" s="2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BA104">
        <v>1</v>
      </c>
      <c r="BB104">
        <v>2</v>
      </c>
    </row>
    <row r="105" spans="1:54" x14ac:dyDescent="0.2">
      <c r="A105">
        <v>99</v>
      </c>
      <c r="B105">
        <f>VLOOKUP(A105,'Grid - LRA Samples'!$A$2:$B$108,2,FALSE)</f>
        <v>1505</v>
      </c>
      <c r="C105" s="26" t="s">
        <v>152</v>
      </c>
      <c r="E105">
        <v>158</v>
      </c>
      <c r="F105" s="2">
        <v>85</v>
      </c>
      <c r="G105">
        <v>831</v>
      </c>
      <c r="I105">
        <v>0</v>
      </c>
      <c r="J105">
        <v>48</v>
      </c>
      <c r="K105">
        <v>28</v>
      </c>
      <c r="L105">
        <v>46</v>
      </c>
      <c r="BA105">
        <v>1</v>
      </c>
      <c r="BB105">
        <v>2</v>
      </c>
    </row>
    <row r="106" spans="1:54" x14ac:dyDescent="0.2">
      <c r="A106">
        <v>100</v>
      </c>
      <c r="B106">
        <f>VLOOKUP(A106,'Grid - LRA Samples'!$A$2:$B$108,2,FALSE)</f>
        <v>1518</v>
      </c>
      <c r="C106" s="26" t="s">
        <v>152</v>
      </c>
      <c r="E106">
        <v>17</v>
      </c>
      <c r="F106" s="2">
        <v>118</v>
      </c>
      <c r="G106">
        <v>353</v>
      </c>
      <c r="H106">
        <v>607900</v>
      </c>
      <c r="I106">
        <v>89</v>
      </c>
      <c r="J106">
        <v>1734</v>
      </c>
      <c r="K106">
        <v>47</v>
      </c>
      <c r="L106">
        <v>62</v>
      </c>
      <c r="BA106">
        <v>1</v>
      </c>
      <c r="BB106">
        <v>2</v>
      </c>
    </row>
    <row r="107" spans="1:54" x14ac:dyDescent="0.2">
      <c r="A107">
        <v>101</v>
      </c>
      <c r="B107">
        <f>VLOOKUP(A107,'Grid - LRA Samples'!$A$2:$B$108,2,FALSE)</f>
        <v>981</v>
      </c>
      <c r="C107" s="26" t="s">
        <v>152</v>
      </c>
      <c r="E107">
        <v>10</v>
      </c>
      <c r="F107" s="2">
        <v>19</v>
      </c>
      <c r="G107">
        <v>26</v>
      </c>
      <c r="H107">
        <v>27525</v>
      </c>
      <c r="I107">
        <v>857</v>
      </c>
      <c r="J107">
        <v>0</v>
      </c>
      <c r="K107">
        <v>0</v>
      </c>
      <c r="L107">
        <v>0</v>
      </c>
      <c r="BA107">
        <v>1</v>
      </c>
      <c r="BB107">
        <v>2</v>
      </c>
    </row>
    <row r="108" spans="1:54" x14ac:dyDescent="0.2">
      <c r="A108">
        <v>102</v>
      </c>
      <c r="B108">
        <f>VLOOKUP(A108,'Grid - LRA Samples'!$A$2:$B$108,2,FALSE)</f>
        <v>1524</v>
      </c>
      <c r="C108" s="26" t="s">
        <v>152</v>
      </c>
      <c r="I108">
        <v>2337</v>
      </c>
      <c r="J108">
        <v>0</v>
      </c>
      <c r="K108">
        <v>0</v>
      </c>
      <c r="L108">
        <v>17</v>
      </c>
      <c r="BA108">
        <v>1</v>
      </c>
      <c r="BB108">
        <v>2</v>
      </c>
    </row>
    <row r="109" spans="1:54" x14ac:dyDescent="0.2">
      <c r="A109">
        <v>103</v>
      </c>
      <c r="B109">
        <f>VLOOKUP(A109,'Grid - LRA Samples'!$A$2:$B$108,2,FALSE)</f>
        <v>1525</v>
      </c>
      <c r="C109" s="26" t="s">
        <v>152</v>
      </c>
      <c r="E109">
        <v>33</v>
      </c>
      <c r="F109" s="2">
        <v>0</v>
      </c>
      <c r="G109">
        <v>113</v>
      </c>
      <c r="H109">
        <v>13</v>
      </c>
      <c r="I109">
        <v>18</v>
      </c>
      <c r="J109">
        <v>0</v>
      </c>
      <c r="K109">
        <v>0</v>
      </c>
      <c r="L109">
        <v>0</v>
      </c>
      <c r="BA109">
        <v>1</v>
      </c>
      <c r="BB109">
        <v>2</v>
      </c>
    </row>
    <row r="110" spans="1:54" x14ac:dyDescent="0.2">
      <c r="A110">
        <v>104</v>
      </c>
      <c r="B110">
        <f>VLOOKUP(A110,'Grid - LRA Samples'!$A$2:$B$108,2,FALSE)</f>
        <v>1529</v>
      </c>
      <c r="C110" s="26" t="s">
        <v>152</v>
      </c>
      <c r="H110">
        <v>0</v>
      </c>
      <c r="I110">
        <v>0</v>
      </c>
      <c r="J110">
        <v>12</v>
      </c>
      <c r="K110">
        <v>27</v>
      </c>
      <c r="L110">
        <v>9</v>
      </c>
      <c r="BA110">
        <v>1</v>
      </c>
      <c r="BB110">
        <v>2</v>
      </c>
    </row>
    <row r="111" spans="1:54" x14ac:dyDescent="0.2">
      <c r="A111">
        <v>105</v>
      </c>
      <c r="B111">
        <f>VLOOKUP(A111,'Grid - LRA Samples'!$A$2:$B$108,2,FALSE)</f>
        <v>1533</v>
      </c>
      <c r="C111" s="26" t="s">
        <v>152</v>
      </c>
      <c r="E111">
        <v>97</v>
      </c>
      <c r="F111" s="2">
        <v>60</v>
      </c>
      <c r="G111">
        <v>374</v>
      </c>
      <c r="H111">
        <v>2</v>
      </c>
      <c r="I111">
        <v>282</v>
      </c>
      <c r="J111">
        <v>125</v>
      </c>
      <c r="K111">
        <v>0</v>
      </c>
      <c r="L111">
        <v>7</v>
      </c>
      <c r="BA111">
        <v>1</v>
      </c>
      <c r="BB111">
        <v>2</v>
      </c>
    </row>
    <row r="112" spans="1:54" x14ac:dyDescent="0.2">
      <c r="A112">
        <v>106</v>
      </c>
      <c r="B112">
        <f>VLOOKUP(A112,'Grid - LRA Samples'!$A$2:$B$108,2,FALSE)</f>
        <v>1532</v>
      </c>
      <c r="C112" s="26" t="s">
        <v>152</v>
      </c>
      <c r="H112">
        <v>65600</v>
      </c>
      <c r="I112">
        <v>4031</v>
      </c>
      <c r="J112">
        <v>371</v>
      </c>
      <c r="K112">
        <v>0</v>
      </c>
      <c r="L112">
        <v>9</v>
      </c>
      <c r="BA112">
        <v>1</v>
      </c>
      <c r="BB112">
        <v>2</v>
      </c>
    </row>
    <row r="114" spans="1:54" x14ac:dyDescent="0.2">
      <c r="C114" t="s">
        <v>475</v>
      </c>
      <c r="E114">
        <f>COUNT(E72:E112)</f>
        <v>30</v>
      </c>
      <c r="F114">
        <f t="shared" ref="F114:M114" si="4">COUNT(F72:F112)</f>
        <v>32</v>
      </c>
      <c r="G114">
        <f t="shared" si="4"/>
        <v>30</v>
      </c>
      <c r="H114">
        <f t="shared" si="4"/>
        <v>31</v>
      </c>
      <c r="I114">
        <f t="shared" si="4"/>
        <v>31</v>
      </c>
      <c r="J114">
        <f t="shared" si="4"/>
        <v>33</v>
      </c>
      <c r="K114">
        <f t="shared" si="4"/>
        <v>34</v>
      </c>
      <c r="L114">
        <f t="shared" si="4"/>
        <v>34</v>
      </c>
      <c r="M114">
        <f t="shared" si="4"/>
        <v>0</v>
      </c>
    </row>
    <row r="115" spans="1:54" x14ac:dyDescent="0.2">
      <c r="C115" t="s">
        <v>479</v>
      </c>
      <c r="E115">
        <f>COUNTIF(E72:E112,"&gt;=400")</f>
        <v>0</v>
      </c>
      <c r="F115">
        <f t="shared" ref="F115:G115" si="5">COUNTIF(F72:F112,"&gt;=400")</f>
        <v>5</v>
      </c>
      <c r="G115">
        <f t="shared" si="5"/>
        <v>8</v>
      </c>
      <c r="H115">
        <f>COUNTIF(H72:H112,"&gt;=5000")</f>
        <v>8</v>
      </c>
      <c r="I115">
        <f>COUNTIF(I72:I112,"&gt;=5000")</f>
        <v>2</v>
      </c>
      <c r="J115">
        <f>COUNTIF(J72:J112,"&gt;=20")</f>
        <v>13</v>
      </c>
      <c r="K115">
        <f>COUNTIF(K72:K112,"&gt;=20")</f>
        <v>9</v>
      </c>
      <c r="L115">
        <f>COUNTIF(L72:L112,"&gt;=230")</f>
        <v>1</v>
      </c>
    </row>
    <row r="116" spans="1:54" x14ac:dyDescent="0.2">
      <c r="C116" t="s">
        <v>482</v>
      </c>
      <c r="E116">
        <f>COUNTIF(E72:E112,"&gt;=80")</f>
        <v>10</v>
      </c>
      <c r="F116">
        <f t="shared" ref="F116:G116" si="6">COUNTIF(F72:F112,"&gt;=80")</f>
        <v>14</v>
      </c>
      <c r="G116">
        <f t="shared" si="6"/>
        <v>20</v>
      </c>
    </row>
    <row r="117" spans="1:54" x14ac:dyDescent="0.2">
      <c r="C117" t="s">
        <v>483</v>
      </c>
      <c r="E117" s="15">
        <f>E115/E114</f>
        <v>0</v>
      </c>
      <c r="F117" s="15">
        <f t="shared" ref="F117:L117" si="7">F115/F114</f>
        <v>0.15625</v>
      </c>
      <c r="G117" s="15">
        <f t="shared" si="7"/>
        <v>0.26666666666666666</v>
      </c>
      <c r="H117" s="15">
        <f t="shared" si="7"/>
        <v>0.25806451612903225</v>
      </c>
      <c r="I117" s="15">
        <f t="shared" si="7"/>
        <v>6.4516129032258063E-2</v>
      </c>
      <c r="J117" s="15">
        <f t="shared" si="7"/>
        <v>0.39393939393939392</v>
      </c>
      <c r="K117" s="15">
        <f t="shared" si="7"/>
        <v>0.26470588235294118</v>
      </c>
      <c r="L117" s="15">
        <f t="shared" si="7"/>
        <v>2.9411764705882353E-2</v>
      </c>
    </row>
    <row r="118" spans="1:54" x14ac:dyDescent="0.2">
      <c r="C118" t="s">
        <v>480</v>
      </c>
      <c r="E118" s="15">
        <f>SUM(E115:G115)/SUM(E114:G114)</f>
        <v>0.14130434782608695</v>
      </c>
      <c r="F118" s="15"/>
      <c r="G118" s="15"/>
      <c r="H118" s="15">
        <f>SUM(H115:I115)/SUM(H114:I114)</f>
        <v>0.16129032258064516</v>
      </c>
      <c r="I118" s="15"/>
      <c r="J118" s="15">
        <f>SUM(J115:L115)/SUM(J114:L114)</f>
        <v>0.22772277227722773</v>
      </c>
      <c r="K118" s="15"/>
      <c r="L118" s="15"/>
    </row>
    <row r="120" spans="1:54" x14ac:dyDescent="0.2">
      <c r="A120">
        <v>79</v>
      </c>
      <c r="B120">
        <f>VLOOKUP(A120,'Grid - LRA Samples'!$A$2:$B$108,2,FALSE)</f>
        <v>1401</v>
      </c>
      <c r="C120" t="s">
        <v>459</v>
      </c>
      <c r="E120">
        <v>110</v>
      </c>
      <c r="F120">
        <v>84</v>
      </c>
      <c r="G120">
        <v>235</v>
      </c>
      <c r="H120">
        <v>20082</v>
      </c>
      <c r="I120">
        <v>584</v>
      </c>
      <c r="J120">
        <v>43</v>
      </c>
      <c r="K120">
        <v>107</v>
      </c>
      <c r="L120">
        <v>104</v>
      </c>
      <c r="M120">
        <v>595</v>
      </c>
      <c r="BA120">
        <v>1</v>
      </c>
      <c r="BB120">
        <v>2</v>
      </c>
    </row>
    <row r="121" spans="1:54" x14ac:dyDescent="0.2">
      <c r="A121">
        <v>80</v>
      </c>
      <c r="B121">
        <f>VLOOKUP(A121,'Grid - LRA Samples'!$A$2:$B$108,2,FALSE)</f>
        <v>1402</v>
      </c>
      <c r="C121" t="s">
        <v>459</v>
      </c>
      <c r="E121">
        <v>136</v>
      </c>
      <c r="F121">
        <v>166</v>
      </c>
      <c r="G121">
        <v>231</v>
      </c>
      <c r="H121">
        <v>53084</v>
      </c>
      <c r="I121">
        <v>1675</v>
      </c>
      <c r="J121">
        <v>12</v>
      </c>
      <c r="K121">
        <v>9</v>
      </c>
      <c r="L121">
        <v>18</v>
      </c>
      <c r="M121">
        <v>616</v>
      </c>
      <c r="BA121">
        <v>1</v>
      </c>
      <c r="BB121">
        <v>2</v>
      </c>
    </row>
    <row r="122" spans="1:54" x14ac:dyDescent="0.2">
      <c r="A122">
        <v>85</v>
      </c>
      <c r="B122">
        <f>VLOOKUP(A122,'Grid - LRA Samples'!$A$2:$B$108,2,FALSE)</f>
        <v>1513</v>
      </c>
      <c r="C122" t="s">
        <v>460</v>
      </c>
      <c r="E122">
        <v>53.9</v>
      </c>
      <c r="F122">
        <v>108</v>
      </c>
      <c r="G122">
        <v>137</v>
      </c>
      <c r="H122">
        <v>12</v>
      </c>
      <c r="I122">
        <v>291</v>
      </c>
      <c r="J122">
        <v>10</v>
      </c>
      <c r="K122">
        <v>29</v>
      </c>
      <c r="L122">
        <v>2.5</v>
      </c>
      <c r="M122">
        <v>152</v>
      </c>
      <c r="BA122">
        <v>1</v>
      </c>
      <c r="BB122">
        <v>2</v>
      </c>
    </row>
    <row r="124" spans="1:54" x14ac:dyDescent="0.2">
      <c r="C124" t="s">
        <v>475</v>
      </c>
      <c r="E124">
        <f>COUNT(E120:E122)</f>
        <v>3</v>
      </c>
      <c r="F124">
        <f t="shared" ref="F124:M124" si="8">COUNT(F120:F122)</f>
        <v>3</v>
      </c>
      <c r="G124">
        <f t="shared" si="8"/>
        <v>3</v>
      </c>
      <c r="H124">
        <f t="shared" si="8"/>
        <v>3</v>
      </c>
      <c r="I124">
        <f t="shared" si="8"/>
        <v>3</v>
      </c>
      <c r="J124">
        <f t="shared" si="8"/>
        <v>3</v>
      </c>
      <c r="K124">
        <f t="shared" si="8"/>
        <v>3</v>
      </c>
      <c r="L124">
        <f t="shared" si="8"/>
        <v>3</v>
      </c>
      <c r="M124">
        <f t="shared" si="8"/>
        <v>3</v>
      </c>
    </row>
    <row r="125" spans="1:54" x14ac:dyDescent="0.2">
      <c r="C125" t="s">
        <v>479</v>
      </c>
      <c r="E125">
        <f>COUNTIF(E120:E122,"&gt;=400")</f>
        <v>0</v>
      </c>
      <c r="F125">
        <f t="shared" ref="F125:G125" si="9">COUNTIF(F120:F122,"&gt;=400")</f>
        <v>0</v>
      </c>
      <c r="G125">
        <f t="shared" si="9"/>
        <v>0</v>
      </c>
      <c r="H125">
        <f>COUNTIF(H120:H122,"&gt;=5000")</f>
        <v>2</v>
      </c>
      <c r="I125">
        <f>COUNTIF(I120:I122,"&gt;=5000")</f>
        <v>0</v>
      </c>
      <c r="J125">
        <f>COUNTIF(J120:J122,"&gt;=20")</f>
        <v>1</v>
      </c>
      <c r="K125">
        <f>COUNTIF(K120:K122,"&gt;=20")</f>
        <v>2</v>
      </c>
      <c r="L125">
        <f>COUNTIF(L120:L122,"&gt;=230")</f>
        <v>0</v>
      </c>
    </row>
    <row r="126" spans="1:54" x14ac:dyDescent="0.2">
      <c r="C126" t="s">
        <v>482</v>
      </c>
      <c r="E126">
        <f>COUNTIF(E120:E122,"&gt;=80")</f>
        <v>2</v>
      </c>
      <c r="F126">
        <f t="shared" ref="F126:G126" si="10">COUNTIF(F120:F122,"&gt;=80")</f>
        <v>3</v>
      </c>
      <c r="G126">
        <f t="shared" si="10"/>
        <v>3</v>
      </c>
    </row>
    <row r="127" spans="1:54" x14ac:dyDescent="0.2">
      <c r="C127" t="s">
        <v>483</v>
      </c>
      <c r="E127" s="15">
        <f>E125/E124</f>
        <v>0</v>
      </c>
      <c r="F127" s="15">
        <f t="shared" ref="F127:L127" si="11">F125/F124</f>
        <v>0</v>
      </c>
      <c r="G127" s="15">
        <f t="shared" si="11"/>
        <v>0</v>
      </c>
      <c r="H127" s="15">
        <f t="shared" si="11"/>
        <v>0.66666666666666663</v>
      </c>
      <c r="I127" s="15">
        <f t="shared" si="11"/>
        <v>0</v>
      </c>
      <c r="J127" s="15">
        <f t="shared" si="11"/>
        <v>0.33333333333333331</v>
      </c>
      <c r="K127" s="15">
        <f t="shared" si="11"/>
        <v>0.66666666666666663</v>
      </c>
      <c r="L127" s="15">
        <f t="shared" si="11"/>
        <v>0</v>
      </c>
    </row>
    <row r="128" spans="1:54" x14ac:dyDescent="0.2">
      <c r="C128" t="s">
        <v>480</v>
      </c>
      <c r="E128">
        <f>SUM(E125:G125)/SUM(E124:G124)</f>
        <v>0</v>
      </c>
      <c r="H128" s="32">
        <f>SUM(H125:I125)/SUM(H124:I124)</f>
        <v>0.33333333333333331</v>
      </c>
      <c r="J128" s="15">
        <f>SUM(J125:L125)/SUM(J124:L124)</f>
        <v>0.33333333333333331</v>
      </c>
    </row>
    <row r="129" spans="4:15" x14ac:dyDescent="0.2">
      <c r="H129" s="32"/>
    </row>
    <row r="130" spans="4:15" x14ac:dyDescent="0.2">
      <c r="H130" s="32"/>
      <c r="J130" s="15"/>
    </row>
    <row r="131" spans="4:15" x14ac:dyDescent="0.2">
      <c r="H131" s="32"/>
      <c r="J131" s="15"/>
    </row>
    <row r="132" spans="4:15" x14ac:dyDescent="0.2">
      <c r="D132" s="46" t="s">
        <v>458</v>
      </c>
      <c r="E132" s="34" t="s">
        <v>475</v>
      </c>
      <c r="F132" s="34"/>
      <c r="G132" s="34">
        <v>63</v>
      </c>
      <c r="H132" s="36">
        <v>63</v>
      </c>
      <c r="I132" s="34">
        <v>62</v>
      </c>
      <c r="J132" s="36">
        <v>57</v>
      </c>
      <c r="K132" s="34">
        <v>58</v>
      </c>
      <c r="L132" s="34">
        <v>62</v>
      </c>
      <c r="M132" s="34">
        <v>61</v>
      </c>
      <c r="N132" s="34">
        <v>62</v>
      </c>
      <c r="O132" s="34">
        <v>61</v>
      </c>
    </row>
    <row r="133" spans="4:15" x14ac:dyDescent="0.2">
      <c r="D133" s="46"/>
      <c r="E133" s="34" t="s">
        <v>479</v>
      </c>
      <c r="F133" s="34"/>
      <c r="G133" s="34">
        <v>1</v>
      </c>
      <c r="H133" s="36">
        <v>10</v>
      </c>
      <c r="I133" s="34">
        <v>20</v>
      </c>
      <c r="J133" s="36">
        <v>22</v>
      </c>
      <c r="K133" s="34">
        <v>10</v>
      </c>
      <c r="L133" s="34">
        <v>2</v>
      </c>
      <c r="M133" s="34">
        <v>3</v>
      </c>
      <c r="N133" s="34">
        <v>0</v>
      </c>
      <c r="O133" s="34"/>
    </row>
    <row r="134" spans="4:15" x14ac:dyDescent="0.2">
      <c r="D134" s="46"/>
      <c r="E134" s="34"/>
      <c r="F134" s="34"/>
      <c r="G134" s="34"/>
      <c r="H134" s="36"/>
      <c r="I134" s="34"/>
      <c r="J134" s="36"/>
      <c r="K134" s="34"/>
      <c r="L134" s="34"/>
      <c r="M134" s="34"/>
      <c r="N134" s="34"/>
      <c r="O134" s="34"/>
    </row>
    <row r="135" spans="4:15" x14ac:dyDescent="0.2">
      <c r="D135" s="46"/>
      <c r="E135" s="34" t="s">
        <v>477</v>
      </c>
      <c r="F135" s="34"/>
      <c r="G135" s="37">
        <v>1.5873015873015872E-2</v>
      </c>
      <c r="H135" s="35">
        <v>0.15873015873015872</v>
      </c>
      <c r="I135" s="37">
        <v>0.32258064516129031</v>
      </c>
      <c r="J135" s="35">
        <v>0.38596491228070173</v>
      </c>
      <c r="K135" s="37">
        <v>0.17241379310344829</v>
      </c>
      <c r="L135" s="37">
        <v>3.2258064516129031E-2</v>
      </c>
      <c r="M135" s="37">
        <v>4.9180327868852458E-2</v>
      </c>
      <c r="N135" s="37">
        <v>0</v>
      </c>
      <c r="O135" s="34"/>
    </row>
    <row r="136" spans="4:15" x14ac:dyDescent="0.2">
      <c r="D136" s="47" t="s">
        <v>152</v>
      </c>
      <c r="E136" s="38" t="s">
        <v>475</v>
      </c>
      <c r="F136" s="38"/>
      <c r="G136" s="38">
        <v>30</v>
      </c>
      <c r="H136" s="39">
        <v>32</v>
      </c>
      <c r="I136" s="38">
        <v>30</v>
      </c>
      <c r="J136" s="39">
        <v>31</v>
      </c>
      <c r="K136" s="38">
        <v>31</v>
      </c>
      <c r="L136" s="38">
        <v>33</v>
      </c>
      <c r="M136" s="38">
        <v>34</v>
      </c>
      <c r="N136" s="38">
        <v>34</v>
      </c>
      <c r="O136" s="38">
        <v>0</v>
      </c>
    </row>
    <row r="137" spans="4:15" x14ac:dyDescent="0.2">
      <c r="D137" s="47"/>
      <c r="E137" s="38" t="s">
        <v>476</v>
      </c>
      <c r="F137" s="38"/>
      <c r="G137" s="38">
        <v>0</v>
      </c>
      <c r="H137" s="39">
        <v>5</v>
      </c>
      <c r="I137" s="38">
        <v>8</v>
      </c>
      <c r="J137" s="39">
        <v>12</v>
      </c>
      <c r="K137" s="38">
        <v>10</v>
      </c>
      <c r="L137" s="38">
        <v>2</v>
      </c>
      <c r="M137" s="38">
        <v>1</v>
      </c>
      <c r="N137" s="38">
        <v>1</v>
      </c>
      <c r="O137" s="38"/>
    </row>
    <row r="138" spans="4:15" x14ac:dyDescent="0.2">
      <c r="D138" s="47"/>
      <c r="E138" s="38"/>
      <c r="F138" s="38"/>
      <c r="G138" s="38"/>
      <c r="H138" s="39"/>
      <c r="I138" s="38"/>
      <c r="J138" s="39"/>
      <c r="K138" s="38"/>
      <c r="L138" s="38"/>
      <c r="M138" s="38"/>
      <c r="N138" s="38"/>
      <c r="O138" s="38"/>
    </row>
    <row r="139" spans="4:15" x14ac:dyDescent="0.2">
      <c r="D139" s="47"/>
      <c r="E139" s="38" t="s">
        <v>477</v>
      </c>
      <c r="F139" s="38"/>
      <c r="G139" s="40">
        <v>0</v>
      </c>
      <c r="H139" s="41">
        <v>0.15625</v>
      </c>
      <c r="I139" s="41">
        <v>0.26666666666666666</v>
      </c>
      <c r="J139" s="40">
        <v>0.38709677419354838</v>
      </c>
      <c r="K139" s="40">
        <v>0.32258064516129031</v>
      </c>
      <c r="L139" s="40">
        <v>6.0606060606060608E-2</v>
      </c>
      <c r="M139" s="40">
        <v>2.9411764705882353E-2</v>
      </c>
      <c r="N139" s="40">
        <v>2.9411764705882353E-2</v>
      </c>
      <c r="O139" s="38"/>
    </row>
    <row r="140" spans="4:15" x14ac:dyDescent="0.2">
      <c r="D140" s="48" t="s">
        <v>64</v>
      </c>
      <c r="E140" s="42" t="s">
        <v>475</v>
      </c>
      <c r="F140" s="42"/>
      <c r="G140" s="42">
        <v>3</v>
      </c>
      <c r="H140" s="43">
        <v>3</v>
      </c>
      <c r="I140" s="42">
        <v>3</v>
      </c>
      <c r="J140" s="42">
        <v>3</v>
      </c>
      <c r="K140" s="42">
        <v>3</v>
      </c>
      <c r="L140" s="42">
        <v>3</v>
      </c>
      <c r="M140" s="42">
        <v>3</v>
      </c>
      <c r="N140" s="42">
        <v>3</v>
      </c>
      <c r="O140" s="42">
        <v>3</v>
      </c>
    </row>
    <row r="141" spans="4:15" x14ac:dyDescent="0.2">
      <c r="D141" s="48"/>
      <c r="E141" s="42" t="s">
        <v>476</v>
      </c>
      <c r="F141" s="42"/>
      <c r="G141" s="42">
        <v>0</v>
      </c>
      <c r="H141" s="42">
        <v>0</v>
      </c>
      <c r="I141" s="42">
        <v>0</v>
      </c>
      <c r="J141" s="42">
        <v>2</v>
      </c>
      <c r="K141" s="42">
        <v>2</v>
      </c>
      <c r="L141" s="42">
        <v>0</v>
      </c>
      <c r="M141" s="42">
        <v>0</v>
      </c>
      <c r="N141" s="42">
        <v>0</v>
      </c>
      <c r="O141" s="42"/>
    </row>
    <row r="142" spans="4:15" x14ac:dyDescent="0.2">
      <c r="D142" s="48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</row>
    <row r="143" spans="4:15" x14ac:dyDescent="0.2">
      <c r="D143" s="48"/>
      <c r="E143" s="42" t="s">
        <v>477</v>
      </c>
      <c r="F143" s="42"/>
      <c r="G143" s="44">
        <v>0</v>
      </c>
      <c r="H143" s="44">
        <v>0</v>
      </c>
      <c r="I143" s="44">
        <v>0</v>
      </c>
      <c r="J143" s="44">
        <v>0.66666666666666663</v>
      </c>
      <c r="K143" s="44">
        <v>0.66666666666666663</v>
      </c>
      <c r="L143" s="44">
        <v>0</v>
      </c>
      <c r="M143" s="44">
        <v>0</v>
      </c>
      <c r="N143" s="44">
        <v>0</v>
      </c>
      <c r="O143" s="42"/>
    </row>
  </sheetData>
  <sortState xmlns:xlrd2="http://schemas.microsoft.com/office/spreadsheetml/2017/richdata2" ref="A2:X122">
    <sortCondition ref="C2:C122"/>
  </sortState>
  <mergeCells count="3">
    <mergeCell ref="D132:D135"/>
    <mergeCell ref="D136:D139"/>
    <mergeCell ref="D140:D1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B35-EE45-8D49-9014-C7E0AAF4A8BF}">
  <sheetPr codeName="Sheet8"/>
  <dimension ref="A1:H117"/>
  <sheetViews>
    <sheetView workbookViewId="0">
      <selection activeCell="L91" sqref="L91"/>
    </sheetView>
  </sheetViews>
  <sheetFormatPr baseColWidth="10" defaultRowHeight="16" x14ac:dyDescent="0.2"/>
  <cols>
    <col min="2" max="2" width="10.6640625" bestFit="1" customWidth="1"/>
    <col min="3" max="3" width="13.83203125" customWidth="1"/>
  </cols>
  <sheetData>
    <row r="1" spans="1:8" x14ac:dyDescent="0.2">
      <c r="A1" t="s">
        <v>285</v>
      </c>
      <c r="B1" t="s">
        <v>484</v>
      </c>
      <c r="C1" t="s">
        <v>457</v>
      </c>
      <c r="E1" t="s">
        <v>462</v>
      </c>
      <c r="F1" t="s">
        <v>461</v>
      </c>
      <c r="G1" t="s">
        <v>463</v>
      </c>
      <c r="H1" t="s">
        <v>464</v>
      </c>
    </row>
    <row r="2" spans="1:8" x14ac:dyDescent="0.2">
      <c r="A2">
        <v>1</v>
      </c>
      <c r="B2" s="70">
        <v>369</v>
      </c>
      <c r="C2" t="s">
        <v>152</v>
      </c>
      <c r="E2">
        <f>Data!AI44</f>
        <v>6</v>
      </c>
      <c r="F2">
        <f>Data!AJ44</f>
        <v>0</v>
      </c>
      <c r="G2">
        <f>Data!AK44</f>
        <v>1</v>
      </c>
      <c r="H2">
        <f>Data!AL44</f>
        <v>1</v>
      </c>
    </row>
    <row r="3" spans="1:8" x14ac:dyDescent="0.2">
      <c r="A3">
        <v>2</v>
      </c>
      <c r="B3" s="70">
        <v>367</v>
      </c>
      <c r="C3" t="s">
        <v>152</v>
      </c>
      <c r="E3">
        <v>1</v>
      </c>
      <c r="F3">
        <v>8</v>
      </c>
      <c r="G3">
        <v>1</v>
      </c>
      <c r="H3">
        <v>1</v>
      </c>
    </row>
    <row r="4" spans="1:8" x14ac:dyDescent="0.2">
      <c r="A4">
        <v>3</v>
      </c>
      <c r="B4" s="70">
        <v>370</v>
      </c>
      <c r="C4" t="s">
        <v>152</v>
      </c>
      <c r="E4">
        <v>2</v>
      </c>
      <c r="F4">
        <v>1</v>
      </c>
      <c r="G4">
        <v>0</v>
      </c>
      <c r="H4">
        <v>1</v>
      </c>
    </row>
    <row r="5" spans="1:8" x14ac:dyDescent="0.2">
      <c r="A5">
        <v>4</v>
      </c>
      <c r="B5" s="70">
        <v>368</v>
      </c>
      <c r="C5" t="s">
        <v>152</v>
      </c>
      <c r="E5">
        <v>4</v>
      </c>
      <c r="F5">
        <v>1</v>
      </c>
      <c r="G5">
        <v>1</v>
      </c>
      <c r="H5">
        <v>1</v>
      </c>
    </row>
    <row r="6" spans="1:8" x14ac:dyDescent="0.2">
      <c r="A6">
        <v>5</v>
      </c>
      <c r="B6" s="70">
        <v>171</v>
      </c>
      <c r="C6" t="s">
        <v>152</v>
      </c>
      <c r="E6">
        <v>1</v>
      </c>
      <c r="F6">
        <v>1</v>
      </c>
      <c r="G6">
        <v>1</v>
      </c>
      <c r="H6">
        <v>0</v>
      </c>
    </row>
    <row r="7" spans="1:8" x14ac:dyDescent="0.2">
      <c r="A7">
        <v>6</v>
      </c>
      <c r="B7" s="70">
        <v>683</v>
      </c>
      <c r="C7" t="s">
        <v>152</v>
      </c>
      <c r="E7">
        <v>0</v>
      </c>
      <c r="F7">
        <v>1</v>
      </c>
      <c r="G7">
        <v>0</v>
      </c>
      <c r="H7">
        <v>2</v>
      </c>
    </row>
    <row r="8" spans="1:8" x14ac:dyDescent="0.2">
      <c r="A8">
        <v>7</v>
      </c>
      <c r="B8" s="70">
        <v>1207</v>
      </c>
      <c r="C8" t="s">
        <v>152</v>
      </c>
      <c r="E8">
        <v>0</v>
      </c>
      <c r="F8">
        <v>12</v>
      </c>
      <c r="G8">
        <v>1</v>
      </c>
      <c r="H8">
        <v>1</v>
      </c>
    </row>
    <row r="9" spans="1:8" x14ac:dyDescent="0.2">
      <c r="A9">
        <v>8</v>
      </c>
      <c r="B9" s="70">
        <v>391</v>
      </c>
      <c r="C9" t="s">
        <v>458</v>
      </c>
      <c r="E9">
        <v>1</v>
      </c>
      <c r="F9">
        <v>1</v>
      </c>
      <c r="G9">
        <v>1</v>
      </c>
      <c r="H9">
        <v>1</v>
      </c>
    </row>
    <row r="10" spans="1:8" x14ac:dyDescent="0.2">
      <c r="A10">
        <v>9</v>
      </c>
      <c r="B10" s="70">
        <v>980</v>
      </c>
      <c r="C10" t="s">
        <v>152</v>
      </c>
      <c r="E10">
        <v>14</v>
      </c>
      <c r="F10">
        <v>10</v>
      </c>
      <c r="G10">
        <v>1</v>
      </c>
      <c r="H10">
        <v>6</v>
      </c>
    </row>
    <row r="11" spans="1:8" x14ac:dyDescent="0.2">
      <c r="A11">
        <v>10</v>
      </c>
      <c r="B11" s="70">
        <v>519</v>
      </c>
      <c r="C11" t="s">
        <v>152</v>
      </c>
      <c r="E11">
        <v>7</v>
      </c>
      <c r="F11">
        <v>8</v>
      </c>
      <c r="G11">
        <v>0</v>
      </c>
      <c r="H11">
        <v>0</v>
      </c>
    </row>
    <row r="12" spans="1:8" x14ac:dyDescent="0.2">
      <c r="A12">
        <v>11</v>
      </c>
      <c r="B12" s="70">
        <v>1208</v>
      </c>
      <c r="C12" t="s">
        <v>152</v>
      </c>
      <c r="E12">
        <v>0</v>
      </c>
      <c r="F12">
        <v>0</v>
      </c>
      <c r="G12">
        <v>3</v>
      </c>
      <c r="H12">
        <v>0</v>
      </c>
    </row>
    <row r="13" spans="1:8" x14ac:dyDescent="0.2">
      <c r="A13">
        <v>12</v>
      </c>
      <c r="B13" s="70">
        <v>1267</v>
      </c>
      <c r="C13" t="s">
        <v>152</v>
      </c>
      <c r="E13">
        <v>2</v>
      </c>
      <c r="F13">
        <v>3</v>
      </c>
      <c r="G13">
        <v>1</v>
      </c>
      <c r="H13">
        <v>1</v>
      </c>
    </row>
    <row r="14" spans="1:8" x14ac:dyDescent="0.2">
      <c r="A14">
        <v>13</v>
      </c>
      <c r="B14" s="70">
        <v>1268</v>
      </c>
      <c r="C14" t="s">
        <v>152</v>
      </c>
      <c r="E14">
        <v>1</v>
      </c>
      <c r="F14">
        <v>1</v>
      </c>
      <c r="G14">
        <v>1</v>
      </c>
      <c r="H14">
        <v>1</v>
      </c>
    </row>
    <row r="15" spans="1:8" x14ac:dyDescent="0.2">
      <c r="A15">
        <v>14</v>
      </c>
      <c r="B15" s="70">
        <v>1266</v>
      </c>
      <c r="C15" t="s">
        <v>152</v>
      </c>
      <c r="E15">
        <v>2</v>
      </c>
      <c r="F15">
        <v>1</v>
      </c>
      <c r="G15">
        <v>1</v>
      </c>
      <c r="H15">
        <v>1</v>
      </c>
    </row>
    <row r="16" spans="1:8" x14ac:dyDescent="0.2">
      <c r="A16">
        <v>15</v>
      </c>
      <c r="B16" s="70">
        <v>468</v>
      </c>
      <c r="C16" t="s">
        <v>458</v>
      </c>
      <c r="E16">
        <v>1</v>
      </c>
      <c r="F16">
        <v>1</v>
      </c>
      <c r="G16">
        <v>1</v>
      </c>
      <c r="H16">
        <v>1</v>
      </c>
    </row>
    <row r="17" spans="1:8" x14ac:dyDescent="0.2">
      <c r="A17">
        <v>16</v>
      </c>
      <c r="B17" s="70">
        <v>469</v>
      </c>
      <c r="C17" t="s">
        <v>458</v>
      </c>
      <c r="E17">
        <v>1</v>
      </c>
      <c r="F17">
        <v>1</v>
      </c>
      <c r="G17">
        <v>1</v>
      </c>
      <c r="H17">
        <v>1</v>
      </c>
    </row>
    <row r="18" spans="1:8" x14ac:dyDescent="0.2">
      <c r="A18">
        <v>17</v>
      </c>
      <c r="B18" s="70">
        <v>591</v>
      </c>
      <c r="C18" t="s">
        <v>458</v>
      </c>
      <c r="E18">
        <v>1</v>
      </c>
      <c r="F18">
        <v>1</v>
      </c>
      <c r="G18">
        <v>1</v>
      </c>
      <c r="H18">
        <v>1</v>
      </c>
    </row>
    <row r="19" spans="1:8" x14ac:dyDescent="0.2">
      <c r="A19">
        <v>18</v>
      </c>
      <c r="B19" s="70">
        <v>592</v>
      </c>
      <c r="C19" t="s">
        <v>458</v>
      </c>
      <c r="E19">
        <v>1</v>
      </c>
      <c r="F19">
        <v>1</v>
      </c>
      <c r="G19">
        <v>1</v>
      </c>
      <c r="H19">
        <v>1</v>
      </c>
    </row>
    <row r="20" spans="1:8" x14ac:dyDescent="0.2">
      <c r="A20">
        <v>19</v>
      </c>
      <c r="B20" s="70">
        <v>618</v>
      </c>
      <c r="C20" t="s">
        <v>458</v>
      </c>
      <c r="E20">
        <v>1</v>
      </c>
      <c r="F20">
        <v>1</v>
      </c>
      <c r="G20">
        <v>1</v>
      </c>
      <c r="H20">
        <v>1</v>
      </c>
    </row>
    <row r="21" spans="1:8" x14ac:dyDescent="0.2">
      <c r="A21">
        <v>20</v>
      </c>
      <c r="B21" s="70">
        <v>742</v>
      </c>
      <c r="C21" t="s">
        <v>458</v>
      </c>
      <c r="E21">
        <v>1</v>
      </c>
      <c r="F21">
        <v>1</v>
      </c>
      <c r="G21">
        <v>1</v>
      </c>
      <c r="H21">
        <v>1</v>
      </c>
    </row>
    <row r="22" spans="1:8" x14ac:dyDescent="0.2">
      <c r="A22">
        <v>21</v>
      </c>
      <c r="B22" s="70">
        <v>745</v>
      </c>
      <c r="C22" t="s">
        <v>458</v>
      </c>
      <c r="E22">
        <v>1</v>
      </c>
      <c r="F22">
        <v>0</v>
      </c>
      <c r="G22">
        <v>1</v>
      </c>
      <c r="H22">
        <v>7</v>
      </c>
    </row>
    <row r="23" spans="1:8" x14ac:dyDescent="0.2">
      <c r="A23">
        <v>22</v>
      </c>
      <c r="B23" s="70">
        <v>749</v>
      </c>
      <c r="C23" t="s">
        <v>458</v>
      </c>
      <c r="E23">
        <v>1</v>
      </c>
      <c r="F23">
        <v>1</v>
      </c>
      <c r="G23">
        <v>1</v>
      </c>
      <c r="H23">
        <v>1</v>
      </c>
    </row>
    <row r="24" spans="1:8" x14ac:dyDescent="0.2">
      <c r="A24">
        <v>23</v>
      </c>
      <c r="B24" s="70">
        <v>774</v>
      </c>
      <c r="C24" t="s">
        <v>458</v>
      </c>
      <c r="E24">
        <v>1</v>
      </c>
      <c r="F24">
        <v>1</v>
      </c>
      <c r="G24">
        <v>1</v>
      </c>
      <c r="H24">
        <v>1</v>
      </c>
    </row>
    <row r="25" spans="1:8" x14ac:dyDescent="0.2">
      <c r="A25">
        <v>24</v>
      </c>
      <c r="B25" s="70">
        <v>859</v>
      </c>
      <c r="C25" t="s">
        <v>458</v>
      </c>
      <c r="E25">
        <v>4</v>
      </c>
      <c r="F25">
        <v>2</v>
      </c>
      <c r="G25">
        <v>0</v>
      </c>
      <c r="H25">
        <v>6</v>
      </c>
    </row>
    <row r="26" spans="1:8" x14ac:dyDescent="0.2">
      <c r="A26">
        <v>25</v>
      </c>
      <c r="B26" s="70">
        <v>862</v>
      </c>
      <c r="C26" t="s">
        <v>458</v>
      </c>
      <c r="E26">
        <v>1</v>
      </c>
      <c r="F26">
        <v>1</v>
      </c>
      <c r="G26">
        <v>1</v>
      </c>
      <c r="H26">
        <v>1</v>
      </c>
    </row>
    <row r="27" spans="1:8" x14ac:dyDescent="0.2">
      <c r="A27">
        <v>26</v>
      </c>
      <c r="B27" s="70">
        <v>863</v>
      </c>
      <c r="C27" t="s">
        <v>458</v>
      </c>
      <c r="E27">
        <v>1</v>
      </c>
      <c r="F27">
        <v>1</v>
      </c>
      <c r="G27">
        <v>1</v>
      </c>
      <c r="H27">
        <v>1</v>
      </c>
    </row>
    <row r="28" spans="1:8" x14ac:dyDescent="0.2">
      <c r="A28">
        <v>27</v>
      </c>
      <c r="B28" s="70">
        <v>872</v>
      </c>
      <c r="C28" t="s">
        <v>458</v>
      </c>
      <c r="E28">
        <v>1</v>
      </c>
      <c r="F28">
        <v>1</v>
      </c>
      <c r="G28">
        <v>1</v>
      </c>
      <c r="H28">
        <v>1</v>
      </c>
    </row>
    <row r="29" spans="1:8" x14ac:dyDescent="0.2">
      <c r="A29">
        <v>28</v>
      </c>
      <c r="B29" s="70">
        <v>1040</v>
      </c>
      <c r="C29" t="s">
        <v>458</v>
      </c>
      <c r="E29">
        <v>1</v>
      </c>
      <c r="F29">
        <v>1</v>
      </c>
      <c r="G29">
        <v>1</v>
      </c>
      <c r="H29">
        <v>1</v>
      </c>
    </row>
    <row r="30" spans="1:8" x14ac:dyDescent="0.2">
      <c r="A30">
        <v>29</v>
      </c>
      <c r="B30" s="70">
        <v>1144</v>
      </c>
      <c r="C30" t="s">
        <v>458</v>
      </c>
      <c r="E30">
        <v>1</v>
      </c>
      <c r="F30">
        <v>1</v>
      </c>
      <c r="G30">
        <v>1</v>
      </c>
      <c r="H30">
        <v>1</v>
      </c>
    </row>
    <row r="31" spans="1:8" x14ac:dyDescent="0.2">
      <c r="A31">
        <v>30</v>
      </c>
      <c r="B31" s="70">
        <v>1151</v>
      </c>
      <c r="C31" t="s">
        <v>458</v>
      </c>
      <c r="E31">
        <v>1</v>
      </c>
      <c r="F31">
        <v>1</v>
      </c>
      <c r="G31">
        <v>0</v>
      </c>
      <c r="H31">
        <v>1</v>
      </c>
    </row>
    <row r="32" spans="1:8" x14ac:dyDescent="0.2">
      <c r="A32">
        <v>31</v>
      </c>
      <c r="B32" s="70">
        <v>1152</v>
      </c>
      <c r="C32" t="s">
        <v>458</v>
      </c>
      <c r="E32">
        <v>1</v>
      </c>
      <c r="F32">
        <v>11</v>
      </c>
      <c r="G32">
        <v>1</v>
      </c>
      <c r="H32">
        <v>1</v>
      </c>
    </row>
    <row r="33" spans="1:8" x14ac:dyDescent="0.2">
      <c r="A33">
        <v>32</v>
      </c>
      <c r="B33" s="70">
        <v>1153</v>
      </c>
      <c r="C33" t="s">
        <v>458</v>
      </c>
      <c r="E33">
        <v>1</v>
      </c>
      <c r="F33">
        <v>1</v>
      </c>
      <c r="G33">
        <v>1</v>
      </c>
      <c r="H33">
        <v>1</v>
      </c>
    </row>
    <row r="34" spans="1:8" x14ac:dyDescent="0.2">
      <c r="A34">
        <v>33</v>
      </c>
      <c r="B34" s="70">
        <v>1154</v>
      </c>
      <c r="C34" t="s">
        <v>458</v>
      </c>
      <c r="E34">
        <v>2</v>
      </c>
      <c r="F34">
        <v>2</v>
      </c>
      <c r="G34">
        <v>1</v>
      </c>
      <c r="H34">
        <v>1</v>
      </c>
    </row>
    <row r="35" spans="1:8" x14ac:dyDescent="0.2">
      <c r="A35">
        <v>34</v>
      </c>
      <c r="B35" s="70">
        <v>1157</v>
      </c>
      <c r="C35" t="s">
        <v>458</v>
      </c>
      <c r="E35">
        <v>1</v>
      </c>
      <c r="F35">
        <v>1</v>
      </c>
      <c r="G35">
        <v>1</v>
      </c>
      <c r="H35">
        <v>1</v>
      </c>
    </row>
    <row r="36" spans="1:8" x14ac:dyDescent="0.2">
      <c r="A36">
        <v>35</v>
      </c>
      <c r="B36" s="70">
        <v>1160</v>
      </c>
      <c r="C36" t="s">
        <v>458</v>
      </c>
      <c r="E36">
        <v>1</v>
      </c>
      <c r="F36">
        <v>3</v>
      </c>
      <c r="G36">
        <v>1</v>
      </c>
      <c r="H36">
        <v>1</v>
      </c>
    </row>
    <row r="37" spans="1:8" x14ac:dyDescent="0.2">
      <c r="A37">
        <v>36</v>
      </c>
      <c r="B37" s="70">
        <v>1165</v>
      </c>
      <c r="C37" t="s">
        <v>458</v>
      </c>
      <c r="E37">
        <v>1</v>
      </c>
      <c r="F37">
        <v>1</v>
      </c>
      <c r="G37">
        <v>1</v>
      </c>
      <c r="H37">
        <v>1</v>
      </c>
    </row>
    <row r="38" spans="1:8" x14ac:dyDescent="0.2">
      <c r="A38">
        <v>37</v>
      </c>
      <c r="B38" s="70">
        <v>1168</v>
      </c>
      <c r="C38" t="s">
        <v>458</v>
      </c>
      <c r="E38">
        <v>6</v>
      </c>
      <c r="F38">
        <v>1</v>
      </c>
      <c r="G38">
        <v>1</v>
      </c>
      <c r="H38">
        <v>1</v>
      </c>
    </row>
    <row r="39" spans="1:8" x14ac:dyDescent="0.2">
      <c r="A39">
        <v>38</v>
      </c>
      <c r="B39" s="71">
        <v>1170</v>
      </c>
      <c r="C39" t="s">
        <v>458</v>
      </c>
      <c r="E39">
        <v>1</v>
      </c>
      <c r="F39">
        <v>1</v>
      </c>
      <c r="G39">
        <v>0</v>
      </c>
      <c r="H39">
        <v>1</v>
      </c>
    </row>
    <row r="40" spans="1:8" x14ac:dyDescent="0.2">
      <c r="A40">
        <v>39</v>
      </c>
      <c r="B40" s="70">
        <v>1171</v>
      </c>
      <c r="C40" t="s">
        <v>458</v>
      </c>
      <c r="E40">
        <v>1</v>
      </c>
      <c r="F40">
        <v>1</v>
      </c>
      <c r="G40">
        <v>1</v>
      </c>
      <c r="H40">
        <v>1</v>
      </c>
    </row>
    <row r="41" spans="1:8" x14ac:dyDescent="0.2">
      <c r="A41">
        <v>40</v>
      </c>
      <c r="B41" s="70">
        <v>1172</v>
      </c>
      <c r="C41" t="s">
        <v>458</v>
      </c>
      <c r="E41">
        <v>2</v>
      </c>
      <c r="F41">
        <v>7</v>
      </c>
      <c r="G41">
        <v>2</v>
      </c>
      <c r="H41">
        <v>1</v>
      </c>
    </row>
    <row r="42" spans="1:8" x14ac:dyDescent="0.2">
      <c r="A42">
        <v>41</v>
      </c>
      <c r="B42" s="70">
        <v>1175</v>
      </c>
      <c r="C42" t="s">
        <v>458</v>
      </c>
      <c r="E42">
        <v>1</v>
      </c>
      <c r="F42">
        <v>1</v>
      </c>
      <c r="G42">
        <v>1</v>
      </c>
      <c r="H42">
        <v>7</v>
      </c>
    </row>
    <row r="43" spans="1:8" x14ac:dyDescent="0.2">
      <c r="A43">
        <v>42</v>
      </c>
      <c r="B43" s="70">
        <v>1176</v>
      </c>
      <c r="C43" t="s">
        <v>458</v>
      </c>
      <c r="E43">
        <v>1</v>
      </c>
      <c r="F43">
        <v>1</v>
      </c>
      <c r="G43">
        <v>1</v>
      </c>
      <c r="H43">
        <v>2</v>
      </c>
    </row>
    <row r="44" spans="1:8" x14ac:dyDescent="0.2">
      <c r="A44">
        <v>43</v>
      </c>
      <c r="B44" s="70">
        <v>1179</v>
      </c>
      <c r="C44" t="s">
        <v>458</v>
      </c>
      <c r="E44">
        <v>1</v>
      </c>
      <c r="F44">
        <v>1</v>
      </c>
      <c r="G44">
        <v>1</v>
      </c>
      <c r="H44">
        <v>6</v>
      </c>
    </row>
    <row r="45" spans="1:8" x14ac:dyDescent="0.2">
      <c r="A45">
        <v>44</v>
      </c>
      <c r="B45" s="70">
        <v>1209</v>
      </c>
      <c r="C45" t="s">
        <v>458</v>
      </c>
      <c r="E45">
        <v>12</v>
      </c>
      <c r="F45">
        <v>6</v>
      </c>
      <c r="G45">
        <v>1</v>
      </c>
      <c r="H45">
        <v>8</v>
      </c>
    </row>
    <row r="46" spans="1:8" x14ac:dyDescent="0.2">
      <c r="A46">
        <v>45</v>
      </c>
      <c r="B46" s="70">
        <v>1210</v>
      </c>
      <c r="C46" t="s">
        <v>458</v>
      </c>
      <c r="E46">
        <v>1</v>
      </c>
      <c r="F46">
        <v>1</v>
      </c>
      <c r="G46">
        <v>1</v>
      </c>
      <c r="H46">
        <v>1</v>
      </c>
    </row>
    <row r="47" spans="1:8" x14ac:dyDescent="0.2">
      <c r="A47">
        <v>46</v>
      </c>
      <c r="B47" s="70">
        <v>1223</v>
      </c>
      <c r="C47" t="s">
        <v>458</v>
      </c>
      <c r="E47">
        <v>2</v>
      </c>
      <c r="F47">
        <v>2</v>
      </c>
      <c r="G47">
        <v>1</v>
      </c>
      <c r="H47">
        <v>6</v>
      </c>
    </row>
    <row r="48" spans="1:8" x14ac:dyDescent="0.2">
      <c r="A48">
        <v>47</v>
      </c>
      <c r="B48" s="70">
        <v>1241</v>
      </c>
      <c r="C48" t="s">
        <v>458</v>
      </c>
      <c r="E48">
        <v>6</v>
      </c>
      <c r="F48">
        <v>7</v>
      </c>
      <c r="G48">
        <v>2</v>
      </c>
      <c r="H48">
        <v>2</v>
      </c>
    </row>
    <row r="49" spans="1:8" x14ac:dyDescent="0.2">
      <c r="A49">
        <v>48</v>
      </c>
      <c r="B49" s="70">
        <v>1242</v>
      </c>
      <c r="C49" t="s">
        <v>458</v>
      </c>
      <c r="E49">
        <v>11</v>
      </c>
      <c r="F49">
        <v>21</v>
      </c>
      <c r="G49">
        <v>1</v>
      </c>
      <c r="H49">
        <v>2</v>
      </c>
    </row>
    <row r="50" spans="1:8" x14ac:dyDescent="0.2">
      <c r="A50">
        <v>49</v>
      </c>
      <c r="B50" s="70">
        <v>1243</v>
      </c>
      <c r="C50" t="s">
        <v>458</v>
      </c>
      <c r="E50">
        <v>1</v>
      </c>
      <c r="F50">
        <v>1</v>
      </c>
      <c r="G50">
        <v>1</v>
      </c>
      <c r="H50">
        <v>1</v>
      </c>
    </row>
    <row r="51" spans="1:8" x14ac:dyDescent="0.2">
      <c r="A51">
        <v>50</v>
      </c>
      <c r="B51" s="70">
        <v>1244</v>
      </c>
      <c r="C51" t="s">
        <v>458</v>
      </c>
      <c r="E51">
        <v>1</v>
      </c>
      <c r="F51">
        <v>1</v>
      </c>
      <c r="G51">
        <v>1</v>
      </c>
      <c r="H51">
        <v>2</v>
      </c>
    </row>
    <row r="52" spans="1:8" x14ac:dyDescent="0.2">
      <c r="A52">
        <v>51</v>
      </c>
      <c r="B52" s="70">
        <v>1245</v>
      </c>
      <c r="C52" t="s">
        <v>458</v>
      </c>
      <c r="E52">
        <v>1</v>
      </c>
      <c r="F52">
        <v>1</v>
      </c>
      <c r="G52">
        <v>1</v>
      </c>
      <c r="H52">
        <v>2</v>
      </c>
    </row>
    <row r="53" spans="1:8" x14ac:dyDescent="0.2">
      <c r="A53">
        <v>52</v>
      </c>
      <c r="B53" s="70">
        <v>1246</v>
      </c>
      <c r="C53" t="s">
        <v>458</v>
      </c>
      <c r="E53">
        <v>3</v>
      </c>
      <c r="F53">
        <v>10</v>
      </c>
      <c r="G53">
        <v>1</v>
      </c>
      <c r="H53">
        <v>1</v>
      </c>
    </row>
    <row r="54" spans="1:8" x14ac:dyDescent="0.2">
      <c r="A54">
        <v>53</v>
      </c>
      <c r="B54" s="70">
        <v>1258</v>
      </c>
      <c r="C54" t="s">
        <v>152</v>
      </c>
      <c r="E54">
        <v>7</v>
      </c>
      <c r="F54">
        <v>24</v>
      </c>
      <c r="G54">
        <v>1</v>
      </c>
      <c r="H54">
        <v>2</v>
      </c>
    </row>
    <row r="55" spans="1:8" x14ac:dyDescent="0.2">
      <c r="A55">
        <v>54</v>
      </c>
      <c r="B55" s="70">
        <v>1261</v>
      </c>
      <c r="C55" t="s">
        <v>152</v>
      </c>
      <c r="E55">
        <v>6</v>
      </c>
      <c r="F55">
        <v>3</v>
      </c>
      <c r="G55">
        <v>1</v>
      </c>
      <c r="H55">
        <v>2</v>
      </c>
    </row>
    <row r="56" spans="1:8" x14ac:dyDescent="0.2">
      <c r="A56">
        <v>55</v>
      </c>
      <c r="B56" s="70">
        <v>1263</v>
      </c>
      <c r="C56" t="s">
        <v>152</v>
      </c>
      <c r="E56">
        <v>1</v>
      </c>
      <c r="F56">
        <v>1</v>
      </c>
      <c r="G56">
        <v>1</v>
      </c>
      <c r="H56">
        <v>2</v>
      </c>
    </row>
    <row r="57" spans="1:8" x14ac:dyDescent="0.2">
      <c r="A57">
        <v>56</v>
      </c>
      <c r="B57" s="70">
        <v>1265</v>
      </c>
      <c r="C57" t="s">
        <v>458</v>
      </c>
      <c r="E57">
        <v>2</v>
      </c>
      <c r="F57">
        <v>2</v>
      </c>
      <c r="G57">
        <v>1</v>
      </c>
      <c r="H57">
        <v>6</v>
      </c>
    </row>
    <row r="58" spans="1:8" x14ac:dyDescent="0.2">
      <c r="A58">
        <v>57</v>
      </c>
      <c r="B58" s="70">
        <v>1269</v>
      </c>
      <c r="C58" t="s">
        <v>152</v>
      </c>
      <c r="E58">
        <v>5</v>
      </c>
      <c r="F58">
        <v>10</v>
      </c>
      <c r="G58">
        <v>1</v>
      </c>
      <c r="H58">
        <v>2</v>
      </c>
    </row>
    <row r="59" spans="1:8" x14ac:dyDescent="0.2">
      <c r="A59">
        <v>58</v>
      </c>
      <c r="B59" s="70">
        <v>1279</v>
      </c>
      <c r="C59" t="s">
        <v>458</v>
      </c>
      <c r="E59">
        <v>1</v>
      </c>
      <c r="F59">
        <v>1</v>
      </c>
      <c r="G59">
        <v>1</v>
      </c>
      <c r="H59">
        <v>7</v>
      </c>
    </row>
    <row r="60" spans="1:8" x14ac:dyDescent="0.2">
      <c r="A60">
        <v>59</v>
      </c>
      <c r="B60" s="70">
        <v>1282</v>
      </c>
      <c r="C60" t="s">
        <v>458</v>
      </c>
      <c r="E60">
        <v>2</v>
      </c>
      <c r="F60">
        <v>3</v>
      </c>
      <c r="G60">
        <v>1</v>
      </c>
      <c r="H60">
        <v>8</v>
      </c>
    </row>
    <row r="61" spans="1:8" x14ac:dyDescent="0.2">
      <c r="A61">
        <v>60</v>
      </c>
      <c r="B61" s="70">
        <v>1283</v>
      </c>
      <c r="C61" t="s">
        <v>458</v>
      </c>
      <c r="E61">
        <v>1</v>
      </c>
      <c r="F61">
        <v>1</v>
      </c>
      <c r="G61">
        <v>1</v>
      </c>
      <c r="H61">
        <v>2</v>
      </c>
    </row>
    <row r="62" spans="1:8" x14ac:dyDescent="0.2">
      <c r="A62">
        <v>61</v>
      </c>
      <c r="B62" s="70">
        <v>1284</v>
      </c>
      <c r="C62" t="s">
        <v>458</v>
      </c>
      <c r="E62">
        <v>8</v>
      </c>
      <c r="F62">
        <v>1</v>
      </c>
      <c r="G62">
        <v>1</v>
      </c>
      <c r="H62">
        <v>2</v>
      </c>
    </row>
    <row r="63" spans="1:8" x14ac:dyDescent="0.2">
      <c r="A63">
        <v>62</v>
      </c>
      <c r="B63" s="70">
        <v>571</v>
      </c>
      <c r="C63" t="s">
        <v>152</v>
      </c>
      <c r="E63">
        <v>1</v>
      </c>
      <c r="F63">
        <v>9</v>
      </c>
      <c r="G63">
        <v>1</v>
      </c>
      <c r="H63">
        <v>3</v>
      </c>
    </row>
    <row r="64" spans="1:8" x14ac:dyDescent="0.2">
      <c r="A64">
        <v>63</v>
      </c>
      <c r="B64" s="70">
        <v>778</v>
      </c>
      <c r="C64" t="s">
        <v>152</v>
      </c>
      <c r="E64">
        <v>4</v>
      </c>
      <c r="F64">
        <v>6</v>
      </c>
      <c r="G64">
        <v>1</v>
      </c>
      <c r="H64">
        <v>1</v>
      </c>
    </row>
    <row r="65" spans="1:8" x14ac:dyDescent="0.2">
      <c r="A65">
        <v>64</v>
      </c>
      <c r="B65" s="70">
        <v>1288</v>
      </c>
      <c r="C65" t="s">
        <v>458</v>
      </c>
      <c r="E65">
        <v>1</v>
      </c>
      <c r="F65">
        <v>1</v>
      </c>
      <c r="G65">
        <v>1</v>
      </c>
      <c r="H65">
        <v>2</v>
      </c>
    </row>
    <row r="66" spans="1:8" x14ac:dyDescent="0.2">
      <c r="A66">
        <v>65</v>
      </c>
      <c r="B66" s="70">
        <v>1289</v>
      </c>
      <c r="C66" t="s">
        <v>458</v>
      </c>
      <c r="E66">
        <v>2</v>
      </c>
      <c r="F66">
        <v>1</v>
      </c>
      <c r="G66">
        <v>1</v>
      </c>
      <c r="H66">
        <v>2</v>
      </c>
    </row>
    <row r="67" spans="1:8" x14ac:dyDescent="0.2">
      <c r="A67">
        <v>66</v>
      </c>
      <c r="B67" s="70">
        <v>1290</v>
      </c>
      <c r="C67" t="s">
        <v>458</v>
      </c>
      <c r="E67">
        <v>6</v>
      </c>
      <c r="F67">
        <v>1</v>
      </c>
      <c r="G67">
        <v>2</v>
      </c>
      <c r="H67">
        <v>2</v>
      </c>
    </row>
    <row r="68" spans="1:8" x14ac:dyDescent="0.2">
      <c r="A68">
        <v>67</v>
      </c>
      <c r="B68" s="70">
        <v>1291</v>
      </c>
      <c r="C68" t="s">
        <v>458</v>
      </c>
      <c r="E68">
        <v>2</v>
      </c>
      <c r="F68">
        <v>2</v>
      </c>
      <c r="G68">
        <v>1</v>
      </c>
      <c r="H68">
        <v>2</v>
      </c>
    </row>
    <row r="69" spans="1:8" x14ac:dyDescent="0.2">
      <c r="A69">
        <v>68</v>
      </c>
      <c r="B69" s="70">
        <v>1293</v>
      </c>
      <c r="C69" t="s">
        <v>458</v>
      </c>
      <c r="E69">
        <v>1</v>
      </c>
      <c r="F69">
        <v>1</v>
      </c>
      <c r="G69">
        <v>1</v>
      </c>
      <c r="H69">
        <v>2</v>
      </c>
    </row>
    <row r="70" spans="1:8" x14ac:dyDescent="0.2">
      <c r="A70">
        <v>69</v>
      </c>
      <c r="B70" s="70">
        <v>1305</v>
      </c>
      <c r="C70" t="s">
        <v>152</v>
      </c>
      <c r="E70">
        <v>7</v>
      </c>
      <c r="F70">
        <v>5</v>
      </c>
      <c r="G70">
        <v>1</v>
      </c>
      <c r="H70">
        <v>3</v>
      </c>
    </row>
    <row r="71" spans="1:8" x14ac:dyDescent="0.2">
      <c r="A71">
        <v>70</v>
      </c>
      <c r="B71" s="70">
        <v>1310</v>
      </c>
      <c r="C71" t="s">
        <v>152</v>
      </c>
      <c r="E71">
        <v>1</v>
      </c>
      <c r="F71">
        <v>4</v>
      </c>
      <c r="G71">
        <v>1</v>
      </c>
      <c r="H71">
        <v>2</v>
      </c>
    </row>
    <row r="72" spans="1:8" x14ac:dyDescent="0.2">
      <c r="A72">
        <v>71</v>
      </c>
      <c r="B72" s="70">
        <v>1317</v>
      </c>
      <c r="C72" t="s">
        <v>152</v>
      </c>
      <c r="E72">
        <v>1</v>
      </c>
      <c r="F72">
        <v>2</v>
      </c>
      <c r="G72">
        <v>1</v>
      </c>
      <c r="H72">
        <v>1</v>
      </c>
    </row>
    <row r="73" spans="1:8" x14ac:dyDescent="0.2">
      <c r="A73">
        <v>72</v>
      </c>
      <c r="B73" s="70">
        <v>1318</v>
      </c>
      <c r="C73" t="s">
        <v>458</v>
      </c>
      <c r="E73">
        <v>1</v>
      </c>
      <c r="F73">
        <v>1</v>
      </c>
      <c r="G73">
        <v>1</v>
      </c>
      <c r="H73">
        <v>1</v>
      </c>
    </row>
    <row r="74" spans="1:8" x14ac:dyDescent="0.2">
      <c r="A74">
        <v>73</v>
      </c>
      <c r="B74" s="70">
        <v>1345</v>
      </c>
      <c r="C74" t="s">
        <v>458</v>
      </c>
      <c r="E74">
        <v>1</v>
      </c>
      <c r="F74">
        <v>1</v>
      </c>
      <c r="G74">
        <v>1</v>
      </c>
      <c r="H74">
        <v>1</v>
      </c>
    </row>
    <row r="75" spans="1:8" x14ac:dyDescent="0.2">
      <c r="A75">
        <v>74</v>
      </c>
      <c r="B75" s="70">
        <v>1346</v>
      </c>
      <c r="C75" t="s">
        <v>458</v>
      </c>
      <c r="E75">
        <v>1</v>
      </c>
      <c r="F75">
        <v>1</v>
      </c>
      <c r="G75">
        <v>1</v>
      </c>
      <c r="H75">
        <v>1</v>
      </c>
    </row>
    <row r="76" spans="1:8" x14ac:dyDescent="0.2">
      <c r="A76">
        <v>75</v>
      </c>
      <c r="B76" s="70">
        <v>1347</v>
      </c>
      <c r="C76" t="s">
        <v>152</v>
      </c>
      <c r="E76">
        <v>1</v>
      </c>
      <c r="F76">
        <v>1</v>
      </c>
      <c r="G76">
        <v>1</v>
      </c>
      <c r="H76">
        <v>2</v>
      </c>
    </row>
    <row r="77" spans="1:8" x14ac:dyDescent="0.2">
      <c r="A77">
        <v>76</v>
      </c>
      <c r="B77" s="70">
        <v>1350</v>
      </c>
      <c r="C77" t="s">
        <v>458</v>
      </c>
      <c r="E77">
        <v>1</v>
      </c>
      <c r="F77">
        <v>1</v>
      </c>
      <c r="G77">
        <v>1</v>
      </c>
      <c r="H77">
        <v>1</v>
      </c>
    </row>
    <row r="78" spans="1:8" x14ac:dyDescent="0.2">
      <c r="A78">
        <v>77</v>
      </c>
      <c r="B78" s="70">
        <v>1355</v>
      </c>
      <c r="C78" t="s">
        <v>458</v>
      </c>
      <c r="E78">
        <v>1</v>
      </c>
      <c r="F78">
        <v>1</v>
      </c>
      <c r="G78">
        <v>1</v>
      </c>
      <c r="H78">
        <v>1</v>
      </c>
    </row>
    <row r="79" spans="1:8" x14ac:dyDescent="0.2">
      <c r="A79">
        <v>78</v>
      </c>
      <c r="B79" s="70">
        <v>1356</v>
      </c>
      <c r="C79" t="s">
        <v>152</v>
      </c>
      <c r="E79">
        <v>1</v>
      </c>
      <c r="F79">
        <v>15</v>
      </c>
      <c r="G79">
        <v>1</v>
      </c>
      <c r="H79">
        <v>2</v>
      </c>
    </row>
    <row r="80" spans="1:8" x14ac:dyDescent="0.2">
      <c r="A80">
        <v>79</v>
      </c>
      <c r="B80" s="70">
        <v>1401</v>
      </c>
      <c r="C80" t="s">
        <v>459</v>
      </c>
      <c r="E80">
        <v>8</v>
      </c>
      <c r="F80">
        <v>6</v>
      </c>
      <c r="G80">
        <v>1</v>
      </c>
      <c r="H80">
        <v>2</v>
      </c>
    </row>
    <row r="81" spans="1:8" x14ac:dyDescent="0.2">
      <c r="A81">
        <v>80</v>
      </c>
      <c r="B81" s="70">
        <v>1402</v>
      </c>
      <c r="C81" t="s">
        <v>459</v>
      </c>
      <c r="E81">
        <v>2</v>
      </c>
      <c r="F81">
        <v>6</v>
      </c>
      <c r="G81">
        <v>2</v>
      </c>
      <c r="H81">
        <v>1</v>
      </c>
    </row>
    <row r="82" spans="1:8" x14ac:dyDescent="0.2">
      <c r="A82">
        <v>81</v>
      </c>
      <c r="B82" s="70">
        <v>1403</v>
      </c>
      <c r="C82" t="s">
        <v>152</v>
      </c>
      <c r="E82">
        <v>1</v>
      </c>
      <c r="F82">
        <v>1</v>
      </c>
      <c r="G82">
        <v>1</v>
      </c>
      <c r="H82">
        <v>1</v>
      </c>
    </row>
    <row r="83" spans="1:8" x14ac:dyDescent="0.2">
      <c r="A83">
        <v>82</v>
      </c>
      <c r="B83" s="70">
        <v>1415</v>
      </c>
      <c r="C83" t="s">
        <v>152</v>
      </c>
      <c r="E83">
        <v>8</v>
      </c>
      <c r="F83">
        <v>6</v>
      </c>
      <c r="G83">
        <v>2</v>
      </c>
      <c r="H83">
        <v>3</v>
      </c>
    </row>
    <row r="84" spans="1:8" x14ac:dyDescent="0.2">
      <c r="A84">
        <v>83</v>
      </c>
      <c r="B84" s="70">
        <v>1511</v>
      </c>
      <c r="C84" t="s">
        <v>458</v>
      </c>
      <c r="E84">
        <v>2</v>
      </c>
      <c r="F84">
        <v>2</v>
      </c>
      <c r="G84">
        <v>1</v>
      </c>
      <c r="H84">
        <v>4</v>
      </c>
    </row>
    <row r="85" spans="1:8" x14ac:dyDescent="0.2">
      <c r="A85">
        <v>84</v>
      </c>
      <c r="B85" s="70">
        <v>1512</v>
      </c>
      <c r="C85" t="s">
        <v>458</v>
      </c>
      <c r="E85">
        <v>1</v>
      </c>
      <c r="F85">
        <v>2</v>
      </c>
      <c r="G85">
        <v>1</v>
      </c>
      <c r="H85">
        <v>8</v>
      </c>
    </row>
    <row r="86" spans="1:8" x14ac:dyDescent="0.2">
      <c r="A86">
        <v>85</v>
      </c>
      <c r="B86" s="70">
        <v>1513</v>
      </c>
      <c r="C86" t="s">
        <v>460</v>
      </c>
      <c r="E86">
        <v>1</v>
      </c>
      <c r="F86">
        <v>3</v>
      </c>
      <c r="G86">
        <v>3</v>
      </c>
      <c r="H86">
        <v>1</v>
      </c>
    </row>
    <row r="87" spans="1:8" x14ac:dyDescent="0.2">
      <c r="A87">
        <v>86</v>
      </c>
      <c r="B87" s="70">
        <v>1515</v>
      </c>
      <c r="C87" t="s">
        <v>458</v>
      </c>
      <c r="E87">
        <v>1</v>
      </c>
      <c r="F87">
        <v>1</v>
      </c>
      <c r="G87">
        <v>1</v>
      </c>
      <c r="H87">
        <v>1</v>
      </c>
    </row>
    <row r="88" spans="1:8" x14ac:dyDescent="0.2">
      <c r="A88">
        <v>87</v>
      </c>
      <c r="B88" s="70">
        <v>1516</v>
      </c>
      <c r="C88" t="s">
        <v>458</v>
      </c>
      <c r="E88">
        <v>1</v>
      </c>
      <c r="F88">
        <v>1</v>
      </c>
      <c r="G88">
        <v>1</v>
      </c>
      <c r="H88">
        <v>1</v>
      </c>
    </row>
    <row r="89" spans="1:8" x14ac:dyDescent="0.2">
      <c r="A89">
        <v>88</v>
      </c>
      <c r="B89" s="70">
        <v>1517</v>
      </c>
      <c r="C89" t="s">
        <v>458</v>
      </c>
      <c r="E89">
        <v>1</v>
      </c>
      <c r="F89">
        <v>2</v>
      </c>
      <c r="G89">
        <v>1</v>
      </c>
      <c r="H89">
        <v>1</v>
      </c>
    </row>
    <row r="90" spans="1:8" x14ac:dyDescent="0.2">
      <c r="A90">
        <v>89</v>
      </c>
      <c r="B90" s="70">
        <v>1519</v>
      </c>
      <c r="C90" t="s">
        <v>458</v>
      </c>
      <c r="E90">
        <v>1</v>
      </c>
      <c r="F90">
        <v>1</v>
      </c>
      <c r="G90">
        <v>1</v>
      </c>
      <c r="H90">
        <v>1</v>
      </c>
    </row>
    <row r="91" spans="1:8" x14ac:dyDescent="0.2">
      <c r="A91">
        <v>90</v>
      </c>
      <c r="B91" s="70">
        <v>1520</v>
      </c>
      <c r="C91" t="s">
        <v>458</v>
      </c>
      <c r="E91">
        <v>3</v>
      </c>
      <c r="F91">
        <v>12</v>
      </c>
      <c r="G91">
        <v>3</v>
      </c>
      <c r="H91">
        <v>2</v>
      </c>
    </row>
    <row r="92" spans="1:8" x14ac:dyDescent="0.2">
      <c r="A92">
        <v>91</v>
      </c>
      <c r="B92" s="70">
        <v>1547</v>
      </c>
      <c r="C92" t="s">
        <v>458</v>
      </c>
      <c r="E92">
        <v>1</v>
      </c>
      <c r="F92">
        <v>1</v>
      </c>
      <c r="G92">
        <v>1</v>
      </c>
      <c r="H92">
        <v>1</v>
      </c>
    </row>
    <row r="93" spans="1:8" x14ac:dyDescent="0.2">
      <c r="A93">
        <v>92</v>
      </c>
      <c r="B93" s="70">
        <v>1436</v>
      </c>
      <c r="C93" t="s">
        <v>152</v>
      </c>
      <c r="E93">
        <v>1</v>
      </c>
      <c r="F93">
        <v>1</v>
      </c>
      <c r="G93">
        <v>2</v>
      </c>
      <c r="H93">
        <v>1</v>
      </c>
    </row>
    <row r="94" spans="1:8" x14ac:dyDescent="0.2">
      <c r="A94">
        <v>93</v>
      </c>
      <c r="B94" s="70">
        <v>1437</v>
      </c>
      <c r="C94" t="s">
        <v>152</v>
      </c>
      <c r="E94">
        <v>6</v>
      </c>
      <c r="F94">
        <v>10</v>
      </c>
      <c r="G94">
        <v>3</v>
      </c>
      <c r="H94">
        <v>3</v>
      </c>
    </row>
    <row r="95" spans="1:8" x14ac:dyDescent="0.2">
      <c r="A95">
        <v>94</v>
      </c>
      <c r="B95" s="70">
        <v>1448</v>
      </c>
      <c r="C95" t="s">
        <v>152</v>
      </c>
      <c r="E95">
        <v>2</v>
      </c>
      <c r="F95">
        <v>9</v>
      </c>
      <c r="G95">
        <v>2</v>
      </c>
      <c r="H95">
        <v>2</v>
      </c>
    </row>
    <row r="96" spans="1:8" x14ac:dyDescent="0.2">
      <c r="A96">
        <v>95</v>
      </c>
      <c r="B96" s="70">
        <v>1487</v>
      </c>
      <c r="C96" t="s">
        <v>152</v>
      </c>
      <c r="E96">
        <v>1</v>
      </c>
      <c r="F96">
        <v>3</v>
      </c>
      <c r="G96">
        <v>2</v>
      </c>
      <c r="H96">
        <v>2</v>
      </c>
    </row>
    <row r="97" spans="1:8" x14ac:dyDescent="0.2">
      <c r="A97">
        <v>96</v>
      </c>
      <c r="B97" s="70">
        <v>1490</v>
      </c>
      <c r="C97" t="s">
        <v>152</v>
      </c>
      <c r="E97">
        <v>1</v>
      </c>
      <c r="F97">
        <v>2</v>
      </c>
      <c r="G97">
        <v>1</v>
      </c>
      <c r="H97">
        <v>1</v>
      </c>
    </row>
    <row r="98" spans="1:8" x14ac:dyDescent="0.2">
      <c r="A98">
        <v>97</v>
      </c>
      <c r="B98" s="70">
        <v>1493</v>
      </c>
      <c r="C98" t="s">
        <v>152</v>
      </c>
      <c r="E98">
        <v>2</v>
      </c>
      <c r="F98">
        <v>2</v>
      </c>
      <c r="G98">
        <v>1</v>
      </c>
      <c r="H98">
        <v>2</v>
      </c>
    </row>
    <row r="99" spans="1:8" x14ac:dyDescent="0.2">
      <c r="A99">
        <v>98</v>
      </c>
      <c r="B99" s="70">
        <v>1504</v>
      </c>
      <c r="C99" t="s">
        <v>152</v>
      </c>
      <c r="E99">
        <v>1</v>
      </c>
      <c r="F99">
        <v>1</v>
      </c>
      <c r="G99">
        <v>1</v>
      </c>
      <c r="H99">
        <v>2</v>
      </c>
    </row>
    <row r="100" spans="1:8" x14ac:dyDescent="0.2">
      <c r="A100">
        <v>99</v>
      </c>
      <c r="B100" s="70">
        <v>1505</v>
      </c>
      <c r="C100" t="s">
        <v>152</v>
      </c>
      <c r="E100">
        <v>1</v>
      </c>
      <c r="F100">
        <v>3</v>
      </c>
      <c r="G100">
        <v>2</v>
      </c>
      <c r="H100">
        <v>2</v>
      </c>
    </row>
    <row r="101" spans="1:8" x14ac:dyDescent="0.2">
      <c r="A101">
        <v>100</v>
      </c>
      <c r="B101" s="70">
        <v>1518</v>
      </c>
      <c r="C101" t="s">
        <v>152</v>
      </c>
      <c r="E101">
        <v>15</v>
      </c>
      <c r="F101">
        <v>56</v>
      </c>
      <c r="G101">
        <v>1</v>
      </c>
      <c r="H101">
        <v>3</v>
      </c>
    </row>
    <row r="102" spans="1:8" x14ac:dyDescent="0.2">
      <c r="A102">
        <v>101</v>
      </c>
      <c r="B102" s="70">
        <v>981</v>
      </c>
      <c r="C102" t="s">
        <v>152</v>
      </c>
      <c r="E102">
        <v>1</v>
      </c>
      <c r="F102">
        <v>7</v>
      </c>
      <c r="G102">
        <v>1</v>
      </c>
      <c r="H102">
        <v>1</v>
      </c>
    </row>
    <row r="103" spans="1:8" x14ac:dyDescent="0.2">
      <c r="A103">
        <v>102</v>
      </c>
      <c r="B103" s="70">
        <v>1524</v>
      </c>
      <c r="C103" t="s">
        <v>152</v>
      </c>
      <c r="E103">
        <v>3</v>
      </c>
      <c r="F103">
        <v>3</v>
      </c>
      <c r="G103">
        <v>0</v>
      </c>
      <c r="H103">
        <v>2</v>
      </c>
    </row>
    <row r="104" spans="1:8" x14ac:dyDescent="0.2">
      <c r="A104">
        <v>103</v>
      </c>
      <c r="B104" s="70">
        <v>1525</v>
      </c>
      <c r="C104" t="s">
        <v>152</v>
      </c>
      <c r="E104">
        <v>1</v>
      </c>
      <c r="F104">
        <v>1</v>
      </c>
      <c r="G104">
        <v>2</v>
      </c>
      <c r="H104">
        <v>2</v>
      </c>
    </row>
    <row r="105" spans="1:8" x14ac:dyDescent="0.2">
      <c r="A105">
        <v>104</v>
      </c>
      <c r="B105" s="70">
        <v>1529</v>
      </c>
      <c r="C105" t="s">
        <v>152</v>
      </c>
      <c r="E105">
        <v>1</v>
      </c>
      <c r="F105">
        <v>1</v>
      </c>
      <c r="G105">
        <v>0</v>
      </c>
      <c r="H105">
        <v>2</v>
      </c>
    </row>
    <row r="106" spans="1:8" x14ac:dyDescent="0.2">
      <c r="A106">
        <v>105</v>
      </c>
      <c r="B106" s="70">
        <v>1533</v>
      </c>
      <c r="C106" t="s">
        <v>152</v>
      </c>
      <c r="E106">
        <v>1</v>
      </c>
      <c r="F106">
        <v>5</v>
      </c>
      <c r="G106">
        <v>2</v>
      </c>
      <c r="H106">
        <v>2</v>
      </c>
    </row>
    <row r="107" spans="1:8" x14ac:dyDescent="0.2">
      <c r="A107">
        <v>106</v>
      </c>
      <c r="B107" s="70">
        <v>1532</v>
      </c>
      <c r="C107" t="s">
        <v>152</v>
      </c>
      <c r="E107">
        <v>6</v>
      </c>
      <c r="F107">
        <v>4</v>
      </c>
      <c r="G107">
        <v>0</v>
      </c>
      <c r="H107">
        <v>2</v>
      </c>
    </row>
    <row r="108" spans="1:8" x14ac:dyDescent="0.2">
      <c r="A108">
        <v>107</v>
      </c>
      <c r="B108" s="70">
        <v>9445</v>
      </c>
      <c r="C108" t="s">
        <v>458</v>
      </c>
      <c r="E108">
        <v>1</v>
      </c>
      <c r="F108">
        <v>1</v>
      </c>
      <c r="G108">
        <v>1</v>
      </c>
      <c r="H108">
        <v>2</v>
      </c>
    </row>
    <row r="110" spans="1:8" x14ac:dyDescent="0.2">
      <c r="G110">
        <f>MAX(G2:G108)</f>
        <v>3</v>
      </c>
      <c r="H110">
        <f>MAX(H2:H108)</f>
        <v>8</v>
      </c>
    </row>
    <row r="112" spans="1:8" x14ac:dyDescent="0.2">
      <c r="D112" t="s">
        <v>472</v>
      </c>
      <c r="E112">
        <f>AVERAGE(E2:E108)</f>
        <v>2.4205607476635516</v>
      </c>
      <c r="F112">
        <f>AVERAGE(F2:F108)</f>
        <v>3.7196261682242993</v>
      </c>
      <c r="G112">
        <f>AVERAGE(G2:G108)</f>
        <v>1.0934579439252337</v>
      </c>
      <c r="H112">
        <f>AVERAGE(H2:H108)</f>
        <v>2</v>
      </c>
    </row>
    <row r="113" spans="4:8" x14ac:dyDescent="0.2">
      <c r="E113" t="s">
        <v>462</v>
      </c>
      <c r="F113" t="s">
        <v>461</v>
      </c>
      <c r="G113" t="s">
        <v>463</v>
      </c>
      <c r="H113" t="s">
        <v>464</v>
      </c>
    </row>
    <row r="114" spans="4:8" x14ac:dyDescent="0.2">
      <c r="D114" t="s">
        <v>473</v>
      </c>
      <c r="E114">
        <f>MEDIAN(E2:E108)</f>
        <v>1</v>
      </c>
      <c r="F114">
        <f t="shared" ref="F114:H114" si="0">MEDIAN(F2:F108)</f>
        <v>1</v>
      </c>
      <c r="G114">
        <f t="shared" si="0"/>
        <v>1</v>
      </c>
      <c r="H114">
        <f t="shared" si="0"/>
        <v>1</v>
      </c>
    </row>
    <row r="116" spans="4:8" x14ac:dyDescent="0.2">
      <c r="D116" t="s">
        <v>474</v>
      </c>
      <c r="E116">
        <f>COUNTIF(E2:E108,"&gt;1")</f>
        <v>38</v>
      </c>
      <c r="F116">
        <f t="shared" ref="F116:H116" si="1">COUNTIF(F2:F108,"&gt;1")</f>
        <v>46</v>
      </c>
      <c r="G116">
        <f t="shared" si="1"/>
        <v>15</v>
      </c>
      <c r="H116">
        <f t="shared" si="1"/>
        <v>50</v>
      </c>
    </row>
    <row r="117" spans="4:8" x14ac:dyDescent="0.2">
      <c r="E117" s="15">
        <f>E116/$A$108</f>
        <v>0.35514018691588783</v>
      </c>
      <c r="F117" s="15">
        <f t="shared" ref="F117:H117" si="2">F116/$A$108</f>
        <v>0.42990654205607476</v>
      </c>
      <c r="G117" s="15">
        <f t="shared" si="2"/>
        <v>0.14018691588785046</v>
      </c>
      <c r="H117" s="15">
        <f t="shared" si="2"/>
        <v>0.46728971962616822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97B0-7CEE-F343-A6F1-6BD19B5C402C}">
  <sheetPr codeName="Sheet13"/>
  <dimension ref="A1:M331"/>
  <sheetViews>
    <sheetView zoomScale="109" workbookViewId="0">
      <selection activeCell="A333" sqref="A333"/>
    </sheetView>
  </sheetViews>
  <sheetFormatPr baseColWidth="10" defaultRowHeight="16" x14ac:dyDescent="0.2"/>
  <cols>
    <col min="1" max="1" width="23" bestFit="1" customWidth="1"/>
    <col min="2" max="2" width="13.1640625" customWidth="1"/>
    <col min="3" max="3" width="15.1640625" bestFit="1" customWidth="1"/>
    <col min="4" max="4" width="22" bestFit="1" customWidth="1"/>
    <col min="5" max="5" width="14.6640625" bestFit="1" customWidth="1"/>
  </cols>
  <sheetData>
    <row r="1" spans="1:6" x14ac:dyDescent="0.2">
      <c r="A1" s="3" t="s">
        <v>123</v>
      </c>
      <c r="B1" s="3" t="s">
        <v>147</v>
      </c>
      <c r="C1" s="3" t="s">
        <v>124</v>
      </c>
      <c r="D1" s="3" t="s">
        <v>125</v>
      </c>
      <c r="E1" s="3" t="s">
        <v>126</v>
      </c>
      <c r="F1" s="3" t="s">
        <v>127</v>
      </c>
    </row>
    <row r="2" spans="1:6" x14ac:dyDescent="0.2">
      <c r="A2" s="2" t="s">
        <v>485</v>
      </c>
      <c r="B2" s="8">
        <v>44803</v>
      </c>
      <c r="C2" s="8">
        <v>44803</v>
      </c>
      <c r="D2" s="2" t="s">
        <v>128</v>
      </c>
      <c r="E2" s="2" t="s">
        <v>129</v>
      </c>
      <c r="F2" s="2" t="s">
        <v>130</v>
      </c>
    </row>
    <row r="3" spans="1:6" x14ac:dyDescent="0.2">
      <c r="A3" s="2"/>
      <c r="B3" s="8">
        <v>44803</v>
      </c>
      <c r="C3" s="8">
        <v>44803</v>
      </c>
      <c r="D3" s="2" t="s">
        <v>131</v>
      </c>
      <c r="E3" s="2" t="s">
        <v>129</v>
      </c>
      <c r="F3" s="2" t="s">
        <v>130</v>
      </c>
    </row>
    <row r="4" spans="1:6" x14ac:dyDescent="0.2">
      <c r="A4" s="2"/>
      <c r="B4" s="8">
        <v>44812</v>
      </c>
      <c r="C4" s="8"/>
      <c r="D4" s="2" t="s">
        <v>148</v>
      </c>
      <c r="E4" s="2" t="s">
        <v>129</v>
      </c>
      <c r="F4" s="2" t="s">
        <v>149</v>
      </c>
    </row>
    <row r="5" spans="1:6" x14ac:dyDescent="0.2">
      <c r="A5" s="2"/>
      <c r="B5" s="8">
        <v>44823</v>
      </c>
      <c r="C5" s="8"/>
      <c r="D5" s="2" t="s">
        <v>148</v>
      </c>
      <c r="E5" s="2" t="s">
        <v>129</v>
      </c>
      <c r="F5" s="2" t="s">
        <v>262</v>
      </c>
    </row>
    <row r="6" spans="1:6" x14ac:dyDescent="0.2">
      <c r="A6" s="2"/>
      <c r="B6" s="8">
        <v>44823</v>
      </c>
      <c r="C6" s="8">
        <v>44823</v>
      </c>
      <c r="D6" s="2" t="s">
        <v>263</v>
      </c>
      <c r="E6" s="2" t="s">
        <v>264</v>
      </c>
      <c r="F6" s="2" t="s">
        <v>130</v>
      </c>
    </row>
    <row r="7" spans="1:6" x14ac:dyDescent="0.2">
      <c r="A7" s="2" t="s">
        <v>486</v>
      </c>
      <c r="B7" s="8">
        <v>44803</v>
      </c>
      <c r="C7" s="8">
        <v>44803</v>
      </c>
      <c r="D7" s="2" t="s">
        <v>132</v>
      </c>
      <c r="E7" s="2" t="s">
        <v>133</v>
      </c>
      <c r="F7" s="2" t="s">
        <v>130</v>
      </c>
    </row>
    <row r="8" spans="1:6" x14ac:dyDescent="0.2">
      <c r="A8" s="2"/>
      <c r="B8" s="8">
        <v>44803</v>
      </c>
      <c r="C8" s="8">
        <v>44803</v>
      </c>
      <c r="D8" s="2" t="s">
        <v>134</v>
      </c>
      <c r="E8" s="2" t="s">
        <v>135</v>
      </c>
      <c r="F8" s="2" t="s">
        <v>136</v>
      </c>
    </row>
    <row r="9" spans="1:6" x14ac:dyDescent="0.2">
      <c r="A9" s="2"/>
      <c r="B9" s="8">
        <v>44803</v>
      </c>
      <c r="C9" s="8">
        <v>44803</v>
      </c>
      <c r="D9" s="2" t="s">
        <v>128</v>
      </c>
      <c r="E9" s="2" t="s">
        <v>135</v>
      </c>
      <c r="F9" s="2" t="s">
        <v>136</v>
      </c>
    </row>
    <row r="10" spans="1:6" x14ac:dyDescent="0.2">
      <c r="A10" s="2"/>
      <c r="B10" s="8">
        <v>44803</v>
      </c>
      <c r="C10" s="8">
        <v>44803</v>
      </c>
      <c r="D10" s="2" t="s">
        <v>131</v>
      </c>
      <c r="E10" s="2" t="s">
        <v>129</v>
      </c>
      <c r="F10" s="2" t="s">
        <v>130</v>
      </c>
    </row>
    <row r="11" spans="1:6" x14ac:dyDescent="0.2">
      <c r="A11" s="2"/>
      <c r="B11" s="8">
        <v>44812</v>
      </c>
      <c r="C11" s="8"/>
      <c r="D11" s="2" t="s">
        <v>148</v>
      </c>
      <c r="E11" s="2" t="s">
        <v>129</v>
      </c>
      <c r="F11" s="2" t="s">
        <v>149</v>
      </c>
    </row>
    <row r="12" spans="1:6" x14ac:dyDescent="0.2">
      <c r="A12" s="2"/>
      <c r="B12" s="8">
        <v>44823</v>
      </c>
      <c r="C12" s="8"/>
      <c r="D12" s="2" t="s">
        <v>148</v>
      </c>
      <c r="E12" s="2" t="s">
        <v>129</v>
      </c>
      <c r="F12" s="2" t="s">
        <v>262</v>
      </c>
    </row>
    <row r="13" spans="1:6" x14ac:dyDescent="0.2">
      <c r="A13" s="2"/>
      <c r="B13" s="8">
        <v>44823</v>
      </c>
      <c r="C13" s="8">
        <v>44823</v>
      </c>
      <c r="D13" s="2" t="s">
        <v>263</v>
      </c>
      <c r="E13" s="2" t="s">
        <v>264</v>
      </c>
      <c r="F13" s="2" t="s">
        <v>130</v>
      </c>
    </row>
    <row r="14" spans="1:6" x14ac:dyDescent="0.2">
      <c r="A14" s="2" t="s">
        <v>487</v>
      </c>
      <c r="B14" s="8">
        <v>44803</v>
      </c>
      <c r="C14" s="8">
        <v>44803</v>
      </c>
      <c r="D14" s="2" t="s">
        <v>132</v>
      </c>
      <c r="E14" s="2" t="s">
        <v>133</v>
      </c>
      <c r="F14" s="2" t="s">
        <v>130</v>
      </c>
    </row>
    <row r="15" spans="1:6" x14ac:dyDescent="0.2">
      <c r="A15" s="2"/>
      <c r="B15" s="8">
        <v>44803</v>
      </c>
      <c r="C15" s="8">
        <v>44803</v>
      </c>
      <c r="D15" s="2" t="s">
        <v>128</v>
      </c>
      <c r="E15" s="2" t="s">
        <v>135</v>
      </c>
      <c r="F15" s="2" t="s">
        <v>137</v>
      </c>
    </row>
    <row r="16" spans="1:6" x14ac:dyDescent="0.2">
      <c r="A16" s="2"/>
      <c r="B16" s="8">
        <v>44803</v>
      </c>
      <c r="C16" s="8">
        <v>44803</v>
      </c>
      <c r="D16" s="2" t="s">
        <v>131</v>
      </c>
      <c r="E16" s="2" t="s">
        <v>129</v>
      </c>
      <c r="F16" s="2" t="s">
        <v>130</v>
      </c>
    </row>
    <row r="17" spans="1:8" x14ac:dyDescent="0.2">
      <c r="A17" s="2"/>
      <c r="B17" s="8">
        <v>44812</v>
      </c>
      <c r="C17" s="8"/>
      <c r="D17" s="2" t="s">
        <v>148</v>
      </c>
      <c r="E17" s="2" t="s">
        <v>129</v>
      </c>
      <c r="F17" s="2" t="s">
        <v>149</v>
      </c>
    </row>
    <row r="18" spans="1:8" x14ac:dyDescent="0.2">
      <c r="A18" s="2"/>
      <c r="B18" s="8">
        <v>44823</v>
      </c>
      <c r="C18" s="8"/>
      <c r="D18" s="2" t="s">
        <v>148</v>
      </c>
      <c r="E18" s="2" t="s">
        <v>129</v>
      </c>
      <c r="F18" s="2" t="s">
        <v>262</v>
      </c>
    </row>
    <row r="19" spans="1:8" x14ac:dyDescent="0.2">
      <c r="A19" s="2" t="s">
        <v>488</v>
      </c>
      <c r="B19" s="2"/>
      <c r="C19" s="2"/>
      <c r="D19" s="2"/>
      <c r="E19" s="2"/>
      <c r="F19" s="2" t="s">
        <v>138</v>
      </c>
    </row>
    <row r="20" spans="1:8" x14ac:dyDescent="0.2">
      <c r="A20" s="2" t="s">
        <v>489</v>
      </c>
      <c r="B20" s="8">
        <v>44812</v>
      </c>
      <c r="C20" s="8">
        <v>44812</v>
      </c>
      <c r="D20" s="2" t="s">
        <v>165</v>
      </c>
      <c r="E20" s="2" t="s">
        <v>135</v>
      </c>
      <c r="F20" s="2" t="s">
        <v>168</v>
      </c>
    </row>
    <row r="21" spans="1:8" x14ac:dyDescent="0.2">
      <c r="A21" s="2"/>
      <c r="B21" s="8">
        <v>44812</v>
      </c>
      <c r="C21" s="8">
        <v>44812</v>
      </c>
      <c r="D21" s="2" t="s">
        <v>167</v>
      </c>
      <c r="E21" s="2"/>
      <c r="F21" s="2" t="s">
        <v>166</v>
      </c>
    </row>
    <row r="22" spans="1:8" x14ac:dyDescent="0.2">
      <c r="A22" s="2"/>
      <c r="B22" s="8">
        <v>44812</v>
      </c>
      <c r="C22" s="2"/>
      <c r="D22" s="2" t="s">
        <v>148</v>
      </c>
      <c r="E22" s="2" t="s">
        <v>129</v>
      </c>
      <c r="F22" s="2" t="s">
        <v>130</v>
      </c>
    </row>
    <row r="23" spans="1:8" x14ac:dyDescent="0.2">
      <c r="A23" s="2" t="s">
        <v>490</v>
      </c>
      <c r="B23" s="2"/>
      <c r="C23" s="2"/>
      <c r="D23" s="2"/>
      <c r="E23" s="2"/>
      <c r="F23" s="2" t="s">
        <v>138</v>
      </c>
    </row>
    <row r="24" spans="1:8" x14ac:dyDescent="0.2">
      <c r="A24" s="2" t="s">
        <v>491</v>
      </c>
      <c r="B24" s="8">
        <v>44803</v>
      </c>
      <c r="C24" s="8">
        <v>44803</v>
      </c>
      <c r="D24" s="2" t="s">
        <v>131</v>
      </c>
      <c r="E24" s="2" t="s">
        <v>135</v>
      </c>
      <c r="F24" s="2" t="s">
        <v>139</v>
      </c>
    </row>
    <row r="25" spans="1:8" x14ac:dyDescent="0.2">
      <c r="A25" s="2"/>
      <c r="B25" s="8">
        <v>44803</v>
      </c>
      <c r="C25" s="8">
        <v>44803</v>
      </c>
      <c r="D25" s="2" t="s">
        <v>140</v>
      </c>
      <c r="E25" s="2" t="s">
        <v>129</v>
      </c>
      <c r="F25" s="2" t="s">
        <v>141</v>
      </c>
    </row>
    <row r="26" spans="1:8" x14ac:dyDescent="0.2">
      <c r="A26" s="2"/>
      <c r="B26" s="9">
        <v>44812</v>
      </c>
      <c r="C26" s="9"/>
      <c r="D26" s="10" t="s">
        <v>148</v>
      </c>
      <c r="E26" s="10" t="s">
        <v>129</v>
      </c>
      <c r="F26" s="10" t="s">
        <v>149</v>
      </c>
      <c r="H26" s="10"/>
    </row>
    <row r="27" spans="1:8" x14ac:dyDescent="0.2">
      <c r="A27" s="2"/>
      <c r="B27" s="8">
        <v>44823</v>
      </c>
      <c r="C27" s="8"/>
      <c r="D27" s="2" t="s">
        <v>148</v>
      </c>
      <c r="E27" s="2" t="s">
        <v>129</v>
      </c>
      <c r="F27" s="2" t="s">
        <v>262</v>
      </c>
      <c r="H27" s="10"/>
    </row>
    <row r="28" spans="1:8" x14ac:dyDescent="0.2">
      <c r="A28" s="2" t="s">
        <v>492</v>
      </c>
      <c r="B28" s="2"/>
      <c r="C28" s="2"/>
      <c r="D28" s="2"/>
      <c r="E28" s="2"/>
      <c r="F28" s="2" t="s">
        <v>138</v>
      </c>
    </row>
    <row r="29" spans="1:8" x14ac:dyDescent="0.2">
      <c r="A29" s="2" t="s">
        <v>493</v>
      </c>
      <c r="B29" s="8">
        <v>44812</v>
      </c>
      <c r="C29" s="8">
        <v>44812</v>
      </c>
      <c r="D29" s="2" t="s">
        <v>179</v>
      </c>
      <c r="E29" s="2" t="s">
        <v>180</v>
      </c>
      <c r="F29" s="2" t="s">
        <v>181</v>
      </c>
    </row>
    <row r="30" spans="1:8" x14ac:dyDescent="0.2">
      <c r="A30" s="2"/>
      <c r="B30" s="8">
        <v>44812</v>
      </c>
      <c r="C30" s="2"/>
      <c r="D30" s="2" t="s">
        <v>148</v>
      </c>
      <c r="E30" s="2" t="s">
        <v>129</v>
      </c>
      <c r="F30" s="2" t="s">
        <v>130</v>
      </c>
    </row>
    <row r="31" spans="1:8" x14ac:dyDescent="0.2">
      <c r="A31" s="2" t="s">
        <v>494</v>
      </c>
      <c r="B31" s="8">
        <v>44803</v>
      </c>
      <c r="C31" s="8">
        <v>44803</v>
      </c>
      <c r="D31" s="2" t="s">
        <v>131</v>
      </c>
      <c r="E31" s="2" t="s">
        <v>135</v>
      </c>
      <c r="F31" s="2" t="s">
        <v>142</v>
      </c>
    </row>
    <row r="32" spans="1:8" x14ac:dyDescent="0.2">
      <c r="A32" s="2"/>
      <c r="B32" s="8">
        <v>44803</v>
      </c>
      <c r="C32" s="8">
        <v>44803</v>
      </c>
      <c r="D32" s="2" t="s">
        <v>140</v>
      </c>
      <c r="E32" s="2" t="s">
        <v>129</v>
      </c>
      <c r="F32" s="2" t="s">
        <v>141</v>
      </c>
    </row>
    <row r="33" spans="1:8" x14ac:dyDescent="0.2">
      <c r="A33" s="2"/>
      <c r="B33" s="9">
        <v>44812</v>
      </c>
      <c r="C33" s="9"/>
      <c r="D33" s="10" t="s">
        <v>148</v>
      </c>
      <c r="E33" s="10" t="s">
        <v>129</v>
      </c>
      <c r="F33" s="10" t="s">
        <v>149</v>
      </c>
      <c r="H33" s="10"/>
    </row>
    <row r="34" spans="1:8" x14ac:dyDescent="0.2">
      <c r="A34" s="2"/>
      <c r="B34" s="8">
        <v>44823</v>
      </c>
      <c r="C34" s="8"/>
      <c r="D34" s="2" t="s">
        <v>148</v>
      </c>
      <c r="E34" s="2" t="s">
        <v>129</v>
      </c>
      <c r="F34" s="2" t="s">
        <v>262</v>
      </c>
      <c r="H34" s="10"/>
    </row>
    <row r="35" spans="1:8" x14ac:dyDescent="0.2">
      <c r="A35" s="2" t="s">
        <v>495</v>
      </c>
      <c r="B35" s="8">
        <v>44803</v>
      </c>
      <c r="C35" s="8">
        <v>44803</v>
      </c>
      <c r="D35" s="2" t="s">
        <v>131</v>
      </c>
      <c r="E35" s="2" t="s">
        <v>135</v>
      </c>
      <c r="F35" s="2" t="s">
        <v>143</v>
      </c>
    </row>
    <row r="36" spans="1:8" x14ac:dyDescent="0.2">
      <c r="A36" s="2"/>
      <c r="B36" s="8">
        <v>44803</v>
      </c>
      <c r="C36" s="8">
        <v>44803</v>
      </c>
      <c r="D36" s="2" t="s">
        <v>140</v>
      </c>
      <c r="E36" s="2" t="s">
        <v>129</v>
      </c>
      <c r="F36" s="2" t="s">
        <v>141</v>
      </c>
    </row>
    <row r="37" spans="1:8" x14ac:dyDescent="0.2">
      <c r="A37" s="2"/>
      <c r="B37" s="9">
        <v>44812</v>
      </c>
      <c r="C37" s="9"/>
      <c r="D37" s="10" t="s">
        <v>148</v>
      </c>
      <c r="E37" s="10" t="s">
        <v>129</v>
      </c>
      <c r="F37" s="10" t="s">
        <v>149</v>
      </c>
      <c r="H37" s="10"/>
    </row>
    <row r="38" spans="1:8" x14ac:dyDescent="0.2">
      <c r="A38" s="2"/>
      <c r="B38" s="8">
        <v>44823</v>
      </c>
      <c r="C38" s="8"/>
      <c r="D38" s="2" t="s">
        <v>148</v>
      </c>
      <c r="E38" s="2" t="s">
        <v>129</v>
      </c>
      <c r="F38" s="2" t="s">
        <v>262</v>
      </c>
      <c r="H38" s="10"/>
    </row>
    <row r="39" spans="1:8" x14ac:dyDescent="0.2">
      <c r="A39" s="2" t="s">
        <v>496</v>
      </c>
      <c r="B39" s="2"/>
      <c r="C39" s="2"/>
      <c r="D39" s="2"/>
      <c r="E39" s="2"/>
      <c r="F39" s="2" t="s">
        <v>144</v>
      </c>
    </row>
    <row r="40" spans="1:8" x14ac:dyDescent="0.2">
      <c r="A40" s="2" t="s">
        <v>497</v>
      </c>
      <c r="B40" s="2"/>
      <c r="C40" s="2"/>
      <c r="D40" s="2"/>
      <c r="E40" s="2"/>
      <c r="F40" s="2" t="s">
        <v>144</v>
      </c>
    </row>
    <row r="41" spans="1:8" x14ac:dyDescent="0.2">
      <c r="A41" s="2" t="s">
        <v>498</v>
      </c>
      <c r="B41" s="2"/>
      <c r="C41" s="2"/>
      <c r="D41" s="2"/>
      <c r="E41" s="2"/>
      <c r="F41" s="2" t="s">
        <v>144</v>
      </c>
    </row>
    <row r="42" spans="1:8" x14ac:dyDescent="0.2">
      <c r="A42" s="2" t="s">
        <v>499</v>
      </c>
      <c r="B42" s="8">
        <v>44812</v>
      </c>
      <c r="C42" s="8">
        <v>44812</v>
      </c>
      <c r="D42" s="2" t="s">
        <v>167</v>
      </c>
      <c r="E42" s="2" t="s">
        <v>135</v>
      </c>
      <c r="F42" s="2" t="s">
        <v>195</v>
      </c>
    </row>
    <row r="43" spans="1:8" x14ac:dyDescent="0.2">
      <c r="A43" s="2"/>
      <c r="B43" s="8">
        <v>44812</v>
      </c>
      <c r="C43" s="8">
        <v>44812</v>
      </c>
      <c r="D43" s="2" t="s">
        <v>165</v>
      </c>
      <c r="E43" s="2" t="s">
        <v>135</v>
      </c>
      <c r="F43" s="2" t="s">
        <v>196</v>
      </c>
    </row>
    <row r="44" spans="1:8" x14ac:dyDescent="0.2">
      <c r="A44" s="2"/>
      <c r="B44" s="8">
        <v>44812</v>
      </c>
      <c r="C44" s="8"/>
      <c r="D44" s="2" t="s">
        <v>148</v>
      </c>
      <c r="E44" s="2" t="s">
        <v>129</v>
      </c>
      <c r="F44" s="2" t="s">
        <v>130</v>
      </c>
    </row>
    <row r="45" spans="1:8" x14ac:dyDescent="0.2">
      <c r="A45" s="2" t="s">
        <v>500</v>
      </c>
      <c r="B45" s="8">
        <v>44812</v>
      </c>
      <c r="C45" s="8">
        <v>44812</v>
      </c>
      <c r="D45" s="2" t="s">
        <v>167</v>
      </c>
      <c r="E45" s="2" t="s">
        <v>180</v>
      </c>
      <c r="F45" s="2" t="s">
        <v>151</v>
      </c>
    </row>
    <row r="46" spans="1:8" x14ac:dyDescent="0.2">
      <c r="A46" s="2"/>
      <c r="B46" s="8">
        <v>44812</v>
      </c>
      <c r="C46" s="8"/>
      <c r="D46" s="2" t="s">
        <v>148</v>
      </c>
      <c r="E46" s="2" t="s">
        <v>129</v>
      </c>
      <c r="F46" s="2" t="s">
        <v>130</v>
      </c>
    </row>
    <row r="47" spans="1:8" x14ac:dyDescent="0.2">
      <c r="A47" s="2" t="s">
        <v>501</v>
      </c>
      <c r="B47" s="8">
        <v>44812</v>
      </c>
      <c r="C47" s="8">
        <v>44812</v>
      </c>
      <c r="D47" s="2" t="s">
        <v>167</v>
      </c>
      <c r="E47" s="2" t="s">
        <v>135</v>
      </c>
      <c r="F47" s="2" t="s">
        <v>199</v>
      </c>
    </row>
    <row r="48" spans="1:8" x14ac:dyDescent="0.2">
      <c r="A48" s="2"/>
      <c r="B48" s="8">
        <v>44812</v>
      </c>
      <c r="C48" s="8">
        <v>44812</v>
      </c>
      <c r="D48" s="2" t="s">
        <v>165</v>
      </c>
      <c r="E48" s="2" t="s">
        <v>180</v>
      </c>
      <c r="F48" s="2" t="s">
        <v>151</v>
      </c>
    </row>
    <row r="49" spans="1:13" x14ac:dyDescent="0.2">
      <c r="A49" s="2"/>
      <c r="B49" s="8">
        <v>44812</v>
      </c>
      <c r="C49" s="2"/>
      <c r="D49" s="2" t="s">
        <v>148</v>
      </c>
      <c r="E49" s="2" t="s">
        <v>129</v>
      </c>
      <c r="F49" s="2" t="s">
        <v>130</v>
      </c>
    </row>
    <row r="50" spans="1:13" x14ac:dyDescent="0.2">
      <c r="A50" s="2"/>
      <c r="B50" s="8">
        <v>44860</v>
      </c>
      <c r="C50" s="2"/>
      <c r="D50" s="2" t="s">
        <v>283</v>
      </c>
      <c r="E50" s="2" t="s">
        <v>284</v>
      </c>
      <c r="F50" s="2" t="s">
        <v>130</v>
      </c>
    </row>
    <row r="51" spans="1:13" x14ac:dyDescent="0.2">
      <c r="A51" s="2" t="s">
        <v>502</v>
      </c>
      <c r="B51" s="2"/>
      <c r="C51" s="2"/>
      <c r="D51" s="2"/>
      <c r="E51" s="2"/>
      <c r="F51" s="2" t="s">
        <v>144</v>
      </c>
    </row>
    <row r="52" spans="1:13" x14ac:dyDescent="0.2">
      <c r="A52" s="2" t="s">
        <v>503</v>
      </c>
      <c r="B52" s="2"/>
      <c r="C52" s="2"/>
      <c r="D52" s="2"/>
      <c r="E52" s="2"/>
      <c r="F52" s="2" t="s">
        <v>144</v>
      </c>
      <c r="M52" s="4"/>
    </row>
    <row r="53" spans="1:13" x14ac:dyDescent="0.2">
      <c r="A53" s="2" t="s">
        <v>504</v>
      </c>
      <c r="B53" s="2"/>
      <c r="C53" s="2"/>
      <c r="D53" s="2"/>
      <c r="E53" s="2"/>
      <c r="F53" s="2" t="s">
        <v>144</v>
      </c>
    </row>
    <row r="54" spans="1:13" x14ac:dyDescent="0.2">
      <c r="A54" s="2" t="s">
        <v>505</v>
      </c>
      <c r="B54" s="2"/>
      <c r="C54" s="2"/>
      <c r="D54" s="2"/>
      <c r="E54" s="2"/>
      <c r="F54" s="2" t="s">
        <v>144</v>
      </c>
    </row>
    <row r="55" spans="1:13" x14ac:dyDescent="0.2">
      <c r="A55" s="2" t="s">
        <v>506</v>
      </c>
      <c r="B55" s="8">
        <v>44812</v>
      </c>
      <c r="C55" s="8">
        <v>44812</v>
      </c>
      <c r="D55" s="2" t="s">
        <v>179</v>
      </c>
      <c r="E55" s="2" t="s">
        <v>180</v>
      </c>
      <c r="F55" s="2" t="s">
        <v>181</v>
      </c>
    </row>
    <row r="56" spans="1:13" x14ac:dyDescent="0.2">
      <c r="A56" s="2"/>
      <c r="B56" s="8">
        <v>44812</v>
      </c>
      <c r="C56" s="2"/>
      <c r="D56" s="2" t="s">
        <v>148</v>
      </c>
      <c r="E56" s="2"/>
      <c r="F56" s="2" t="s">
        <v>184</v>
      </c>
    </row>
    <row r="57" spans="1:13" x14ac:dyDescent="0.2">
      <c r="A57" s="2"/>
      <c r="B57" s="8">
        <v>44839</v>
      </c>
      <c r="C57" s="2"/>
      <c r="D57" s="2" t="s">
        <v>148</v>
      </c>
      <c r="E57" s="2" t="s">
        <v>271</v>
      </c>
      <c r="F57" s="2" t="s">
        <v>272</v>
      </c>
    </row>
    <row r="58" spans="1:13" x14ac:dyDescent="0.2">
      <c r="A58" s="2" t="s">
        <v>507</v>
      </c>
      <c r="B58" s="2"/>
      <c r="C58" s="8">
        <v>44809</v>
      </c>
      <c r="D58" s="2" t="s">
        <v>145</v>
      </c>
      <c r="E58" s="2" t="s">
        <v>129</v>
      </c>
      <c r="F58" s="2" t="s">
        <v>146</v>
      </c>
    </row>
    <row r="59" spans="1:13" x14ac:dyDescent="0.2">
      <c r="B59" s="9">
        <v>44812</v>
      </c>
      <c r="C59" s="9"/>
      <c r="D59" s="10" t="s">
        <v>148</v>
      </c>
      <c r="E59" s="10" t="s">
        <v>129</v>
      </c>
      <c r="F59" s="10" t="s">
        <v>149</v>
      </c>
      <c r="H59" s="10"/>
    </row>
    <row r="60" spans="1:13" x14ac:dyDescent="0.2">
      <c r="B60" s="8">
        <v>44823</v>
      </c>
      <c r="C60" s="8"/>
      <c r="D60" s="2" t="s">
        <v>148</v>
      </c>
      <c r="E60" s="2" t="s">
        <v>129</v>
      </c>
      <c r="F60" s="2" t="s">
        <v>262</v>
      </c>
      <c r="H60" s="10"/>
    </row>
    <row r="61" spans="1:13" x14ac:dyDescent="0.2">
      <c r="A61" s="2" t="s">
        <v>508</v>
      </c>
      <c r="B61" s="7">
        <v>44806</v>
      </c>
      <c r="D61" t="s">
        <v>150</v>
      </c>
      <c r="E61" t="s">
        <v>129</v>
      </c>
      <c r="F61" s="2" t="s">
        <v>151</v>
      </c>
    </row>
    <row r="62" spans="1:13" x14ac:dyDescent="0.2">
      <c r="B62" s="7">
        <v>44812</v>
      </c>
      <c r="D62" t="s">
        <v>148</v>
      </c>
      <c r="E62" t="s">
        <v>129</v>
      </c>
      <c r="F62" s="2" t="s">
        <v>149</v>
      </c>
    </row>
    <row r="63" spans="1:13" x14ac:dyDescent="0.2">
      <c r="B63" s="8">
        <v>44823</v>
      </c>
      <c r="C63" s="8"/>
      <c r="D63" s="2" t="s">
        <v>148</v>
      </c>
      <c r="E63" s="2" t="s">
        <v>129</v>
      </c>
      <c r="F63" s="2" t="s">
        <v>262</v>
      </c>
    </row>
    <row r="64" spans="1:13" x14ac:dyDescent="0.2">
      <c r="A64" t="s">
        <v>509</v>
      </c>
      <c r="B64" s="7">
        <v>44812</v>
      </c>
      <c r="C64" s="7">
        <v>44812</v>
      </c>
      <c r="D64" t="s">
        <v>167</v>
      </c>
      <c r="E64" t="s">
        <v>180</v>
      </c>
      <c r="F64" s="2" t="s">
        <v>151</v>
      </c>
    </row>
    <row r="65" spans="1:6" x14ac:dyDescent="0.2">
      <c r="B65" s="7">
        <v>44812</v>
      </c>
      <c r="C65" s="11"/>
      <c r="D65" t="s">
        <v>148</v>
      </c>
      <c r="E65" t="s">
        <v>129</v>
      </c>
      <c r="F65" s="2" t="s">
        <v>130</v>
      </c>
    </row>
    <row r="66" spans="1:6" x14ac:dyDescent="0.2">
      <c r="A66" t="s">
        <v>510</v>
      </c>
      <c r="B66" s="7">
        <v>44812</v>
      </c>
      <c r="C66" s="7">
        <v>44812</v>
      </c>
      <c r="D66" t="s">
        <v>167</v>
      </c>
      <c r="E66" t="s">
        <v>135</v>
      </c>
      <c r="F66" s="2" t="s">
        <v>216</v>
      </c>
    </row>
    <row r="67" spans="1:6" x14ac:dyDescent="0.2">
      <c r="B67" s="7">
        <v>44812</v>
      </c>
      <c r="C67" s="7">
        <v>44812</v>
      </c>
      <c r="D67" t="s">
        <v>165</v>
      </c>
      <c r="E67" t="s">
        <v>180</v>
      </c>
      <c r="F67" s="2" t="s">
        <v>151</v>
      </c>
    </row>
    <row r="68" spans="1:6" x14ac:dyDescent="0.2">
      <c r="B68" s="7">
        <v>44812</v>
      </c>
      <c r="D68" t="s">
        <v>148</v>
      </c>
      <c r="E68" t="s">
        <v>129</v>
      </c>
      <c r="F68" s="2" t="s">
        <v>130</v>
      </c>
    </row>
    <row r="69" spans="1:6" x14ac:dyDescent="0.2">
      <c r="A69" t="s">
        <v>511</v>
      </c>
      <c r="B69" s="7">
        <v>44813</v>
      </c>
      <c r="C69" s="7">
        <v>44813</v>
      </c>
      <c r="D69" t="s">
        <v>165</v>
      </c>
      <c r="E69" t="s">
        <v>180</v>
      </c>
      <c r="F69" s="2" t="s">
        <v>151</v>
      </c>
    </row>
    <row r="70" spans="1:6" x14ac:dyDescent="0.2">
      <c r="B70" s="7">
        <v>44813</v>
      </c>
      <c r="D70" t="s">
        <v>148</v>
      </c>
      <c r="E70" t="s">
        <v>129</v>
      </c>
      <c r="F70" s="2" t="s">
        <v>130</v>
      </c>
    </row>
    <row r="71" spans="1:6" x14ac:dyDescent="0.2">
      <c r="A71" t="s">
        <v>512</v>
      </c>
      <c r="B71" s="7">
        <v>44816</v>
      </c>
      <c r="C71" s="7">
        <v>44816</v>
      </c>
      <c r="D71" t="s">
        <v>165</v>
      </c>
      <c r="E71" t="s">
        <v>180</v>
      </c>
      <c r="F71" s="2" t="s">
        <v>151</v>
      </c>
    </row>
    <row r="72" spans="1:6" x14ac:dyDescent="0.2">
      <c r="B72" s="7">
        <v>44816</v>
      </c>
      <c r="D72" t="s">
        <v>148</v>
      </c>
      <c r="E72" t="s">
        <v>129</v>
      </c>
      <c r="F72" s="2" t="s">
        <v>130</v>
      </c>
    </row>
    <row r="73" spans="1:6" x14ac:dyDescent="0.2">
      <c r="A73" t="s">
        <v>513</v>
      </c>
      <c r="B73" s="7">
        <v>44816</v>
      </c>
      <c r="C73" s="7">
        <v>44816</v>
      </c>
      <c r="D73" t="s">
        <v>165</v>
      </c>
      <c r="E73" t="s">
        <v>135</v>
      </c>
      <c r="F73" s="2" t="s">
        <v>196</v>
      </c>
    </row>
    <row r="74" spans="1:6" x14ac:dyDescent="0.2">
      <c r="B74" s="7">
        <v>44816</v>
      </c>
      <c r="C74" s="7">
        <v>44816</v>
      </c>
      <c r="D74" t="s">
        <v>167</v>
      </c>
      <c r="E74" t="s">
        <v>180</v>
      </c>
      <c r="F74" s="2" t="s">
        <v>151</v>
      </c>
    </row>
    <row r="75" spans="1:6" x14ac:dyDescent="0.2">
      <c r="B75" s="7">
        <v>44816</v>
      </c>
      <c r="C75" s="7"/>
      <c r="D75" t="s">
        <v>148</v>
      </c>
      <c r="E75" t="s">
        <v>129</v>
      </c>
      <c r="F75" s="2" t="s">
        <v>130</v>
      </c>
    </row>
    <row r="76" spans="1:6" x14ac:dyDescent="0.2">
      <c r="A76" t="s">
        <v>514</v>
      </c>
      <c r="B76" s="7">
        <v>44816</v>
      </c>
      <c r="C76" s="7">
        <v>44816</v>
      </c>
      <c r="D76" t="s">
        <v>165</v>
      </c>
      <c r="E76" t="s">
        <v>180</v>
      </c>
      <c r="F76" s="2" t="s">
        <v>151</v>
      </c>
    </row>
    <row r="77" spans="1:6" x14ac:dyDescent="0.2">
      <c r="B77" s="7">
        <v>44816</v>
      </c>
      <c r="D77" t="s">
        <v>148</v>
      </c>
      <c r="E77" t="s">
        <v>129</v>
      </c>
      <c r="F77" s="2" t="s">
        <v>130</v>
      </c>
    </row>
    <row r="78" spans="1:6" x14ac:dyDescent="0.2">
      <c r="A78" s="2"/>
      <c r="B78" s="8">
        <v>44860</v>
      </c>
      <c r="C78" s="2"/>
      <c r="D78" s="2" t="s">
        <v>283</v>
      </c>
      <c r="E78" s="2" t="s">
        <v>284</v>
      </c>
      <c r="F78" s="2" t="s">
        <v>130</v>
      </c>
    </row>
    <row r="79" spans="1:6" x14ac:dyDescent="0.2">
      <c r="A79" t="s">
        <v>515</v>
      </c>
      <c r="B79" s="7">
        <v>44816</v>
      </c>
      <c r="C79" s="7">
        <v>44816</v>
      </c>
      <c r="D79" t="s">
        <v>165</v>
      </c>
      <c r="E79" t="s">
        <v>135</v>
      </c>
      <c r="F79" s="2" t="s">
        <v>196</v>
      </c>
    </row>
    <row r="80" spans="1:6" x14ac:dyDescent="0.2">
      <c r="B80" s="7">
        <v>44816</v>
      </c>
      <c r="C80" s="7">
        <v>44816</v>
      </c>
      <c r="D80" t="s">
        <v>167</v>
      </c>
      <c r="E80" t="s">
        <v>135</v>
      </c>
      <c r="F80" s="2" t="s">
        <v>195</v>
      </c>
    </row>
    <row r="81" spans="1:9" x14ac:dyDescent="0.2">
      <c r="B81" s="7">
        <v>44816</v>
      </c>
      <c r="D81" t="s">
        <v>148</v>
      </c>
      <c r="E81" t="s">
        <v>129</v>
      </c>
      <c r="F81" s="2" t="s">
        <v>130</v>
      </c>
    </row>
    <row r="82" spans="1:9" x14ac:dyDescent="0.2">
      <c r="B82" s="8">
        <v>44861</v>
      </c>
      <c r="C82" s="2"/>
      <c r="D82" s="2" t="s">
        <v>283</v>
      </c>
      <c r="E82" s="2" t="s">
        <v>284</v>
      </c>
      <c r="F82" s="2" t="s">
        <v>130</v>
      </c>
    </row>
    <row r="83" spans="1:9" x14ac:dyDescent="0.2">
      <c r="A83" t="s">
        <v>516</v>
      </c>
      <c r="B83" s="7">
        <v>44816</v>
      </c>
      <c r="C83" s="7">
        <v>44816</v>
      </c>
      <c r="D83" t="s">
        <v>165</v>
      </c>
      <c r="E83" t="s">
        <v>180</v>
      </c>
      <c r="F83" s="2" t="s">
        <v>151</v>
      </c>
    </row>
    <row r="84" spans="1:9" x14ac:dyDescent="0.2">
      <c r="B84" s="7">
        <v>44816</v>
      </c>
      <c r="D84" t="s">
        <v>148</v>
      </c>
      <c r="E84" t="s">
        <v>129</v>
      </c>
      <c r="F84" s="13" t="s">
        <v>242</v>
      </c>
      <c r="G84" s="14"/>
      <c r="H84" s="14"/>
      <c r="I84" s="14"/>
    </row>
    <row r="85" spans="1:9" x14ac:dyDescent="0.2">
      <c r="A85" t="s">
        <v>517</v>
      </c>
      <c r="B85" s="7">
        <v>44816</v>
      </c>
      <c r="C85" s="7">
        <v>44816</v>
      </c>
      <c r="D85" t="s">
        <v>165</v>
      </c>
      <c r="E85" t="s">
        <v>180</v>
      </c>
    </row>
    <row r="86" spans="1:9" x14ac:dyDescent="0.2">
      <c r="B86" s="7">
        <v>44816</v>
      </c>
      <c r="D86" t="s">
        <v>148</v>
      </c>
      <c r="E86" t="s">
        <v>129</v>
      </c>
      <c r="F86" s="2" t="s">
        <v>130</v>
      </c>
    </row>
    <row r="87" spans="1:9" x14ac:dyDescent="0.2">
      <c r="A87" t="s">
        <v>518</v>
      </c>
      <c r="B87" s="7">
        <v>44816</v>
      </c>
      <c r="C87" s="7">
        <v>44816</v>
      </c>
      <c r="D87" t="s">
        <v>165</v>
      </c>
      <c r="E87" t="s">
        <v>135</v>
      </c>
      <c r="F87" s="2" t="s">
        <v>244</v>
      </c>
    </row>
    <row r="88" spans="1:9" x14ac:dyDescent="0.2">
      <c r="B88" s="7">
        <v>44816</v>
      </c>
      <c r="C88" s="7">
        <v>44816</v>
      </c>
      <c r="D88" t="s">
        <v>167</v>
      </c>
      <c r="E88" t="s">
        <v>135</v>
      </c>
      <c r="F88" s="2" t="s">
        <v>195</v>
      </c>
    </row>
    <row r="89" spans="1:9" x14ac:dyDescent="0.2">
      <c r="B89" s="7">
        <v>44816</v>
      </c>
      <c r="D89" t="s">
        <v>148</v>
      </c>
      <c r="E89" t="s">
        <v>129</v>
      </c>
      <c r="F89" s="13" t="s">
        <v>242</v>
      </c>
      <c r="G89" s="14"/>
      <c r="H89" s="14"/>
      <c r="I89" s="14"/>
    </row>
    <row r="90" spans="1:9" x14ac:dyDescent="0.2">
      <c r="B90" s="9">
        <v>44861</v>
      </c>
      <c r="C90" s="10"/>
      <c r="D90" s="10" t="s">
        <v>283</v>
      </c>
      <c r="E90" s="10" t="s">
        <v>284</v>
      </c>
      <c r="F90" s="10" t="s">
        <v>130</v>
      </c>
    </row>
    <row r="91" spans="1:9" x14ac:dyDescent="0.2">
      <c r="A91" t="s">
        <v>519</v>
      </c>
      <c r="B91" s="7">
        <v>44816</v>
      </c>
      <c r="C91" s="7">
        <v>44816</v>
      </c>
      <c r="D91" t="s">
        <v>167</v>
      </c>
      <c r="E91" t="s">
        <v>180</v>
      </c>
      <c r="F91" s="2" t="s">
        <v>151</v>
      </c>
    </row>
    <row r="92" spans="1:9" x14ac:dyDescent="0.2">
      <c r="B92" s="7">
        <v>44816</v>
      </c>
      <c r="D92" t="s">
        <v>148</v>
      </c>
      <c r="E92" t="s">
        <v>129</v>
      </c>
    </row>
    <row r="93" spans="1:9" x14ac:dyDescent="0.2">
      <c r="A93" t="s">
        <v>520</v>
      </c>
      <c r="B93" s="7">
        <v>44816</v>
      </c>
      <c r="C93" s="7">
        <v>44816</v>
      </c>
      <c r="D93" t="s">
        <v>167</v>
      </c>
      <c r="E93" t="s">
        <v>180</v>
      </c>
      <c r="F93" s="2" t="s">
        <v>151</v>
      </c>
    </row>
    <row r="94" spans="1:9" x14ac:dyDescent="0.2">
      <c r="B94" s="7">
        <v>44816</v>
      </c>
      <c r="D94" t="s">
        <v>148</v>
      </c>
      <c r="E94" t="s">
        <v>129</v>
      </c>
      <c r="F94" s="13" t="s">
        <v>242</v>
      </c>
      <c r="G94" s="14"/>
      <c r="H94" s="14"/>
      <c r="I94" s="14"/>
    </row>
    <row r="95" spans="1:9" x14ac:dyDescent="0.2">
      <c r="A95" t="s">
        <v>521</v>
      </c>
      <c r="B95" s="7">
        <v>44816</v>
      </c>
      <c r="C95" s="7">
        <v>44816</v>
      </c>
      <c r="D95" t="s">
        <v>167</v>
      </c>
      <c r="E95" t="s">
        <v>180</v>
      </c>
      <c r="F95" t="s">
        <v>151</v>
      </c>
    </row>
    <row r="96" spans="1:9" x14ac:dyDescent="0.2">
      <c r="B96" s="7">
        <v>44816</v>
      </c>
      <c r="D96" t="s">
        <v>148</v>
      </c>
      <c r="E96" t="s">
        <v>129</v>
      </c>
      <c r="F96" s="13" t="s">
        <v>242</v>
      </c>
      <c r="G96" s="14"/>
      <c r="H96" s="14"/>
      <c r="I96" s="14"/>
    </row>
    <row r="97" spans="1:9" x14ac:dyDescent="0.2">
      <c r="A97" t="s">
        <v>522</v>
      </c>
      <c r="B97" s="7">
        <v>44816</v>
      </c>
      <c r="C97" s="7">
        <v>44816</v>
      </c>
      <c r="D97" t="s">
        <v>167</v>
      </c>
      <c r="E97" t="s">
        <v>180</v>
      </c>
      <c r="F97" t="s">
        <v>151</v>
      </c>
    </row>
    <row r="98" spans="1:9" x14ac:dyDescent="0.2">
      <c r="B98" s="7">
        <v>44816</v>
      </c>
      <c r="D98" t="s">
        <v>148</v>
      </c>
      <c r="E98" t="s">
        <v>129</v>
      </c>
      <c r="F98" t="s">
        <v>130</v>
      </c>
    </row>
    <row r="99" spans="1:9" x14ac:dyDescent="0.2">
      <c r="A99" t="s">
        <v>523</v>
      </c>
      <c r="B99" s="7">
        <v>44816</v>
      </c>
      <c r="C99" s="7">
        <v>44816</v>
      </c>
      <c r="D99" t="s">
        <v>167</v>
      </c>
      <c r="E99" t="s">
        <v>135</v>
      </c>
      <c r="F99" t="s">
        <v>195</v>
      </c>
    </row>
    <row r="100" spans="1:9" x14ac:dyDescent="0.2">
      <c r="B100" s="7">
        <v>44816</v>
      </c>
      <c r="C100" s="7">
        <v>44816</v>
      </c>
      <c r="D100" t="s">
        <v>165</v>
      </c>
      <c r="E100" t="s">
        <v>135</v>
      </c>
      <c r="F100" t="s">
        <v>196</v>
      </c>
    </row>
    <row r="101" spans="1:9" x14ac:dyDescent="0.2">
      <c r="B101" s="7">
        <v>44816</v>
      </c>
      <c r="D101" t="s">
        <v>148</v>
      </c>
      <c r="E101" t="s">
        <v>129</v>
      </c>
      <c r="F101" t="s">
        <v>130</v>
      </c>
    </row>
    <row r="102" spans="1:9" x14ac:dyDescent="0.2">
      <c r="B102" s="9">
        <v>44861</v>
      </c>
      <c r="C102" s="10"/>
      <c r="D102" s="10" t="s">
        <v>283</v>
      </c>
      <c r="E102" s="10" t="s">
        <v>284</v>
      </c>
      <c r="F102" s="10" t="s">
        <v>130</v>
      </c>
    </row>
    <row r="103" spans="1:9" x14ac:dyDescent="0.2">
      <c r="A103" t="s">
        <v>524</v>
      </c>
      <c r="B103" s="7">
        <v>44816</v>
      </c>
      <c r="C103" s="7">
        <v>44816</v>
      </c>
      <c r="D103" t="s">
        <v>165</v>
      </c>
      <c r="E103" t="s">
        <v>135</v>
      </c>
      <c r="F103" t="s">
        <v>196</v>
      </c>
    </row>
    <row r="104" spans="1:9" x14ac:dyDescent="0.2">
      <c r="B104" s="7">
        <v>44816</v>
      </c>
      <c r="C104" s="7">
        <v>44816</v>
      </c>
      <c r="D104" t="s">
        <v>167</v>
      </c>
      <c r="E104" t="s">
        <v>180</v>
      </c>
      <c r="F104" t="s">
        <v>151</v>
      </c>
    </row>
    <row r="105" spans="1:9" x14ac:dyDescent="0.2">
      <c r="B105" s="7">
        <v>44816</v>
      </c>
      <c r="D105" t="s">
        <v>148</v>
      </c>
      <c r="E105" t="s">
        <v>129</v>
      </c>
      <c r="F105" s="13" t="s">
        <v>242</v>
      </c>
      <c r="G105" s="14"/>
      <c r="H105" s="14"/>
      <c r="I105" s="14"/>
    </row>
    <row r="106" spans="1:9" x14ac:dyDescent="0.2">
      <c r="B106" s="7">
        <v>44858</v>
      </c>
      <c r="D106" t="s">
        <v>148</v>
      </c>
      <c r="E106" t="s">
        <v>129</v>
      </c>
      <c r="F106" t="s">
        <v>273</v>
      </c>
    </row>
    <row r="107" spans="1:9" x14ac:dyDescent="0.2">
      <c r="B107" s="7">
        <v>44858</v>
      </c>
      <c r="D107" t="s">
        <v>148</v>
      </c>
      <c r="E107" t="s">
        <v>129</v>
      </c>
      <c r="F107" t="s">
        <v>282</v>
      </c>
    </row>
    <row r="108" spans="1:9" x14ac:dyDescent="0.2">
      <c r="B108" s="7">
        <v>44858</v>
      </c>
      <c r="D108" t="s">
        <v>148</v>
      </c>
      <c r="E108" t="s">
        <v>129</v>
      </c>
      <c r="F108" t="s">
        <v>281</v>
      </c>
    </row>
    <row r="109" spans="1:9" x14ac:dyDescent="0.2">
      <c r="B109" s="7">
        <v>44858</v>
      </c>
      <c r="D109" t="s">
        <v>148</v>
      </c>
      <c r="E109" t="s">
        <v>129</v>
      </c>
      <c r="F109" t="s">
        <v>276</v>
      </c>
    </row>
    <row r="110" spans="1:9" x14ac:dyDescent="0.2">
      <c r="A110" t="s">
        <v>525</v>
      </c>
      <c r="B110" s="7">
        <v>44865</v>
      </c>
      <c r="C110" s="7">
        <v>44865</v>
      </c>
      <c r="D110" t="s">
        <v>167</v>
      </c>
      <c r="E110" t="s">
        <v>180</v>
      </c>
      <c r="F110" t="s">
        <v>151</v>
      </c>
    </row>
    <row r="111" spans="1:9" x14ac:dyDescent="0.2">
      <c r="B111" s="7">
        <v>44865</v>
      </c>
      <c r="D111" t="s">
        <v>148</v>
      </c>
      <c r="E111" t="s">
        <v>129</v>
      </c>
      <c r="F111" t="s">
        <v>130</v>
      </c>
    </row>
    <row r="112" spans="1:9" x14ac:dyDescent="0.2">
      <c r="A112" t="s">
        <v>526</v>
      </c>
      <c r="B112" s="7">
        <v>44865</v>
      </c>
      <c r="C112" s="7">
        <v>44865</v>
      </c>
      <c r="D112" t="s">
        <v>167</v>
      </c>
      <c r="E112" t="s">
        <v>180</v>
      </c>
      <c r="F112" t="s">
        <v>151</v>
      </c>
    </row>
    <row r="113" spans="1:8" x14ac:dyDescent="0.2">
      <c r="B113" s="7">
        <v>44865</v>
      </c>
      <c r="D113" t="s">
        <v>148</v>
      </c>
      <c r="E113" t="s">
        <v>129</v>
      </c>
      <c r="F113" t="s">
        <v>130</v>
      </c>
    </row>
    <row r="114" spans="1:8" x14ac:dyDescent="0.2">
      <c r="A114" t="s">
        <v>527</v>
      </c>
      <c r="B114" s="7">
        <v>44865</v>
      </c>
      <c r="C114" s="7">
        <v>44865</v>
      </c>
      <c r="D114" t="s">
        <v>167</v>
      </c>
      <c r="E114" t="s">
        <v>180</v>
      </c>
      <c r="F114" t="s">
        <v>151</v>
      </c>
    </row>
    <row r="115" spans="1:8" x14ac:dyDescent="0.2">
      <c r="B115" s="7">
        <v>44865</v>
      </c>
      <c r="D115" t="s">
        <v>148</v>
      </c>
      <c r="E115" t="s">
        <v>129</v>
      </c>
      <c r="F115" t="s">
        <v>130</v>
      </c>
    </row>
    <row r="116" spans="1:8" x14ac:dyDescent="0.2">
      <c r="A116" t="s">
        <v>528</v>
      </c>
      <c r="B116" s="7">
        <v>44865</v>
      </c>
      <c r="C116" s="7">
        <v>44865</v>
      </c>
      <c r="D116" t="s">
        <v>167</v>
      </c>
      <c r="E116" t="s">
        <v>180</v>
      </c>
      <c r="F116" t="s">
        <v>151</v>
      </c>
    </row>
    <row r="117" spans="1:8" x14ac:dyDescent="0.2">
      <c r="B117" s="7">
        <v>44865</v>
      </c>
      <c r="D117" t="s">
        <v>148</v>
      </c>
      <c r="E117" t="s">
        <v>129</v>
      </c>
      <c r="F117" t="s">
        <v>130</v>
      </c>
    </row>
    <row r="118" spans="1:8" x14ac:dyDescent="0.2">
      <c r="A118" t="s">
        <v>529</v>
      </c>
      <c r="B118" s="7">
        <v>44865</v>
      </c>
      <c r="C118" s="7">
        <v>44865</v>
      </c>
      <c r="D118" t="s">
        <v>167</v>
      </c>
      <c r="E118" t="s">
        <v>135</v>
      </c>
      <c r="F118" t="s">
        <v>291</v>
      </c>
    </row>
    <row r="119" spans="1:8" x14ac:dyDescent="0.2">
      <c r="B119" s="22">
        <v>44865</v>
      </c>
      <c r="C119" s="22">
        <v>44865</v>
      </c>
      <c r="D119" s="21" t="s">
        <v>165</v>
      </c>
      <c r="E119" t="s">
        <v>135</v>
      </c>
      <c r="F119" t="s">
        <v>292</v>
      </c>
    </row>
    <row r="120" spans="1:8" x14ac:dyDescent="0.2">
      <c r="B120" s="7">
        <v>44865</v>
      </c>
      <c r="D120" t="s">
        <v>148</v>
      </c>
      <c r="E120" t="s">
        <v>129</v>
      </c>
      <c r="F120" t="s">
        <v>130</v>
      </c>
    </row>
    <row r="121" spans="1:8" x14ac:dyDescent="0.2">
      <c r="A121" t="s">
        <v>530</v>
      </c>
      <c r="B121" s="7">
        <v>44865</v>
      </c>
      <c r="C121" s="7">
        <v>44865</v>
      </c>
      <c r="D121" t="s">
        <v>167</v>
      </c>
      <c r="E121" t="s">
        <v>180</v>
      </c>
      <c r="F121" t="s">
        <v>151</v>
      </c>
    </row>
    <row r="122" spans="1:8" x14ac:dyDescent="0.2">
      <c r="B122" s="7">
        <v>44865</v>
      </c>
      <c r="D122" t="s">
        <v>148</v>
      </c>
      <c r="E122" t="s">
        <v>129</v>
      </c>
      <c r="F122" t="s">
        <v>130</v>
      </c>
    </row>
    <row r="123" spans="1:8" x14ac:dyDescent="0.2">
      <c r="A123" t="s">
        <v>531</v>
      </c>
      <c r="B123" s="7">
        <v>44865</v>
      </c>
      <c r="C123" s="7">
        <v>44865</v>
      </c>
      <c r="D123" t="s">
        <v>167</v>
      </c>
      <c r="E123" t="s">
        <v>180</v>
      </c>
      <c r="F123" t="s">
        <v>151</v>
      </c>
    </row>
    <row r="124" spans="1:8" x14ac:dyDescent="0.2">
      <c r="B124" s="7">
        <v>44865</v>
      </c>
      <c r="D124" t="s">
        <v>148</v>
      </c>
      <c r="E124" t="s">
        <v>129</v>
      </c>
      <c r="F124" t="s">
        <v>130</v>
      </c>
    </row>
    <row r="125" spans="1:8" x14ac:dyDescent="0.2">
      <c r="B125" s="23">
        <v>44865</v>
      </c>
      <c r="C125" s="13"/>
      <c r="D125" s="13" t="s">
        <v>283</v>
      </c>
      <c r="E125" s="13" t="s">
        <v>284</v>
      </c>
      <c r="F125" s="13" t="s">
        <v>130</v>
      </c>
    </row>
    <row r="126" spans="1:8" x14ac:dyDescent="0.2">
      <c r="A126" t="s">
        <v>532</v>
      </c>
      <c r="B126" s="7">
        <v>44865</v>
      </c>
      <c r="C126" s="7">
        <v>44865</v>
      </c>
      <c r="D126" t="s">
        <v>167</v>
      </c>
      <c r="E126" t="s">
        <v>180</v>
      </c>
      <c r="F126" t="s">
        <v>151</v>
      </c>
    </row>
    <row r="127" spans="1:8" x14ac:dyDescent="0.2">
      <c r="B127" s="7">
        <v>44865</v>
      </c>
      <c r="F127" t="s">
        <v>296</v>
      </c>
    </row>
    <row r="128" spans="1:8" x14ac:dyDescent="0.2">
      <c r="A128" t="s">
        <v>533</v>
      </c>
      <c r="B128" s="7">
        <v>44865</v>
      </c>
      <c r="C128" s="7">
        <v>44865</v>
      </c>
      <c r="D128" t="s">
        <v>167</v>
      </c>
      <c r="E128" t="s">
        <v>135</v>
      </c>
      <c r="F128" t="s">
        <v>297</v>
      </c>
      <c r="H128" t="s">
        <v>298</v>
      </c>
    </row>
    <row r="129" spans="1:6" x14ac:dyDescent="0.2">
      <c r="B129" s="22">
        <v>44865</v>
      </c>
      <c r="C129" s="22">
        <v>44865</v>
      </c>
      <c r="D129" s="21" t="s">
        <v>165</v>
      </c>
      <c r="E129" t="s">
        <v>135</v>
      </c>
      <c r="F129" t="s">
        <v>292</v>
      </c>
    </row>
    <row r="130" spans="1:6" x14ac:dyDescent="0.2">
      <c r="B130" s="7">
        <v>44865</v>
      </c>
      <c r="D130" t="s">
        <v>148</v>
      </c>
      <c r="E130" t="s">
        <v>129</v>
      </c>
      <c r="F130" t="s">
        <v>130</v>
      </c>
    </row>
    <row r="131" spans="1:6" x14ac:dyDescent="0.2">
      <c r="B131" s="23">
        <v>44865</v>
      </c>
      <c r="C131" s="13"/>
      <c r="D131" s="13" t="s">
        <v>283</v>
      </c>
      <c r="E131" s="13" t="s">
        <v>284</v>
      </c>
      <c r="F131" s="13" t="s">
        <v>130</v>
      </c>
    </row>
    <row r="132" spans="1:6" x14ac:dyDescent="0.2">
      <c r="A132" t="s">
        <v>534</v>
      </c>
      <c r="B132" s="7">
        <v>44865</v>
      </c>
      <c r="C132" s="7">
        <v>44865</v>
      </c>
      <c r="D132" t="s">
        <v>167</v>
      </c>
      <c r="E132" t="s">
        <v>180</v>
      </c>
      <c r="F132" t="s">
        <v>151</v>
      </c>
    </row>
    <row r="133" spans="1:6" x14ac:dyDescent="0.2">
      <c r="B133" s="7">
        <v>44865</v>
      </c>
      <c r="D133" t="s">
        <v>148</v>
      </c>
      <c r="E133" t="s">
        <v>129</v>
      </c>
      <c r="F133" t="s">
        <v>130</v>
      </c>
    </row>
    <row r="134" spans="1:6" x14ac:dyDescent="0.2">
      <c r="A134" t="s">
        <v>535</v>
      </c>
      <c r="B134" s="7">
        <v>44865</v>
      </c>
      <c r="C134" s="7">
        <v>44865</v>
      </c>
      <c r="D134" t="s">
        <v>167</v>
      </c>
      <c r="E134" t="s">
        <v>135</v>
      </c>
      <c r="F134" t="s">
        <v>300</v>
      </c>
    </row>
    <row r="135" spans="1:6" x14ac:dyDescent="0.2">
      <c r="B135" s="7">
        <v>44865</v>
      </c>
      <c r="C135" s="7">
        <v>44865</v>
      </c>
      <c r="D135" t="s">
        <v>165</v>
      </c>
      <c r="E135" t="s">
        <v>135</v>
      </c>
      <c r="F135" t="s">
        <v>300</v>
      </c>
    </row>
    <row r="136" spans="1:6" x14ac:dyDescent="0.2">
      <c r="B136" s="7">
        <v>44865</v>
      </c>
      <c r="D136" t="s">
        <v>148</v>
      </c>
      <c r="E136" t="s">
        <v>129</v>
      </c>
      <c r="F136" t="s">
        <v>130</v>
      </c>
    </row>
    <row r="137" spans="1:6" x14ac:dyDescent="0.2">
      <c r="A137" t="s">
        <v>536</v>
      </c>
      <c r="B137" s="7">
        <v>44865</v>
      </c>
      <c r="C137" s="7">
        <v>44865</v>
      </c>
      <c r="D137" t="s">
        <v>167</v>
      </c>
      <c r="E137" t="s">
        <v>135</v>
      </c>
      <c r="F137" t="s">
        <v>303</v>
      </c>
    </row>
    <row r="138" spans="1:6" x14ac:dyDescent="0.2">
      <c r="B138" s="22">
        <v>44865</v>
      </c>
      <c r="C138" s="22">
        <v>44865</v>
      </c>
      <c r="D138" s="21" t="s">
        <v>165</v>
      </c>
      <c r="E138" t="s">
        <v>135</v>
      </c>
      <c r="F138" t="s">
        <v>302</v>
      </c>
    </row>
    <row r="139" spans="1:6" x14ac:dyDescent="0.2">
      <c r="B139" s="7">
        <v>44865</v>
      </c>
      <c r="D139" t="s">
        <v>148</v>
      </c>
      <c r="E139" t="s">
        <v>129</v>
      </c>
      <c r="F139" t="s">
        <v>130</v>
      </c>
    </row>
    <row r="140" spans="1:6" x14ac:dyDescent="0.2">
      <c r="B140" s="23">
        <v>44865</v>
      </c>
      <c r="C140" s="13"/>
      <c r="D140" s="13" t="s">
        <v>283</v>
      </c>
      <c r="E140" s="13" t="s">
        <v>284</v>
      </c>
      <c r="F140" s="13" t="s">
        <v>130</v>
      </c>
    </row>
    <row r="141" spans="1:6" x14ac:dyDescent="0.2">
      <c r="A141" t="s">
        <v>537</v>
      </c>
      <c r="B141" s="7">
        <v>44865</v>
      </c>
      <c r="C141" s="7">
        <v>44865</v>
      </c>
      <c r="D141" t="s">
        <v>167</v>
      </c>
      <c r="E141" t="s">
        <v>135</v>
      </c>
      <c r="F141" t="s">
        <v>303</v>
      </c>
    </row>
    <row r="142" spans="1:6" x14ac:dyDescent="0.2">
      <c r="B142" s="22">
        <v>44865</v>
      </c>
      <c r="C142" s="22">
        <v>44865</v>
      </c>
      <c r="D142" s="21" t="s">
        <v>165</v>
      </c>
      <c r="E142" t="s">
        <v>135</v>
      </c>
      <c r="F142" t="s">
        <v>292</v>
      </c>
    </row>
    <row r="143" spans="1:6" x14ac:dyDescent="0.2">
      <c r="B143" s="7">
        <v>44865</v>
      </c>
      <c r="D143" t="s">
        <v>148</v>
      </c>
      <c r="E143" t="s">
        <v>129</v>
      </c>
      <c r="F143" t="s">
        <v>130</v>
      </c>
    </row>
    <row r="144" spans="1:6" x14ac:dyDescent="0.2">
      <c r="A144" t="s">
        <v>538</v>
      </c>
      <c r="B144" s="7">
        <v>44865</v>
      </c>
      <c r="C144" s="7">
        <v>44865</v>
      </c>
      <c r="D144" t="s">
        <v>167</v>
      </c>
      <c r="E144" t="s">
        <v>135</v>
      </c>
      <c r="F144" t="s">
        <v>291</v>
      </c>
    </row>
    <row r="145" spans="1:6" x14ac:dyDescent="0.2">
      <c r="B145" s="22">
        <v>44865</v>
      </c>
      <c r="C145" s="22">
        <v>44865</v>
      </c>
      <c r="D145" s="21" t="s">
        <v>165</v>
      </c>
      <c r="E145" t="s">
        <v>135</v>
      </c>
      <c r="F145" t="s">
        <v>305</v>
      </c>
    </row>
    <row r="146" spans="1:6" x14ac:dyDescent="0.2">
      <c r="B146" s="7">
        <v>44865</v>
      </c>
      <c r="D146" t="s">
        <v>148</v>
      </c>
      <c r="E146" t="s">
        <v>129</v>
      </c>
      <c r="F146" t="s">
        <v>130</v>
      </c>
    </row>
    <row r="147" spans="1:6" x14ac:dyDescent="0.2">
      <c r="A147" t="s">
        <v>539</v>
      </c>
      <c r="B147" s="7">
        <v>44865</v>
      </c>
      <c r="C147" s="7">
        <v>44865</v>
      </c>
      <c r="D147" t="s">
        <v>167</v>
      </c>
      <c r="E147" t="s">
        <v>180</v>
      </c>
      <c r="F147" t="s">
        <v>151</v>
      </c>
    </row>
    <row r="148" spans="1:6" x14ac:dyDescent="0.2">
      <c r="B148" s="7">
        <v>44865</v>
      </c>
      <c r="D148" t="s">
        <v>148</v>
      </c>
      <c r="E148" t="s">
        <v>129</v>
      </c>
      <c r="F148" t="s">
        <v>130</v>
      </c>
    </row>
    <row r="149" spans="1:6" x14ac:dyDescent="0.2">
      <c r="B149" s="23">
        <v>44865</v>
      </c>
      <c r="C149" s="13"/>
      <c r="D149" s="13" t="s">
        <v>283</v>
      </c>
      <c r="E149" s="13" t="s">
        <v>284</v>
      </c>
      <c r="F149" s="13" t="s">
        <v>130</v>
      </c>
    </row>
    <row r="150" spans="1:6" x14ac:dyDescent="0.2">
      <c r="A150" t="s">
        <v>540</v>
      </c>
      <c r="B150" s="7">
        <v>44873</v>
      </c>
      <c r="C150" s="7">
        <v>44873</v>
      </c>
      <c r="D150" t="s">
        <v>167</v>
      </c>
      <c r="E150" t="s">
        <v>135</v>
      </c>
      <c r="F150" t="s">
        <v>306</v>
      </c>
    </row>
    <row r="151" spans="1:6" x14ac:dyDescent="0.2">
      <c r="B151" s="7">
        <v>44873</v>
      </c>
      <c r="C151" s="7">
        <v>44873</v>
      </c>
      <c r="D151" t="s">
        <v>165</v>
      </c>
      <c r="E151" t="s">
        <v>135</v>
      </c>
      <c r="F151" t="s">
        <v>302</v>
      </c>
    </row>
    <row r="152" spans="1:6" x14ac:dyDescent="0.2">
      <c r="B152" s="7">
        <v>44873</v>
      </c>
      <c r="D152" t="s">
        <v>148</v>
      </c>
      <c r="E152" t="s">
        <v>129</v>
      </c>
      <c r="F152" t="s">
        <v>130</v>
      </c>
    </row>
    <row r="153" spans="1:6" x14ac:dyDescent="0.2">
      <c r="A153" t="s">
        <v>541</v>
      </c>
      <c r="B153" s="7">
        <v>44873</v>
      </c>
      <c r="C153" s="7">
        <v>44873</v>
      </c>
      <c r="D153" t="s">
        <v>167</v>
      </c>
      <c r="E153" t="s">
        <v>135</v>
      </c>
      <c r="F153" t="s">
        <v>308</v>
      </c>
    </row>
    <row r="154" spans="1:6" x14ac:dyDescent="0.2">
      <c r="B154" s="7">
        <v>44873</v>
      </c>
      <c r="C154" s="7">
        <v>44873</v>
      </c>
      <c r="D154" t="s">
        <v>165</v>
      </c>
      <c r="E154" t="s">
        <v>180</v>
      </c>
      <c r="F154" t="s">
        <v>151</v>
      </c>
    </row>
    <row r="155" spans="1:6" x14ac:dyDescent="0.2">
      <c r="B155" s="7">
        <v>44873</v>
      </c>
      <c r="D155" t="s">
        <v>148</v>
      </c>
      <c r="E155" t="s">
        <v>129</v>
      </c>
      <c r="F155" t="s">
        <v>130</v>
      </c>
    </row>
    <row r="156" spans="1:6" x14ac:dyDescent="0.2">
      <c r="A156" t="s">
        <v>542</v>
      </c>
      <c r="B156" s="7">
        <v>44873</v>
      </c>
      <c r="C156" s="7">
        <v>44873</v>
      </c>
      <c r="D156" t="s">
        <v>167</v>
      </c>
      <c r="E156" t="s">
        <v>135</v>
      </c>
      <c r="F156" t="s">
        <v>308</v>
      </c>
    </row>
    <row r="157" spans="1:6" x14ac:dyDescent="0.2">
      <c r="B157" s="7">
        <v>44873</v>
      </c>
      <c r="C157" s="7">
        <v>44873</v>
      </c>
      <c r="D157" t="s">
        <v>165</v>
      </c>
      <c r="E157" t="s">
        <v>135</v>
      </c>
      <c r="F157" t="s">
        <v>313</v>
      </c>
    </row>
    <row r="158" spans="1:6" x14ac:dyDescent="0.2">
      <c r="B158" s="7">
        <v>44873</v>
      </c>
      <c r="C158" s="7">
        <v>44873</v>
      </c>
      <c r="D158" t="s">
        <v>148</v>
      </c>
      <c r="E158" t="s">
        <v>314</v>
      </c>
      <c r="F158" s="25" t="s">
        <v>315</v>
      </c>
    </row>
    <row r="159" spans="1:6" x14ac:dyDescent="0.2">
      <c r="A159" t="s">
        <v>543</v>
      </c>
      <c r="B159" s="7">
        <v>44873</v>
      </c>
      <c r="C159" s="7">
        <v>44873</v>
      </c>
      <c r="D159" t="s">
        <v>167</v>
      </c>
      <c r="E159" t="s">
        <v>135</v>
      </c>
      <c r="F159" t="s">
        <v>308</v>
      </c>
    </row>
    <row r="160" spans="1:6" x14ac:dyDescent="0.2">
      <c r="B160" s="7">
        <v>44873</v>
      </c>
      <c r="C160" s="7">
        <v>44873</v>
      </c>
      <c r="D160" t="s">
        <v>165</v>
      </c>
      <c r="E160" t="s">
        <v>135</v>
      </c>
      <c r="F160" t="s">
        <v>292</v>
      </c>
    </row>
    <row r="161" spans="1:6" x14ac:dyDescent="0.2">
      <c r="B161" s="7">
        <v>44873</v>
      </c>
      <c r="D161" t="s">
        <v>148</v>
      </c>
      <c r="E161" t="s">
        <v>129</v>
      </c>
      <c r="F161" t="s">
        <v>130</v>
      </c>
    </row>
    <row r="162" spans="1:6" x14ac:dyDescent="0.2">
      <c r="A162" t="s">
        <v>544</v>
      </c>
      <c r="B162" s="7">
        <v>44873</v>
      </c>
      <c r="C162" s="7">
        <v>44873</v>
      </c>
      <c r="D162" t="s">
        <v>167</v>
      </c>
      <c r="E162" t="s">
        <v>135</v>
      </c>
      <c r="F162" t="s">
        <v>306</v>
      </c>
    </row>
    <row r="163" spans="1:6" x14ac:dyDescent="0.2">
      <c r="B163" s="7">
        <v>44873</v>
      </c>
      <c r="C163" s="7">
        <v>44873</v>
      </c>
      <c r="D163" t="s">
        <v>165</v>
      </c>
      <c r="E163" t="s">
        <v>135</v>
      </c>
      <c r="F163" t="s">
        <v>302</v>
      </c>
    </row>
    <row r="164" spans="1:6" x14ac:dyDescent="0.2">
      <c r="B164" s="7">
        <v>44873</v>
      </c>
      <c r="D164" t="s">
        <v>148</v>
      </c>
      <c r="E164" t="s">
        <v>129</v>
      </c>
      <c r="F164" s="25" t="s">
        <v>316</v>
      </c>
    </row>
    <row r="165" spans="1:6" x14ac:dyDescent="0.2">
      <c r="A165" t="s">
        <v>545</v>
      </c>
      <c r="B165" s="7">
        <v>44873</v>
      </c>
      <c r="C165" s="7">
        <v>44873</v>
      </c>
      <c r="D165" t="s">
        <v>167</v>
      </c>
      <c r="E165" t="s">
        <v>135</v>
      </c>
      <c r="F165" t="s">
        <v>291</v>
      </c>
    </row>
    <row r="166" spans="1:6" x14ac:dyDescent="0.2">
      <c r="B166" s="7">
        <v>44873</v>
      </c>
      <c r="C166" s="7">
        <v>44873</v>
      </c>
      <c r="D166" t="s">
        <v>165</v>
      </c>
      <c r="E166" t="s">
        <v>135</v>
      </c>
      <c r="F166" t="s">
        <v>302</v>
      </c>
    </row>
    <row r="167" spans="1:6" x14ac:dyDescent="0.2">
      <c r="B167" s="7">
        <v>44873</v>
      </c>
      <c r="D167" t="s">
        <v>148</v>
      </c>
      <c r="E167" t="s">
        <v>129</v>
      </c>
      <c r="F167" t="s">
        <v>130</v>
      </c>
    </row>
    <row r="168" spans="1:6" x14ac:dyDescent="0.2">
      <c r="A168" t="s">
        <v>546</v>
      </c>
      <c r="B168" s="7">
        <v>44873</v>
      </c>
      <c r="C168" s="7">
        <v>44873</v>
      </c>
      <c r="D168" t="s">
        <v>167</v>
      </c>
      <c r="E168" t="s">
        <v>135</v>
      </c>
      <c r="F168" t="s">
        <v>308</v>
      </c>
    </row>
    <row r="169" spans="1:6" x14ac:dyDescent="0.2">
      <c r="B169" s="7">
        <v>44873</v>
      </c>
      <c r="C169" s="7">
        <v>44873</v>
      </c>
      <c r="D169" t="s">
        <v>165</v>
      </c>
      <c r="E169" t="s">
        <v>180</v>
      </c>
      <c r="F169" t="s">
        <v>151</v>
      </c>
    </row>
    <row r="170" spans="1:6" x14ac:dyDescent="0.2">
      <c r="B170" s="7">
        <v>44873</v>
      </c>
      <c r="D170" t="s">
        <v>148</v>
      </c>
      <c r="E170" t="s">
        <v>129</v>
      </c>
      <c r="F170" t="s">
        <v>130</v>
      </c>
    </row>
    <row r="171" spans="1:6" x14ac:dyDescent="0.2">
      <c r="A171" t="s">
        <v>504</v>
      </c>
      <c r="B171" s="7">
        <v>44873</v>
      </c>
      <c r="C171" s="7">
        <v>44873</v>
      </c>
      <c r="D171" t="s">
        <v>167</v>
      </c>
      <c r="E171" t="s">
        <v>135</v>
      </c>
      <c r="F171" t="s">
        <v>321</v>
      </c>
    </row>
    <row r="172" spans="1:6" x14ac:dyDescent="0.2">
      <c r="A172" s="2"/>
      <c r="B172" s="7">
        <v>44873</v>
      </c>
      <c r="C172" s="7">
        <v>44873</v>
      </c>
      <c r="D172" t="s">
        <v>165</v>
      </c>
      <c r="E172" t="s">
        <v>135</v>
      </c>
      <c r="F172" t="s">
        <v>305</v>
      </c>
    </row>
    <row r="173" spans="1:6" x14ac:dyDescent="0.2">
      <c r="B173" s="7">
        <v>44873</v>
      </c>
      <c r="D173" t="s">
        <v>148</v>
      </c>
      <c r="E173" t="s">
        <v>129</v>
      </c>
      <c r="F173" s="25" t="s">
        <v>323</v>
      </c>
    </row>
    <row r="174" spans="1:6" x14ac:dyDescent="0.2">
      <c r="A174" t="s">
        <v>503</v>
      </c>
      <c r="B174" s="7">
        <v>44873</v>
      </c>
      <c r="C174" s="7">
        <v>44873</v>
      </c>
      <c r="D174" t="s">
        <v>167</v>
      </c>
      <c r="E174" t="s">
        <v>135</v>
      </c>
      <c r="F174" t="s">
        <v>321</v>
      </c>
    </row>
    <row r="175" spans="1:6" x14ac:dyDescent="0.2">
      <c r="B175" s="7">
        <v>44873</v>
      </c>
      <c r="C175" s="7">
        <v>44873</v>
      </c>
      <c r="D175" t="s">
        <v>165</v>
      </c>
      <c r="E175" t="s">
        <v>135</v>
      </c>
      <c r="F175" t="s">
        <v>305</v>
      </c>
    </row>
    <row r="176" spans="1:6" x14ac:dyDescent="0.2">
      <c r="B176" s="7">
        <v>44873</v>
      </c>
      <c r="D176" t="s">
        <v>148</v>
      </c>
      <c r="E176" t="s">
        <v>129</v>
      </c>
      <c r="F176" t="s">
        <v>130</v>
      </c>
    </row>
    <row r="177" spans="1:6" x14ac:dyDescent="0.2">
      <c r="A177" t="s">
        <v>502</v>
      </c>
      <c r="B177" s="7">
        <v>44879</v>
      </c>
      <c r="C177" s="7">
        <v>44879</v>
      </c>
      <c r="D177" t="s">
        <v>167</v>
      </c>
      <c r="E177" t="s">
        <v>135</v>
      </c>
      <c r="F177" t="s">
        <v>321</v>
      </c>
    </row>
    <row r="178" spans="1:6" x14ac:dyDescent="0.2">
      <c r="B178" s="7">
        <v>44879</v>
      </c>
      <c r="C178" s="7">
        <v>44879</v>
      </c>
      <c r="D178" t="s">
        <v>165</v>
      </c>
      <c r="E178" t="s">
        <v>135</v>
      </c>
      <c r="F178" t="s">
        <v>302</v>
      </c>
    </row>
    <row r="179" spans="1:6" x14ac:dyDescent="0.2">
      <c r="B179" s="7">
        <v>44879</v>
      </c>
      <c r="D179" t="s">
        <v>148</v>
      </c>
      <c r="E179" t="s">
        <v>129</v>
      </c>
      <c r="F179" t="s">
        <v>130</v>
      </c>
    </row>
    <row r="180" spans="1:6" x14ac:dyDescent="0.2">
      <c r="A180" t="s">
        <v>547</v>
      </c>
      <c r="B180" s="7">
        <v>44879</v>
      </c>
      <c r="C180" s="7">
        <v>44879</v>
      </c>
      <c r="D180" t="s">
        <v>167</v>
      </c>
      <c r="E180" t="s">
        <v>135</v>
      </c>
      <c r="F180" t="s">
        <v>291</v>
      </c>
    </row>
    <row r="181" spans="1:6" x14ac:dyDescent="0.2">
      <c r="B181" s="7">
        <v>44879</v>
      </c>
      <c r="C181" s="7">
        <v>44879</v>
      </c>
      <c r="D181" t="s">
        <v>165</v>
      </c>
      <c r="E181" t="s">
        <v>135</v>
      </c>
      <c r="F181" t="s">
        <v>302</v>
      </c>
    </row>
    <row r="182" spans="1:6" x14ac:dyDescent="0.2">
      <c r="B182" s="7">
        <v>44879</v>
      </c>
      <c r="D182" t="s">
        <v>148</v>
      </c>
      <c r="E182" t="s">
        <v>129</v>
      </c>
      <c r="F182" t="s">
        <v>130</v>
      </c>
    </row>
    <row r="183" spans="1:6" x14ac:dyDescent="0.2">
      <c r="A183" t="s">
        <v>498</v>
      </c>
      <c r="B183" s="7">
        <v>44879</v>
      </c>
      <c r="C183" s="7">
        <v>44879</v>
      </c>
      <c r="D183" t="s">
        <v>167</v>
      </c>
      <c r="E183" t="s">
        <v>135</v>
      </c>
      <c r="F183" t="s">
        <v>291</v>
      </c>
    </row>
    <row r="184" spans="1:6" x14ac:dyDescent="0.2">
      <c r="B184" s="7">
        <v>44879</v>
      </c>
      <c r="C184" s="7">
        <v>44879</v>
      </c>
      <c r="D184" t="s">
        <v>165</v>
      </c>
      <c r="E184" t="s">
        <v>180</v>
      </c>
      <c r="F184" t="s">
        <v>151</v>
      </c>
    </row>
    <row r="185" spans="1:6" x14ac:dyDescent="0.2">
      <c r="B185" s="7">
        <v>44879</v>
      </c>
      <c r="D185" t="s">
        <v>148</v>
      </c>
      <c r="E185" t="s">
        <v>129</v>
      </c>
      <c r="F185" t="s">
        <v>130</v>
      </c>
    </row>
    <row r="186" spans="1:6" x14ac:dyDescent="0.2">
      <c r="A186" t="s">
        <v>548</v>
      </c>
      <c r="B186" s="7">
        <v>44879</v>
      </c>
      <c r="C186" s="7">
        <v>44879</v>
      </c>
      <c r="D186" t="s">
        <v>167</v>
      </c>
      <c r="E186" t="s">
        <v>135</v>
      </c>
      <c r="F186" t="s">
        <v>306</v>
      </c>
    </row>
    <row r="187" spans="1:6" x14ac:dyDescent="0.2">
      <c r="B187" s="7">
        <v>44879</v>
      </c>
      <c r="C187" s="7">
        <v>44879</v>
      </c>
      <c r="D187" t="s">
        <v>165</v>
      </c>
      <c r="E187" t="s">
        <v>135</v>
      </c>
      <c r="F187" t="s">
        <v>292</v>
      </c>
    </row>
    <row r="188" spans="1:6" x14ac:dyDescent="0.2">
      <c r="B188" s="7">
        <v>44879</v>
      </c>
      <c r="D188" t="s">
        <v>148</v>
      </c>
      <c r="E188" t="s">
        <v>129</v>
      </c>
      <c r="F188" t="s">
        <v>130</v>
      </c>
    </row>
    <row r="189" spans="1:6" x14ac:dyDescent="0.2">
      <c r="A189" t="s">
        <v>549</v>
      </c>
      <c r="B189" s="7">
        <v>44879</v>
      </c>
      <c r="C189" s="7">
        <v>44879</v>
      </c>
      <c r="D189" t="s">
        <v>167</v>
      </c>
      <c r="E189" t="s">
        <v>135</v>
      </c>
      <c r="F189" t="s">
        <v>291</v>
      </c>
    </row>
    <row r="190" spans="1:6" x14ac:dyDescent="0.2">
      <c r="B190" s="7">
        <v>44879</v>
      </c>
      <c r="C190" s="7">
        <v>44879</v>
      </c>
      <c r="D190" t="s">
        <v>165</v>
      </c>
      <c r="E190" t="s">
        <v>135</v>
      </c>
      <c r="F190" t="s">
        <v>302</v>
      </c>
    </row>
    <row r="191" spans="1:6" x14ac:dyDescent="0.2">
      <c r="B191" s="7">
        <v>44879</v>
      </c>
      <c r="D191" t="s">
        <v>148</v>
      </c>
      <c r="E191" t="s">
        <v>129</v>
      </c>
      <c r="F191" t="s">
        <v>130</v>
      </c>
    </row>
    <row r="192" spans="1:6" x14ac:dyDescent="0.2">
      <c r="A192" t="s">
        <v>550</v>
      </c>
      <c r="B192" s="7">
        <v>44879</v>
      </c>
      <c r="C192" s="7">
        <v>44879</v>
      </c>
      <c r="D192" t="s">
        <v>167</v>
      </c>
      <c r="E192" t="s">
        <v>135</v>
      </c>
      <c r="F192" t="s">
        <v>291</v>
      </c>
    </row>
    <row r="193" spans="1:6" x14ac:dyDescent="0.2">
      <c r="B193" s="7">
        <v>44879</v>
      </c>
      <c r="C193" s="7">
        <v>44879</v>
      </c>
      <c r="D193" t="s">
        <v>165</v>
      </c>
      <c r="E193" t="s">
        <v>135</v>
      </c>
      <c r="F193" t="s">
        <v>302</v>
      </c>
    </row>
    <row r="194" spans="1:6" x14ac:dyDescent="0.2">
      <c r="B194" s="7">
        <v>44879</v>
      </c>
      <c r="D194" t="s">
        <v>148</v>
      </c>
      <c r="E194" t="s">
        <v>129</v>
      </c>
      <c r="F194" t="s">
        <v>130</v>
      </c>
    </row>
    <row r="195" spans="1:6" x14ac:dyDescent="0.2">
      <c r="A195" s="27" t="s">
        <v>551</v>
      </c>
      <c r="B195" s="7">
        <v>44879</v>
      </c>
      <c r="C195" s="7">
        <v>44879</v>
      </c>
      <c r="D195" t="s">
        <v>167</v>
      </c>
      <c r="E195" t="s">
        <v>180</v>
      </c>
      <c r="F195" t="s">
        <v>151</v>
      </c>
    </row>
    <row r="196" spans="1:6" x14ac:dyDescent="0.2">
      <c r="B196" s="7">
        <v>44879</v>
      </c>
      <c r="D196" t="s">
        <v>148</v>
      </c>
      <c r="E196" t="s">
        <v>129</v>
      </c>
      <c r="F196" t="s">
        <v>130</v>
      </c>
    </row>
    <row r="197" spans="1:6" x14ac:dyDescent="0.2">
      <c r="A197" t="s">
        <v>492</v>
      </c>
      <c r="B197" s="7">
        <v>44907</v>
      </c>
      <c r="C197" s="7">
        <v>44907</v>
      </c>
      <c r="D197" t="s">
        <v>167</v>
      </c>
      <c r="E197" t="s">
        <v>135</v>
      </c>
      <c r="F197" t="s">
        <v>291</v>
      </c>
    </row>
    <row r="198" spans="1:6" x14ac:dyDescent="0.2">
      <c r="B198" s="7">
        <v>44907</v>
      </c>
      <c r="C198" s="7">
        <v>44907</v>
      </c>
      <c r="D198" t="s">
        <v>165</v>
      </c>
      <c r="E198" t="s">
        <v>135</v>
      </c>
      <c r="F198" t="s">
        <v>292</v>
      </c>
    </row>
    <row r="199" spans="1:6" x14ac:dyDescent="0.2">
      <c r="B199" s="7">
        <v>44907</v>
      </c>
      <c r="D199" t="s">
        <v>148</v>
      </c>
      <c r="E199" t="s">
        <v>129</v>
      </c>
      <c r="F199" t="s">
        <v>130</v>
      </c>
    </row>
    <row r="200" spans="1:6" x14ac:dyDescent="0.2">
      <c r="A200" t="s">
        <v>490</v>
      </c>
      <c r="B200" s="7">
        <v>44907</v>
      </c>
      <c r="C200" s="7">
        <v>44907</v>
      </c>
      <c r="D200" t="s">
        <v>165</v>
      </c>
      <c r="E200" t="s">
        <v>135</v>
      </c>
      <c r="F200" t="s">
        <v>292</v>
      </c>
    </row>
    <row r="201" spans="1:6" x14ac:dyDescent="0.2">
      <c r="B201" s="7">
        <v>44907</v>
      </c>
      <c r="C201" s="7">
        <v>44907</v>
      </c>
      <c r="D201" t="s">
        <v>167</v>
      </c>
      <c r="E201" t="s">
        <v>180</v>
      </c>
      <c r="F201" t="s">
        <v>151</v>
      </c>
    </row>
    <row r="202" spans="1:6" x14ac:dyDescent="0.2">
      <c r="B202" s="7">
        <v>44907</v>
      </c>
      <c r="D202" t="s">
        <v>148</v>
      </c>
      <c r="E202" t="s">
        <v>129</v>
      </c>
      <c r="F202" t="s">
        <v>130</v>
      </c>
    </row>
    <row r="203" spans="1:6" x14ac:dyDescent="0.2">
      <c r="A203" s="10" t="s">
        <v>552</v>
      </c>
      <c r="B203" s="7">
        <v>44907</v>
      </c>
      <c r="C203" s="7">
        <v>44907</v>
      </c>
      <c r="D203" t="s">
        <v>167</v>
      </c>
      <c r="E203" t="s">
        <v>135</v>
      </c>
      <c r="F203" t="s">
        <v>291</v>
      </c>
    </row>
    <row r="204" spans="1:6" x14ac:dyDescent="0.2">
      <c r="B204" s="7">
        <v>44907</v>
      </c>
      <c r="C204" s="7">
        <v>44907</v>
      </c>
      <c r="D204" t="s">
        <v>165</v>
      </c>
      <c r="E204" t="s">
        <v>135</v>
      </c>
      <c r="F204" t="s">
        <v>302</v>
      </c>
    </row>
    <row r="205" spans="1:6" x14ac:dyDescent="0.2">
      <c r="B205" s="7">
        <v>44907</v>
      </c>
      <c r="D205" t="s">
        <v>148</v>
      </c>
      <c r="E205" t="s">
        <v>129</v>
      </c>
      <c r="F205" t="s">
        <v>130</v>
      </c>
    </row>
    <row r="206" spans="1:6" x14ac:dyDescent="0.2">
      <c r="A206" t="s">
        <v>553</v>
      </c>
      <c r="B206" s="7">
        <v>44908</v>
      </c>
      <c r="C206" s="7">
        <v>44908</v>
      </c>
      <c r="D206" t="s">
        <v>167</v>
      </c>
      <c r="E206" t="s">
        <v>135</v>
      </c>
      <c r="F206" t="s">
        <v>306</v>
      </c>
    </row>
    <row r="207" spans="1:6" x14ac:dyDescent="0.2">
      <c r="B207" s="7">
        <v>44908</v>
      </c>
      <c r="C207" s="7">
        <v>44908</v>
      </c>
      <c r="D207" t="s">
        <v>165</v>
      </c>
      <c r="E207" t="s">
        <v>135</v>
      </c>
      <c r="F207" t="s">
        <v>292</v>
      </c>
    </row>
    <row r="208" spans="1:6" x14ac:dyDescent="0.2">
      <c r="B208" s="7">
        <v>44908</v>
      </c>
      <c r="D208" t="s">
        <v>148</v>
      </c>
      <c r="E208" t="s">
        <v>129</v>
      </c>
      <c r="F208" t="s">
        <v>130</v>
      </c>
    </row>
    <row r="209" spans="1:6" x14ac:dyDescent="0.2">
      <c r="A209" t="s">
        <v>554</v>
      </c>
      <c r="B209" s="7">
        <v>44908</v>
      </c>
      <c r="C209" s="7">
        <v>44908</v>
      </c>
      <c r="D209" t="s">
        <v>167</v>
      </c>
      <c r="E209" t="s">
        <v>135</v>
      </c>
      <c r="F209" t="s">
        <v>306</v>
      </c>
    </row>
    <row r="210" spans="1:6" x14ac:dyDescent="0.2">
      <c r="B210" s="7">
        <v>44908</v>
      </c>
      <c r="C210" s="7">
        <v>44908</v>
      </c>
      <c r="D210" t="s">
        <v>165</v>
      </c>
      <c r="E210" t="s">
        <v>135</v>
      </c>
      <c r="F210" t="s">
        <v>302</v>
      </c>
    </row>
    <row r="211" spans="1:6" x14ac:dyDescent="0.2">
      <c r="B211" s="7">
        <v>44908</v>
      </c>
      <c r="D211" t="s">
        <v>148</v>
      </c>
      <c r="E211" t="s">
        <v>129</v>
      </c>
      <c r="F211" t="s">
        <v>130</v>
      </c>
    </row>
    <row r="212" spans="1:6" x14ac:dyDescent="0.2">
      <c r="A212" t="s">
        <v>555</v>
      </c>
      <c r="B212" s="7">
        <v>44908</v>
      </c>
      <c r="C212" s="7">
        <v>44908</v>
      </c>
      <c r="D212" t="s">
        <v>167</v>
      </c>
      <c r="E212" t="s">
        <v>135</v>
      </c>
      <c r="F212" t="s">
        <v>291</v>
      </c>
    </row>
    <row r="213" spans="1:6" x14ac:dyDescent="0.2">
      <c r="B213" s="7">
        <v>44908</v>
      </c>
      <c r="C213" s="7">
        <v>44908</v>
      </c>
      <c r="D213" t="s">
        <v>165</v>
      </c>
      <c r="E213" t="s">
        <v>135</v>
      </c>
      <c r="F213" t="s">
        <v>302</v>
      </c>
    </row>
    <row r="214" spans="1:6" x14ac:dyDescent="0.2">
      <c r="B214" s="7">
        <v>44908</v>
      </c>
      <c r="D214" t="s">
        <v>148</v>
      </c>
      <c r="E214" t="s">
        <v>129</v>
      </c>
      <c r="F214" t="s">
        <v>130</v>
      </c>
    </row>
    <row r="215" spans="1:6" x14ac:dyDescent="0.2">
      <c r="A215" t="s">
        <v>556</v>
      </c>
      <c r="B215" s="7">
        <v>44908</v>
      </c>
      <c r="C215" s="7">
        <v>44908</v>
      </c>
      <c r="D215" t="s">
        <v>167</v>
      </c>
      <c r="E215" t="s">
        <v>135</v>
      </c>
      <c r="F215" t="s">
        <v>306</v>
      </c>
    </row>
    <row r="216" spans="1:6" x14ac:dyDescent="0.2">
      <c r="B216" s="7">
        <v>44908</v>
      </c>
      <c r="C216" s="7">
        <v>44908</v>
      </c>
      <c r="D216" t="s">
        <v>165</v>
      </c>
      <c r="E216" t="s">
        <v>135</v>
      </c>
      <c r="F216" t="s">
        <v>302</v>
      </c>
    </row>
    <row r="217" spans="1:6" x14ac:dyDescent="0.2">
      <c r="B217" s="7">
        <v>44908</v>
      </c>
      <c r="D217" t="s">
        <v>148</v>
      </c>
      <c r="E217" t="s">
        <v>129</v>
      </c>
      <c r="F217" t="s">
        <v>130</v>
      </c>
    </row>
    <row r="218" spans="1:6" x14ac:dyDescent="0.2">
      <c r="A218" t="s">
        <v>497</v>
      </c>
      <c r="B218" s="7">
        <v>44908</v>
      </c>
      <c r="C218" s="7">
        <v>44908</v>
      </c>
      <c r="D218" t="s">
        <v>167</v>
      </c>
      <c r="E218" t="s">
        <v>135</v>
      </c>
      <c r="F218" t="s">
        <v>291</v>
      </c>
    </row>
    <row r="219" spans="1:6" x14ac:dyDescent="0.2">
      <c r="B219" s="7">
        <v>44908</v>
      </c>
      <c r="C219" s="7">
        <v>44908</v>
      </c>
      <c r="D219" t="s">
        <v>165</v>
      </c>
      <c r="E219" t="s">
        <v>135</v>
      </c>
      <c r="F219" t="s">
        <v>302</v>
      </c>
    </row>
    <row r="220" spans="1:6" x14ac:dyDescent="0.2">
      <c r="B220" s="7">
        <v>44908</v>
      </c>
      <c r="D220" t="s">
        <v>148</v>
      </c>
      <c r="E220" t="s">
        <v>129</v>
      </c>
      <c r="F220" t="s">
        <v>130</v>
      </c>
    </row>
    <row r="221" spans="1:6" x14ac:dyDescent="0.2">
      <c r="A221" t="s">
        <v>496</v>
      </c>
      <c r="B221" s="7">
        <v>44908</v>
      </c>
      <c r="C221" s="7">
        <v>44908</v>
      </c>
      <c r="D221" t="s">
        <v>167</v>
      </c>
      <c r="E221" t="s">
        <v>135</v>
      </c>
      <c r="F221" t="s">
        <v>306</v>
      </c>
    </row>
    <row r="222" spans="1:6" x14ac:dyDescent="0.2">
      <c r="B222" s="7">
        <v>44908</v>
      </c>
      <c r="C222" s="7">
        <v>44908</v>
      </c>
      <c r="D222" t="s">
        <v>165</v>
      </c>
      <c r="E222" t="s">
        <v>135</v>
      </c>
      <c r="F222" t="s">
        <v>302</v>
      </c>
    </row>
    <row r="223" spans="1:6" x14ac:dyDescent="0.2">
      <c r="B223" s="7">
        <v>44908</v>
      </c>
      <c r="D223" t="s">
        <v>148</v>
      </c>
      <c r="E223" t="s">
        <v>129</v>
      </c>
      <c r="F223" t="s">
        <v>130</v>
      </c>
    </row>
    <row r="224" spans="1:6" x14ac:dyDescent="0.2">
      <c r="A224" t="s">
        <v>557</v>
      </c>
      <c r="B224" s="7">
        <v>44908</v>
      </c>
      <c r="C224" s="7">
        <v>44908</v>
      </c>
      <c r="D224" t="s">
        <v>167</v>
      </c>
      <c r="E224" t="s">
        <v>135</v>
      </c>
      <c r="F224" t="s">
        <v>306</v>
      </c>
    </row>
    <row r="225" spans="1:6" x14ac:dyDescent="0.2">
      <c r="B225" s="7">
        <v>44908</v>
      </c>
      <c r="C225" s="7">
        <v>44908</v>
      </c>
      <c r="D225" t="s">
        <v>165</v>
      </c>
      <c r="E225" t="s">
        <v>135</v>
      </c>
      <c r="F225" t="s">
        <v>302</v>
      </c>
    </row>
    <row r="226" spans="1:6" x14ac:dyDescent="0.2">
      <c r="B226" s="7">
        <v>44908</v>
      </c>
      <c r="D226" t="s">
        <v>148</v>
      </c>
      <c r="E226" t="s">
        <v>129</v>
      </c>
      <c r="F226" t="s">
        <v>130</v>
      </c>
    </row>
    <row r="227" spans="1:6" x14ac:dyDescent="0.2">
      <c r="A227" t="s">
        <v>558</v>
      </c>
      <c r="B227" s="7">
        <v>44908</v>
      </c>
      <c r="C227" s="7">
        <v>44908</v>
      </c>
      <c r="D227" t="s">
        <v>167</v>
      </c>
      <c r="E227" t="s">
        <v>135</v>
      </c>
      <c r="F227" t="s">
        <v>308</v>
      </c>
    </row>
    <row r="228" spans="1:6" x14ac:dyDescent="0.2">
      <c r="B228" s="7">
        <v>44908</v>
      </c>
      <c r="C228" s="7">
        <v>44908</v>
      </c>
      <c r="D228" t="s">
        <v>165</v>
      </c>
      <c r="E228" t="s">
        <v>135</v>
      </c>
      <c r="F228" t="s">
        <v>413</v>
      </c>
    </row>
    <row r="229" spans="1:6" x14ac:dyDescent="0.2">
      <c r="B229" s="7">
        <v>44908</v>
      </c>
      <c r="D229" t="s">
        <v>148</v>
      </c>
      <c r="E229" t="s">
        <v>129</v>
      </c>
      <c r="F229" t="s">
        <v>130</v>
      </c>
    </row>
    <row r="230" spans="1:6" x14ac:dyDescent="0.2">
      <c r="A230" t="s">
        <v>559</v>
      </c>
      <c r="B230" s="7">
        <v>44908</v>
      </c>
      <c r="C230" s="7">
        <v>44908</v>
      </c>
      <c r="D230" t="s">
        <v>167</v>
      </c>
      <c r="E230" t="s">
        <v>180</v>
      </c>
      <c r="F230" t="s">
        <v>151</v>
      </c>
    </row>
    <row r="231" spans="1:6" x14ac:dyDescent="0.2">
      <c r="B231" s="7">
        <v>44908</v>
      </c>
      <c r="D231" t="s">
        <v>148</v>
      </c>
      <c r="E231" t="s">
        <v>129</v>
      </c>
      <c r="F231" t="s">
        <v>130</v>
      </c>
    </row>
    <row r="232" spans="1:6" x14ac:dyDescent="0.2">
      <c r="A232" t="s">
        <v>560</v>
      </c>
      <c r="B232" s="7">
        <v>44908</v>
      </c>
      <c r="C232" s="7">
        <v>44908</v>
      </c>
      <c r="D232" t="s">
        <v>167</v>
      </c>
      <c r="E232" t="s">
        <v>180</v>
      </c>
      <c r="F232" t="s">
        <v>151</v>
      </c>
    </row>
    <row r="233" spans="1:6" x14ac:dyDescent="0.2">
      <c r="B233" s="7">
        <v>44908</v>
      </c>
      <c r="D233" t="s">
        <v>148</v>
      </c>
      <c r="E233" t="s">
        <v>129</v>
      </c>
      <c r="F233" t="s">
        <v>130</v>
      </c>
    </row>
    <row r="234" spans="1:6" x14ac:dyDescent="0.2">
      <c r="A234" t="s">
        <v>561</v>
      </c>
      <c r="B234" s="7">
        <v>44909</v>
      </c>
      <c r="C234" s="7">
        <v>44909</v>
      </c>
      <c r="D234" t="s">
        <v>167</v>
      </c>
      <c r="E234" t="s">
        <v>135</v>
      </c>
      <c r="F234" t="s">
        <v>291</v>
      </c>
    </row>
    <row r="235" spans="1:6" x14ac:dyDescent="0.2">
      <c r="B235" s="7">
        <v>44909</v>
      </c>
      <c r="C235" s="7">
        <v>44909</v>
      </c>
      <c r="D235" t="s">
        <v>165</v>
      </c>
      <c r="E235" t="s">
        <v>135</v>
      </c>
      <c r="F235" t="s">
        <v>302</v>
      </c>
    </row>
    <row r="236" spans="1:6" x14ac:dyDescent="0.2">
      <c r="B236" s="7">
        <v>44909</v>
      </c>
      <c r="D236" t="s">
        <v>148</v>
      </c>
      <c r="E236" t="s">
        <v>129</v>
      </c>
      <c r="F236" t="s">
        <v>130</v>
      </c>
    </row>
    <row r="237" spans="1:6" x14ac:dyDescent="0.2">
      <c r="A237" t="s">
        <v>562</v>
      </c>
      <c r="B237" s="7">
        <v>44909</v>
      </c>
      <c r="C237" s="7">
        <v>44909</v>
      </c>
      <c r="D237" t="s">
        <v>167</v>
      </c>
      <c r="E237" t="s">
        <v>180</v>
      </c>
      <c r="F237" t="s">
        <v>151</v>
      </c>
    </row>
    <row r="238" spans="1:6" x14ac:dyDescent="0.2">
      <c r="B238" s="7">
        <v>44909</v>
      </c>
      <c r="D238" t="s">
        <v>148</v>
      </c>
      <c r="E238" t="s">
        <v>129</v>
      </c>
      <c r="F238" t="s">
        <v>130</v>
      </c>
    </row>
    <row r="239" spans="1:6" x14ac:dyDescent="0.2">
      <c r="A239" t="s">
        <v>563</v>
      </c>
      <c r="B239" s="7">
        <v>44909</v>
      </c>
      <c r="C239" s="7">
        <v>44909</v>
      </c>
      <c r="D239" t="s">
        <v>167</v>
      </c>
      <c r="E239" t="s">
        <v>135</v>
      </c>
      <c r="F239" t="s">
        <v>291</v>
      </c>
    </row>
    <row r="240" spans="1:6" x14ac:dyDescent="0.2">
      <c r="B240" s="7">
        <v>44909</v>
      </c>
      <c r="C240" s="7">
        <v>44909</v>
      </c>
      <c r="D240" t="s">
        <v>165</v>
      </c>
      <c r="E240" t="s">
        <v>180</v>
      </c>
      <c r="F240" t="s">
        <v>151</v>
      </c>
    </row>
    <row r="241" spans="1:6" x14ac:dyDescent="0.2">
      <c r="B241" s="7">
        <v>44909</v>
      </c>
      <c r="D241" t="s">
        <v>148</v>
      </c>
      <c r="E241" t="s">
        <v>129</v>
      </c>
      <c r="F241" t="s">
        <v>130</v>
      </c>
    </row>
    <row r="242" spans="1:6" x14ac:dyDescent="0.2">
      <c r="A242" t="s">
        <v>564</v>
      </c>
      <c r="B242" s="7">
        <v>44909</v>
      </c>
      <c r="C242" s="7">
        <v>44909</v>
      </c>
      <c r="D242" t="s">
        <v>167</v>
      </c>
      <c r="E242" t="s">
        <v>135</v>
      </c>
      <c r="F242" t="s">
        <v>291</v>
      </c>
    </row>
    <row r="243" spans="1:6" x14ac:dyDescent="0.2">
      <c r="B243" s="7">
        <v>44909</v>
      </c>
      <c r="C243" s="7">
        <v>44909</v>
      </c>
      <c r="D243" t="s">
        <v>165</v>
      </c>
      <c r="E243" t="s">
        <v>135</v>
      </c>
      <c r="F243" t="s">
        <v>302</v>
      </c>
    </row>
    <row r="244" spans="1:6" x14ac:dyDescent="0.2">
      <c r="B244" s="7">
        <v>44909</v>
      </c>
      <c r="D244" t="s">
        <v>148</v>
      </c>
      <c r="E244" t="s">
        <v>129</v>
      </c>
      <c r="F244" t="s">
        <v>130</v>
      </c>
    </row>
    <row r="245" spans="1:6" x14ac:dyDescent="0.2">
      <c r="A245" t="s">
        <v>565</v>
      </c>
      <c r="B245" s="7">
        <v>44909</v>
      </c>
      <c r="C245" s="7">
        <v>44909</v>
      </c>
      <c r="D245" t="s">
        <v>167</v>
      </c>
      <c r="E245" t="s">
        <v>135</v>
      </c>
      <c r="F245" t="s">
        <v>321</v>
      </c>
    </row>
    <row r="246" spans="1:6" x14ac:dyDescent="0.2">
      <c r="B246" s="7">
        <v>44909</v>
      </c>
      <c r="C246" s="7">
        <v>44909</v>
      </c>
      <c r="D246" t="s">
        <v>165</v>
      </c>
      <c r="E246" t="s">
        <v>135</v>
      </c>
      <c r="F246" t="s">
        <v>302</v>
      </c>
    </row>
    <row r="247" spans="1:6" x14ac:dyDescent="0.2">
      <c r="B247" s="7">
        <v>44909</v>
      </c>
      <c r="D247" t="s">
        <v>148</v>
      </c>
      <c r="E247" t="s">
        <v>129</v>
      </c>
      <c r="F247" t="s">
        <v>130</v>
      </c>
    </row>
    <row r="248" spans="1:6" x14ac:dyDescent="0.2">
      <c r="A248" t="s">
        <v>566</v>
      </c>
      <c r="B248" s="7">
        <v>44909</v>
      </c>
      <c r="C248" s="7">
        <v>44909</v>
      </c>
      <c r="D248" t="s">
        <v>167</v>
      </c>
      <c r="E248" t="s">
        <v>135</v>
      </c>
      <c r="F248" t="s">
        <v>308</v>
      </c>
    </row>
    <row r="249" spans="1:6" x14ac:dyDescent="0.2">
      <c r="B249" s="7">
        <v>44909</v>
      </c>
      <c r="C249" s="7">
        <v>44909</v>
      </c>
      <c r="D249" t="s">
        <v>165</v>
      </c>
      <c r="E249" t="s">
        <v>180</v>
      </c>
      <c r="F249" t="s">
        <v>151</v>
      </c>
    </row>
    <row r="250" spans="1:6" x14ac:dyDescent="0.2">
      <c r="B250" s="7">
        <v>44909</v>
      </c>
      <c r="D250" t="s">
        <v>148</v>
      </c>
      <c r="E250" t="s">
        <v>129</v>
      </c>
      <c r="F250" t="s">
        <v>130</v>
      </c>
    </row>
    <row r="251" spans="1:6" x14ac:dyDescent="0.2">
      <c r="A251" t="s">
        <v>567</v>
      </c>
      <c r="B251" s="7">
        <v>44909</v>
      </c>
      <c r="C251" s="7">
        <v>44909</v>
      </c>
      <c r="D251" t="s">
        <v>167</v>
      </c>
      <c r="E251" t="s">
        <v>135</v>
      </c>
      <c r="F251" t="s">
        <v>308</v>
      </c>
    </row>
    <row r="252" spans="1:6" x14ac:dyDescent="0.2">
      <c r="B252" s="7">
        <v>44909</v>
      </c>
      <c r="C252" s="7">
        <v>44909</v>
      </c>
      <c r="D252" t="s">
        <v>165</v>
      </c>
      <c r="E252" t="s">
        <v>180</v>
      </c>
      <c r="F252" t="s">
        <v>151</v>
      </c>
    </row>
    <row r="253" spans="1:6" x14ac:dyDescent="0.2">
      <c r="B253" s="7">
        <v>44909</v>
      </c>
      <c r="D253" t="s">
        <v>148</v>
      </c>
      <c r="E253" t="s">
        <v>129</v>
      </c>
      <c r="F253" t="s">
        <v>130</v>
      </c>
    </row>
    <row r="254" spans="1:6" x14ac:dyDescent="0.2">
      <c r="A254" t="s">
        <v>568</v>
      </c>
      <c r="B254" s="7">
        <v>44909</v>
      </c>
      <c r="C254" s="7">
        <v>44909</v>
      </c>
      <c r="D254" t="s">
        <v>167</v>
      </c>
      <c r="E254" t="s">
        <v>135</v>
      </c>
      <c r="F254" t="s">
        <v>306</v>
      </c>
    </row>
    <row r="255" spans="1:6" x14ac:dyDescent="0.2">
      <c r="B255" s="7">
        <v>44909</v>
      </c>
      <c r="C255" s="7">
        <v>44909</v>
      </c>
      <c r="D255" t="s">
        <v>165</v>
      </c>
      <c r="E255" t="s">
        <v>135</v>
      </c>
      <c r="F255" t="s">
        <v>292</v>
      </c>
    </row>
    <row r="256" spans="1:6" x14ac:dyDescent="0.2">
      <c r="B256" s="7">
        <v>44909</v>
      </c>
      <c r="D256" t="s">
        <v>148</v>
      </c>
      <c r="E256" t="s">
        <v>129</v>
      </c>
      <c r="F256" t="s">
        <v>130</v>
      </c>
    </row>
    <row r="257" spans="1:6" x14ac:dyDescent="0.2">
      <c r="A257" t="s">
        <v>569</v>
      </c>
      <c r="B257" s="7">
        <v>44909</v>
      </c>
      <c r="C257" s="7">
        <v>44909</v>
      </c>
      <c r="D257" t="s">
        <v>167</v>
      </c>
      <c r="E257" t="s">
        <v>135</v>
      </c>
      <c r="F257" t="s">
        <v>306</v>
      </c>
    </row>
    <row r="258" spans="1:6" x14ac:dyDescent="0.2">
      <c r="B258" s="7">
        <v>44909</v>
      </c>
      <c r="C258" s="7">
        <v>44909</v>
      </c>
      <c r="D258" t="s">
        <v>165</v>
      </c>
      <c r="E258" t="s">
        <v>135</v>
      </c>
      <c r="F258" t="s">
        <v>302</v>
      </c>
    </row>
    <row r="259" spans="1:6" x14ac:dyDescent="0.2">
      <c r="B259" s="7">
        <v>44909</v>
      </c>
      <c r="D259" t="s">
        <v>148</v>
      </c>
      <c r="E259" t="s">
        <v>129</v>
      </c>
      <c r="F259" t="s">
        <v>130</v>
      </c>
    </row>
    <row r="260" spans="1:6" x14ac:dyDescent="0.2">
      <c r="A260" t="s">
        <v>570</v>
      </c>
      <c r="B260" s="7">
        <v>44937</v>
      </c>
      <c r="C260" s="7">
        <v>44937</v>
      </c>
      <c r="D260" t="s">
        <v>165</v>
      </c>
      <c r="E260" t="s">
        <v>180</v>
      </c>
      <c r="F260" t="s">
        <v>151</v>
      </c>
    </row>
    <row r="261" spans="1:6" x14ac:dyDescent="0.2">
      <c r="B261" s="7">
        <v>44937</v>
      </c>
      <c r="D261" t="s">
        <v>148</v>
      </c>
      <c r="E261" t="s">
        <v>129</v>
      </c>
      <c r="F261" t="s">
        <v>130</v>
      </c>
    </row>
    <row r="262" spans="1:6" x14ac:dyDescent="0.2">
      <c r="A262" t="s">
        <v>571</v>
      </c>
      <c r="B262" s="7">
        <v>44937</v>
      </c>
      <c r="C262" s="7">
        <v>44937</v>
      </c>
      <c r="D262" t="s">
        <v>165</v>
      </c>
      <c r="E262" t="s">
        <v>135</v>
      </c>
      <c r="F262" t="s">
        <v>292</v>
      </c>
    </row>
    <row r="263" spans="1:6" x14ac:dyDescent="0.2">
      <c r="B263" s="7">
        <v>44937</v>
      </c>
      <c r="C263" s="7">
        <v>44937</v>
      </c>
      <c r="D263" t="s">
        <v>167</v>
      </c>
      <c r="E263" t="s">
        <v>135</v>
      </c>
      <c r="F263" t="s">
        <v>308</v>
      </c>
    </row>
    <row r="264" spans="1:6" x14ac:dyDescent="0.2">
      <c r="B264" s="7">
        <v>44937</v>
      </c>
      <c r="D264" t="s">
        <v>148</v>
      </c>
      <c r="E264" t="s">
        <v>129</v>
      </c>
      <c r="F264" t="s">
        <v>130</v>
      </c>
    </row>
    <row r="265" spans="1:6" x14ac:dyDescent="0.2">
      <c r="A265" t="s">
        <v>572</v>
      </c>
      <c r="B265" s="7">
        <v>44937</v>
      </c>
      <c r="C265" s="7">
        <v>44937</v>
      </c>
      <c r="D265" t="s">
        <v>167</v>
      </c>
      <c r="E265" t="s">
        <v>135</v>
      </c>
      <c r="F265" t="s">
        <v>291</v>
      </c>
    </row>
    <row r="266" spans="1:6" x14ac:dyDescent="0.2">
      <c r="B266" s="7">
        <v>44937</v>
      </c>
      <c r="C266" s="7">
        <v>44937</v>
      </c>
      <c r="D266" t="s">
        <v>165</v>
      </c>
      <c r="E266" t="s">
        <v>135</v>
      </c>
      <c r="F266" t="s">
        <v>292</v>
      </c>
    </row>
    <row r="267" spans="1:6" x14ac:dyDescent="0.2">
      <c r="B267" s="7">
        <v>44937</v>
      </c>
      <c r="D267" t="s">
        <v>148</v>
      </c>
      <c r="E267" t="s">
        <v>129</v>
      </c>
      <c r="F267" t="s">
        <v>130</v>
      </c>
    </row>
    <row r="268" spans="1:6" x14ac:dyDescent="0.2">
      <c r="A268" t="s">
        <v>573</v>
      </c>
      <c r="B268" s="7">
        <v>44937</v>
      </c>
      <c r="C268" s="7">
        <v>44937</v>
      </c>
      <c r="D268" t="s">
        <v>167</v>
      </c>
      <c r="E268" t="s">
        <v>180</v>
      </c>
      <c r="F268" t="s">
        <v>151</v>
      </c>
    </row>
    <row r="269" spans="1:6" x14ac:dyDescent="0.2">
      <c r="B269" s="7">
        <v>44937</v>
      </c>
      <c r="D269" t="s">
        <v>148</v>
      </c>
      <c r="E269" t="s">
        <v>129</v>
      </c>
      <c r="F269" t="s">
        <v>130</v>
      </c>
    </row>
    <row r="270" spans="1:6" x14ac:dyDescent="0.2">
      <c r="A270" t="s">
        <v>574</v>
      </c>
      <c r="B270" s="7">
        <v>44937</v>
      </c>
      <c r="C270" s="7">
        <v>44937</v>
      </c>
      <c r="D270" t="s">
        <v>167</v>
      </c>
      <c r="E270" t="s">
        <v>135</v>
      </c>
      <c r="F270" t="s">
        <v>291</v>
      </c>
    </row>
    <row r="271" spans="1:6" x14ac:dyDescent="0.2">
      <c r="B271" s="7">
        <v>44937</v>
      </c>
      <c r="C271" s="7">
        <v>44937</v>
      </c>
      <c r="D271" t="s">
        <v>165</v>
      </c>
      <c r="E271" t="s">
        <v>135</v>
      </c>
      <c r="F271" t="s">
        <v>292</v>
      </c>
    </row>
    <row r="272" spans="1:6" x14ac:dyDescent="0.2">
      <c r="B272" s="7">
        <v>44937</v>
      </c>
      <c r="D272" t="s">
        <v>148</v>
      </c>
      <c r="E272" t="s">
        <v>129</v>
      </c>
      <c r="F272" t="s">
        <v>130</v>
      </c>
    </row>
    <row r="273" spans="1:6" x14ac:dyDescent="0.2">
      <c r="A273" t="s">
        <v>575</v>
      </c>
      <c r="B273" s="7">
        <v>44937</v>
      </c>
      <c r="C273" s="7">
        <v>44937</v>
      </c>
      <c r="D273" t="s">
        <v>167</v>
      </c>
      <c r="E273" t="s">
        <v>135</v>
      </c>
      <c r="F273" t="s">
        <v>300</v>
      </c>
    </row>
    <row r="274" spans="1:6" x14ac:dyDescent="0.2">
      <c r="B274" s="7">
        <v>44937</v>
      </c>
      <c r="C274" s="7">
        <v>44937</v>
      </c>
      <c r="D274" t="s">
        <v>165</v>
      </c>
      <c r="E274" t="s">
        <v>135</v>
      </c>
      <c r="F274" t="s">
        <v>292</v>
      </c>
    </row>
    <row r="275" spans="1:6" x14ac:dyDescent="0.2">
      <c r="B275" s="7">
        <v>44937</v>
      </c>
      <c r="D275" t="s">
        <v>148</v>
      </c>
      <c r="E275" t="s">
        <v>129</v>
      </c>
      <c r="F275" t="s">
        <v>130</v>
      </c>
    </row>
    <row r="276" spans="1:6" x14ac:dyDescent="0.2">
      <c r="A276" t="s">
        <v>576</v>
      </c>
      <c r="B276" s="7">
        <v>44937</v>
      </c>
      <c r="C276" s="7">
        <v>44937</v>
      </c>
      <c r="D276" t="s">
        <v>167</v>
      </c>
      <c r="E276" t="s">
        <v>180</v>
      </c>
      <c r="F276" t="s">
        <v>151</v>
      </c>
    </row>
    <row r="277" spans="1:6" x14ac:dyDescent="0.2">
      <c r="B277" s="7">
        <v>44937</v>
      </c>
      <c r="D277" t="s">
        <v>148</v>
      </c>
      <c r="E277" t="s">
        <v>129</v>
      </c>
      <c r="F277" t="s">
        <v>130</v>
      </c>
    </row>
    <row r="278" spans="1:6" x14ac:dyDescent="0.2">
      <c r="A278" t="s">
        <v>577</v>
      </c>
      <c r="B278" s="7">
        <v>44949</v>
      </c>
      <c r="C278" s="7">
        <v>44949</v>
      </c>
      <c r="D278" t="s">
        <v>165</v>
      </c>
      <c r="E278" t="s">
        <v>180</v>
      </c>
      <c r="F278" t="s">
        <v>151</v>
      </c>
    </row>
    <row r="279" spans="1:6" x14ac:dyDescent="0.2">
      <c r="B279" s="7">
        <v>44949</v>
      </c>
      <c r="D279" t="s">
        <v>148</v>
      </c>
      <c r="E279" t="s">
        <v>180</v>
      </c>
      <c r="F279" t="s">
        <v>430</v>
      </c>
    </row>
    <row r="280" spans="1:6" x14ac:dyDescent="0.2">
      <c r="B280" s="7">
        <v>44958</v>
      </c>
      <c r="D280" t="s">
        <v>148</v>
      </c>
      <c r="E280" t="s">
        <v>180</v>
      </c>
      <c r="F280" t="s">
        <v>130</v>
      </c>
    </row>
    <row r="281" spans="1:6" x14ac:dyDescent="0.2">
      <c r="A281" t="s">
        <v>578</v>
      </c>
      <c r="B281" s="7">
        <v>44958</v>
      </c>
      <c r="C281" s="7">
        <v>44958</v>
      </c>
      <c r="D281" t="s">
        <v>167</v>
      </c>
      <c r="E281" t="s">
        <v>135</v>
      </c>
      <c r="F281" t="s">
        <v>291</v>
      </c>
    </row>
    <row r="282" spans="1:6" x14ac:dyDescent="0.2">
      <c r="B282" s="7">
        <v>44958</v>
      </c>
      <c r="C282" s="7">
        <v>44958</v>
      </c>
      <c r="D282" t="s">
        <v>165</v>
      </c>
      <c r="E282" t="s">
        <v>135</v>
      </c>
      <c r="F282" t="s">
        <v>305</v>
      </c>
    </row>
    <row r="283" spans="1:6" x14ac:dyDescent="0.2">
      <c r="B283" s="7">
        <v>44958</v>
      </c>
      <c r="D283" t="s">
        <v>148</v>
      </c>
      <c r="E283" t="s">
        <v>180</v>
      </c>
      <c r="F283" t="s">
        <v>130</v>
      </c>
    </row>
    <row r="284" spans="1:6" x14ac:dyDescent="0.2">
      <c r="A284" t="s">
        <v>579</v>
      </c>
      <c r="B284" s="7">
        <v>44958</v>
      </c>
      <c r="C284" s="7">
        <v>44958</v>
      </c>
      <c r="D284" t="s">
        <v>165</v>
      </c>
      <c r="E284" t="s">
        <v>135</v>
      </c>
      <c r="F284" t="s">
        <v>305</v>
      </c>
    </row>
    <row r="285" spans="1:6" x14ac:dyDescent="0.2">
      <c r="B285" s="7">
        <v>44958</v>
      </c>
      <c r="C285" s="7">
        <v>44958</v>
      </c>
      <c r="D285" t="s">
        <v>167</v>
      </c>
      <c r="E285" t="s">
        <v>135</v>
      </c>
      <c r="F285" t="s">
        <v>291</v>
      </c>
    </row>
    <row r="286" spans="1:6" x14ac:dyDescent="0.2">
      <c r="B286" s="7">
        <v>44958</v>
      </c>
      <c r="D286" t="s">
        <v>148</v>
      </c>
      <c r="E286" t="s">
        <v>180</v>
      </c>
      <c r="F286" t="s">
        <v>130</v>
      </c>
    </row>
    <row r="287" spans="1:6" x14ac:dyDescent="0.2">
      <c r="A287" t="s">
        <v>580</v>
      </c>
      <c r="B287" s="7">
        <v>44958</v>
      </c>
      <c r="C287" s="7">
        <v>44958</v>
      </c>
      <c r="D287" t="s">
        <v>167</v>
      </c>
      <c r="E287" t="s">
        <v>135</v>
      </c>
      <c r="F287" t="s">
        <v>306</v>
      </c>
    </row>
    <row r="288" spans="1:6" x14ac:dyDescent="0.2">
      <c r="B288" s="7">
        <v>44958</v>
      </c>
      <c r="C288" s="7">
        <v>44958</v>
      </c>
      <c r="D288" t="s">
        <v>165</v>
      </c>
      <c r="E288" t="s">
        <v>135</v>
      </c>
      <c r="F288" t="s">
        <v>302</v>
      </c>
    </row>
    <row r="289" spans="1:6" x14ac:dyDescent="0.2">
      <c r="B289" s="7">
        <v>44958</v>
      </c>
      <c r="D289" t="s">
        <v>148</v>
      </c>
      <c r="E289" t="s">
        <v>180</v>
      </c>
      <c r="F289" t="s">
        <v>130</v>
      </c>
    </row>
    <row r="290" spans="1:6" x14ac:dyDescent="0.2">
      <c r="A290" t="s">
        <v>581</v>
      </c>
      <c r="B290" s="7">
        <v>44958</v>
      </c>
      <c r="C290" s="7">
        <v>44958</v>
      </c>
      <c r="D290" t="s">
        <v>167</v>
      </c>
      <c r="E290" t="s">
        <v>135</v>
      </c>
      <c r="F290" t="s">
        <v>291</v>
      </c>
    </row>
    <row r="291" spans="1:6" x14ac:dyDescent="0.2">
      <c r="B291" s="7">
        <v>44958</v>
      </c>
      <c r="C291" s="7">
        <v>44958</v>
      </c>
      <c r="D291" t="s">
        <v>165</v>
      </c>
      <c r="E291" t="s">
        <v>135</v>
      </c>
      <c r="F291" t="s">
        <v>292</v>
      </c>
    </row>
    <row r="292" spans="1:6" x14ac:dyDescent="0.2">
      <c r="B292" s="7">
        <v>44958</v>
      </c>
      <c r="D292" t="s">
        <v>148</v>
      </c>
      <c r="E292" t="s">
        <v>180</v>
      </c>
      <c r="F292" t="s">
        <v>130</v>
      </c>
    </row>
    <row r="293" spans="1:6" x14ac:dyDescent="0.2">
      <c r="A293" t="s">
        <v>582</v>
      </c>
      <c r="B293" s="7">
        <v>44958</v>
      </c>
      <c r="C293" s="7">
        <v>44958</v>
      </c>
      <c r="D293" t="s">
        <v>167</v>
      </c>
      <c r="E293" t="s">
        <v>135</v>
      </c>
      <c r="F293" t="s">
        <v>306</v>
      </c>
    </row>
    <row r="294" spans="1:6" x14ac:dyDescent="0.2">
      <c r="B294" s="7">
        <v>44958</v>
      </c>
      <c r="C294" s="7">
        <v>44958</v>
      </c>
      <c r="D294" t="s">
        <v>165</v>
      </c>
      <c r="E294" t="s">
        <v>135</v>
      </c>
      <c r="F294" t="s">
        <v>292</v>
      </c>
    </row>
    <row r="295" spans="1:6" x14ac:dyDescent="0.2">
      <c r="B295" s="7">
        <v>44958</v>
      </c>
      <c r="D295" t="s">
        <v>148</v>
      </c>
      <c r="E295" t="s">
        <v>180</v>
      </c>
      <c r="F295" t="s">
        <v>130</v>
      </c>
    </row>
    <row r="296" spans="1:6" x14ac:dyDescent="0.2">
      <c r="A296" t="s">
        <v>583</v>
      </c>
      <c r="B296" s="7">
        <v>44958</v>
      </c>
      <c r="C296" s="7">
        <v>44958</v>
      </c>
      <c r="D296" t="s">
        <v>167</v>
      </c>
      <c r="E296" t="s">
        <v>135</v>
      </c>
      <c r="F296" t="s">
        <v>291</v>
      </c>
    </row>
    <row r="297" spans="1:6" x14ac:dyDescent="0.2">
      <c r="B297" s="7">
        <v>44958</v>
      </c>
      <c r="C297" s="7">
        <v>44958</v>
      </c>
      <c r="D297" t="s">
        <v>165</v>
      </c>
      <c r="E297" t="s">
        <v>135</v>
      </c>
      <c r="F297" t="s">
        <v>302</v>
      </c>
    </row>
    <row r="298" spans="1:6" x14ac:dyDescent="0.2">
      <c r="B298" s="7">
        <v>44958</v>
      </c>
      <c r="D298" t="s">
        <v>148</v>
      </c>
      <c r="E298" t="s">
        <v>180</v>
      </c>
      <c r="F298" t="s">
        <v>130</v>
      </c>
    </row>
    <row r="299" spans="1:6" x14ac:dyDescent="0.2">
      <c r="A299" t="s">
        <v>584</v>
      </c>
      <c r="B299" s="7">
        <v>44958</v>
      </c>
      <c r="C299" s="7">
        <v>44958</v>
      </c>
      <c r="D299" t="s">
        <v>167</v>
      </c>
      <c r="E299" t="s">
        <v>135</v>
      </c>
      <c r="F299" t="s">
        <v>291</v>
      </c>
    </row>
    <row r="300" spans="1:6" x14ac:dyDescent="0.2">
      <c r="B300" s="7">
        <v>44958</v>
      </c>
      <c r="C300" s="7">
        <v>44958</v>
      </c>
      <c r="D300" t="s">
        <v>165</v>
      </c>
      <c r="E300" t="s">
        <v>135</v>
      </c>
      <c r="F300" t="s">
        <v>302</v>
      </c>
    </row>
    <row r="301" spans="1:6" x14ac:dyDescent="0.2">
      <c r="B301" s="7">
        <v>44958</v>
      </c>
      <c r="D301" t="s">
        <v>148</v>
      </c>
      <c r="E301" t="s">
        <v>180</v>
      </c>
      <c r="F301" t="s">
        <v>130</v>
      </c>
    </row>
    <row r="302" spans="1:6" x14ac:dyDescent="0.2">
      <c r="A302" t="s">
        <v>585</v>
      </c>
      <c r="B302" s="7">
        <v>44958</v>
      </c>
      <c r="C302" s="7">
        <v>44958</v>
      </c>
      <c r="D302" t="s">
        <v>167</v>
      </c>
      <c r="E302" t="s">
        <v>135</v>
      </c>
      <c r="F302" t="s">
        <v>321</v>
      </c>
    </row>
    <row r="303" spans="1:6" x14ac:dyDescent="0.2">
      <c r="B303" s="7">
        <v>44958</v>
      </c>
      <c r="C303" s="7">
        <v>44958</v>
      </c>
      <c r="D303" t="s">
        <v>165</v>
      </c>
      <c r="E303" t="s">
        <v>135</v>
      </c>
      <c r="F303" t="s">
        <v>305</v>
      </c>
    </row>
    <row r="304" spans="1:6" x14ac:dyDescent="0.2">
      <c r="B304" s="7">
        <v>44958</v>
      </c>
      <c r="D304" t="s">
        <v>148</v>
      </c>
      <c r="E304" t="s">
        <v>180</v>
      </c>
      <c r="F304" t="s">
        <v>130</v>
      </c>
    </row>
    <row r="305" spans="1:6" x14ac:dyDescent="0.2">
      <c r="A305" t="s">
        <v>488</v>
      </c>
      <c r="B305" s="7">
        <v>44959</v>
      </c>
      <c r="C305" s="7">
        <v>44959</v>
      </c>
      <c r="D305" t="s">
        <v>167</v>
      </c>
      <c r="E305" t="s">
        <v>135</v>
      </c>
      <c r="F305" t="s">
        <v>297</v>
      </c>
    </row>
    <row r="306" spans="1:6" x14ac:dyDescent="0.2">
      <c r="B306" s="7">
        <v>44959</v>
      </c>
      <c r="C306" s="7">
        <v>44959</v>
      </c>
      <c r="D306" t="s">
        <v>165</v>
      </c>
      <c r="E306" t="s">
        <v>135</v>
      </c>
      <c r="F306" t="s">
        <v>292</v>
      </c>
    </row>
    <row r="307" spans="1:6" x14ac:dyDescent="0.2">
      <c r="B307" s="7">
        <v>44959</v>
      </c>
      <c r="D307" t="s">
        <v>148</v>
      </c>
      <c r="E307" t="s">
        <v>180</v>
      </c>
      <c r="F307" t="s">
        <v>130</v>
      </c>
    </row>
    <row r="308" spans="1:6" x14ac:dyDescent="0.2">
      <c r="A308" t="s">
        <v>586</v>
      </c>
      <c r="B308" s="7">
        <v>44959</v>
      </c>
      <c r="C308" s="7">
        <v>44959</v>
      </c>
      <c r="D308" t="s">
        <v>167</v>
      </c>
      <c r="E308" t="s">
        <v>135</v>
      </c>
      <c r="F308" t="s">
        <v>291</v>
      </c>
    </row>
    <row r="309" spans="1:6" x14ac:dyDescent="0.2">
      <c r="B309" s="7">
        <v>44959</v>
      </c>
      <c r="C309" s="7">
        <v>44959</v>
      </c>
      <c r="D309" t="s">
        <v>165</v>
      </c>
      <c r="E309" t="s">
        <v>135</v>
      </c>
      <c r="F309" t="s">
        <v>292</v>
      </c>
    </row>
    <row r="310" spans="1:6" x14ac:dyDescent="0.2">
      <c r="B310" s="7">
        <v>44959</v>
      </c>
      <c r="D310" t="s">
        <v>148</v>
      </c>
      <c r="E310" t="s">
        <v>180</v>
      </c>
      <c r="F310" t="s">
        <v>130</v>
      </c>
    </row>
    <row r="311" spans="1:6" x14ac:dyDescent="0.2">
      <c r="A311" t="s">
        <v>587</v>
      </c>
      <c r="B311" s="7">
        <v>44959</v>
      </c>
      <c r="C311" s="7">
        <v>44959</v>
      </c>
      <c r="D311" t="s">
        <v>167</v>
      </c>
      <c r="E311" t="s">
        <v>135</v>
      </c>
      <c r="F311" t="s">
        <v>291</v>
      </c>
    </row>
    <row r="312" spans="1:6" x14ac:dyDescent="0.2">
      <c r="B312" s="7">
        <v>44959</v>
      </c>
      <c r="C312" s="7">
        <v>44959</v>
      </c>
      <c r="D312" t="s">
        <v>165</v>
      </c>
      <c r="E312" t="s">
        <v>135</v>
      </c>
      <c r="F312" t="s">
        <v>302</v>
      </c>
    </row>
    <row r="313" spans="1:6" x14ac:dyDescent="0.2">
      <c r="B313" s="7">
        <v>44959</v>
      </c>
      <c r="D313" t="s">
        <v>148</v>
      </c>
      <c r="E313" t="s">
        <v>180</v>
      </c>
      <c r="F313" t="s">
        <v>130</v>
      </c>
    </row>
    <row r="314" spans="1:6" x14ac:dyDescent="0.2">
      <c r="A314" t="s">
        <v>588</v>
      </c>
      <c r="B314" s="7">
        <v>44959</v>
      </c>
      <c r="C314" s="7">
        <v>44959</v>
      </c>
      <c r="D314" t="s">
        <v>167</v>
      </c>
      <c r="E314" t="s">
        <v>135</v>
      </c>
      <c r="F314" t="s">
        <v>306</v>
      </c>
    </row>
    <row r="315" spans="1:6" x14ac:dyDescent="0.2">
      <c r="B315" s="7">
        <v>44959</v>
      </c>
      <c r="C315" s="7">
        <v>44959</v>
      </c>
      <c r="D315" t="s">
        <v>165</v>
      </c>
      <c r="E315" t="s">
        <v>135</v>
      </c>
      <c r="F315" t="s">
        <v>292</v>
      </c>
    </row>
    <row r="316" spans="1:6" x14ac:dyDescent="0.2">
      <c r="B316" s="7">
        <v>44959</v>
      </c>
      <c r="D316" t="s">
        <v>148</v>
      </c>
      <c r="E316" t="s">
        <v>180</v>
      </c>
      <c r="F316" t="s">
        <v>130</v>
      </c>
    </row>
    <row r="317" spans="1:6" x14ac:dyDescent="0.2">
      <c r="A317" t="s">
        <v>589</v>
      </c>
      <c r="B317" s="7">
        <v>44959</v>
      </c>
      <c r="C317" s="7">
        <v>44959</v>
      </c>
      <c r="D317" t="s">
        <v>167</v>
      </c>
      <c r="E317" t="s">
        <v>135</v>
      </c>
      <c r="F317" t="s">
        <v>321</v>
      </c>
    </row>
    <row r="318" spans="1:6" x14ac:dyDescent="0.2">
      <c r="B318" s="7">
        <v>44959</v>
      </c>
      <c r="C318" s="7">
        <v>44959</v>
      </c>
      <c r="D318" t="s">
        <v>165</v>
      </c>
      <c r="E318" t="s">
        <v>135</v>
      </c>
      <c r="F318" t="s">
        <v>305</v>
      </c>
    </row>
    <row r="319" spans="1:6" x14ac:dyDescent="0.2">
      <c r="B319" s="7">
        <v>44959</v>
      </c>
      <c r="D319" t="s">
        <v>148</v>
      </c>
      <c r="E319" t="s">
        <v>180</v>
      </c>
      <c r="F319" t="s">
        <v>130</v>
      </c>
    </row>
    <row r="320" spans="1:6" x14ac:dyDescent="0.2">
      <c r="A320" t="s">
        <v>590</v>
      </c>
      <c r="B320" s="7">
        <v>44959</v>
      </c>
      <c r="C320" s="7">
        <v>44959</v>
      </c>
      <c r="D320" t="s">
        <v>167</v>
      </c>
      <c r="E320" t="s">
        <v>135</v>
      </c>
      <c r="F320" t="s">
        <v>300</v>
      </c>
    </row>
    <row r="321" spans="1:6" x14ac:dyDescent="0.2">
      <c r="B321" s="7">
        <v>44959</v>
      </c>
      <c r="C321" s="7">
        <v>44959</v>
      </c>
      <c r="D321" t="s">
        <v>165</v>
      </c>
      <c r="E321" t="s">
        <v>135</v>
      </c>
      <c r="F321" t="s">
        <v>300</v>
      </c>
    </row>
    <row r="322" spans="1:6" x14ac:dyDescent="0.2">
      <c r="B322" s="7">
        <v>44959</v>
      </c>
      <c r="D322" t="s">
        <v>148</v>
      </c>
      <c r="E322" t="s">
        <v>180</v>
      </c>
      <c r="F322" t="s">
        <v>130</v>
      </c>
    </row>
    <row r="323" spans="1:6" x14ac:dyDescent="0.2">
      <c r="A323" t="s">
        <v>591</v>
      </c>
      <c r="B323" s="7">
        <v>44959</v>
      </c>
      <c r="C323" s="7">
        <v>44959</v>
      </c>
      <c r="D323" t="s">
        <v>167</v>
      </c>
      <c r="E323" t="s">
        <v>135</v>
      </c>
      <c r="F323" t="s">
        <v>306</v>
      </c>
    </row>
    <row r="324" spans="1:6" x14ac:dyDescent="0.2">
      <c r="B324" s="7">
        <v>44959</v>
      </c>
      <c r="C324" s="7">
        <v>44959</v>
      </c>
      <c r="D324" t="s">
        <v>165</v>
      </c>
      <c r="E324" t="s">
        <v>135</v>
      </c>
      <c r="F324" t="s">
        <v>305</v>
      </c>
    </row>
    <row r="325" spans="1:6" x14ac:dyDescent="0.2">
      <c r="B325" s="7">
        <v>44959</v>
      </c>
      <c r="D325" t="s">
        <v>148</v>
      </c>
      <c r="E325" t="s">
        <v>180</v>
      </c>
      <c r="F325" t="s">
        <v>130</v>
      </c>
    </row>
    <row r="326" spans="1:6" x14ac:dyDescent="0.2">
      <c r="A326" t="s">
        <v>542</v>
      </c>
      <c r="B326" s="7">
        <v>44959</v>
      </c>
      <c r="C326" s="7">
        <v>44959</v>
      </c>
      <c r="D326" t="s">
        <v>167</v>
      </c>
      <c r="E326" t="s">
        <v>135</v>
      </c>
      <c r="F326" t="s">
        <v>321</v>
      </c>
    </row>
    <row r="327" spans="1:6" x14ac:dyDescent="0.2">
      <c r="B327" s="7">
        <v>44959</v>
      </c>
      <c r="C327" s="7">
        <v>44959</v>
      </c>
      <c r="D327" t="s">
        <v>165</v>
      </c>
      <c r="E327" t="s">
        <v>135</v>
      </c>
      <c r="F327" t="s">
        <v>305</v>
      </c>
    </row>
    <row r="328" spans="1:6" x14ac:dyDescent="0.2">
      <c r="B328" s="7">
        <v>44959</v>
      </c>
      <c r="D328" t="s">
        <v>148</v>
      </c>
      <c r="E328" t="s">
        <v>180</v>
      </c>
      <c r="F328" t="s">
        <v>130</v>
      </c>
    </row>
    <row r="329" spans="1:6" x14ac:dyDescent="0.2">
      <c r="A329" t="s">
        <v>532</v>
      </c>
      <c r="B329" s="7">
        <v>44959</v>
      </c>
      <c r="C329" s="7">
        <v>44959</v>
      </c>
      <c r="D329" t="s">
        <v>167</v>
      </c>
      <c r="E329" t="s">
        <v>135</v>
      </c>
      <c r="F329" t="s">
        <v>291</v>
      </c>
    </row>
    <row r="330" spans="1:6" x14ac:dyDescent="0.2">
      <c r="B330" s="7">
        <v>44959</v>
      </c>
      <c r="C330" s="7">
        <v>44959</v>
      </c>
      <c r="D330" t="s">
        <v>165</v>
      </c>
      <c r="E330" t="s">
        <v>135</v>
      </c>
      <c r="F330" t="s">
        <v>292</v>
      </c>
    </row>
    <row r="331" spans="1:6" x14ac:dyDescent="0.2">
      <c r="B331" s="7">
        <v>44959</v>
      </c>
      <c r="D331" t="s">
        <v>148</v>
      </c>
      <c r="E331" t="s">
        <v>180</v>
      </c>
      <c r="F331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3E55-A0FB-3C49-8111-FD8ADC268869}">
  <sheetPr codeName="Sheet14"/>
  <dimension ref="A1:C6"/>
  <sheetViews>
    <sheetView workbookViewId="0">
      <selection activeCell="C14" sqref="C14"/>
    </sheetView>
  </sheetViews>
  <sheetFormatPr baseColWidth="10" defaultRowHeight="16" x14ac:dyDescent="0.2"/>
  <cols>
    <col min="1" max="1" width="17.5" bestFit="1" customWidth="1"/>
  </cols>
  <sheetData>
    <row r="1" spans="1:3" x14ac:dyDescent="0.2">
      <c r="B1" t="s">
        <v>0</v>
      </c>
      <c r="C1" t="s">
        <v>1</v>
      </c>
    </row>
    <row r="2" spans="1:3" x14ac:dyDescent="0.2">
      <c r="A2" t="s">
        <v>98</v>
      </c>
      <c r="B2" t="s">
        <v>231</v>
      </c>
      <c r="C2" t="s">
        <v>224</v>
      </c>
    </row>
    <row r="3" spans="1:3" x14ac:dyDescent="0.2">
      <c r="A3" t="s">
        <v>92</v>
      </c>
      <c r="B3" t="s">
        <v>225</v>
      </c>
      <c r="C3" t="s">
        <v>225</v>
      </c>
    </row>
    <row r="4" spans="1:3" x14ac:dyDescent="0.2">
      <c r="A4" t="s">
        <v>226</v>
      </c>
      <c r="B4" t="s">
        <v>227</v>
      </c>
      <c r="C4" t="s">
        <v>227</v>
      </c>
    </row>
    <row r="5" spans="1:3" x14ac:dyDescent="0.2">
      <c r="A5" t="s">
        <v>228</v>
      </c>
      <c r="B5" t="s">
        <v>232</v>
      </c>
      <c r="C5" t="s">
        <v>229</v>
      </c>
    </row>
    <row r="6" spans="1:3" x14ac:dyDescent="0.2">
      <c r="A6" t="s">
        <v>234</v>
      </c>
      <c r="B6" t="s">
        <v>233</v>
      </c>
      <c r="C6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MC Only</vt:lpstr>
      <vt:lpstr>SJC Only</vt:lpstr>
      <vt:lpstr>Grid View - Kits - MC SJC</vt:lpstr>
      <vt:lpstr>Grid - LRA Samples</vt:lpstr>
      <vt:lpstr>Metadata</vt:lpstr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Alyssa Wicks</cp:lastModifiedBy>
  <dcterms:created xsi:type="dcterms:W3CDTF">2022-09-06T22:02:45Z</dcterms:created>
  <dcterms:modified xsi:type="dcterms:W3CDTF">2023-11-30T19:48:11Z</dcterms:modified>
</cp:coreProperties>
</file>