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\\rtifile02\ehe\Projects\0217382-EPA_MME\0217382.050-Ref-Dist-Tanks\Technical_Record\MVL\Proposal Docket\"/>
    </mc:Choice>
  </mc:AlternateContent>
  <xr:revisionPtr revIDLastSave="0" documentId="8_{F6671484-538C-4633-A43F-EF126D08DF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500000MP" sheetId="5" r:id="rId1"/>
    <sheet name="Pvap Calcs" sheetId="9" r:id="rId2"/>
    <sheet name="Loading Loss" sheetId="3" r:id="rId3"/>
    <sheet name="AP-42" sheetId="4" r:id="rId4"/>
  </sheets>
  <definedNames>
    <definedName name="Cntrl_Eff">'500000MP'!$B$17</definedName>
    <definedName name="CRF">'500000MP'!$B$14</definedName>
    <definedName name="DataProp">'Pvap Calcs'!$A$3:$K$28</definedName>
    <definedName name="EqLife">'500000MP'!$B$13</definedName>
    <definedName name="Interest">'500000MP'!$B$12</definedName>
    <definedName name="VOC_Credit">'500000MP'!$B$16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5" l="1"/>
  <c r="H20" i="5"/>
  <c r="H21" i="5"/>
  <c r="H18" i="5"/>
  <c r="H14" i="5"/>
  <c r="H13" i="5"/>
  <c r="H12" i="5"/>
  <c r="H11" i="5"/>
  <c r="B14" i="5" l="1"/>
  <c r="H7" i="5" l="1"/>
  <c r="H6" i="5"/>
  <c r="H5" i="5"/>
  <c r="H4" i="5"/>
  <c r="C5" i="5" l="1"/>
  <c r="C6" i="5"/>
  <c r="C7" i="5"/>
  <c r="E7" i="5" s="1"/>
  <c r="C4" i="5"/>
  <c r="B7" i="5"/>
  <c r="B6" i="5"/>
  <c r="E6" i="5" s="1"/>
  <c r="B5" i="5"/>
  <c r="E5" i="5" s="1"/>
  <c r="B4" i="5"/>
  <c r="E4" i="5" s="1"/>
  <c r="I7" i="5" l="1"/>
  <c r="J7" i="5" s="1"/>
  <c r="K7" i="5" s="1"/>
  <c r="I21" i="5"/>
  <c r="I14" i="5"/>
  <c r="I5" i="5"/>
  <c r="J5" i="5" s="1"/>
  <c r="K5" i="5" s="1"/>
  <c r="I19" i="5"/>
  <c r="I12" i="5"/>
  <c r="I6" i="5"/>
  <c r="J6" i="5" s="1"/>
  <c r="K6" i="5" s="1"/>
  <c r="I20" i="5"/>
  <c r="I13" i="5"/>
  <c r="I4" i="5"/>
  <c r="J4" i="5" s="1"/>
  <c r="K4" i="5" s="1"/>
  <c r="I11" i="5"/>
  <c r="I18" i="5"/>
  <c r="E8" i="3"/>
  <c r="G8" i="3"/>
  <c r="E9" i="3"/>
  <c r="G9" i="3"/>
  <c r="E10" i="3"/>
  <c r="G10" i="3"/>
  <c r="E11" i="3"/>
  <c r="G11" i="3"/>
  <c r="E12" i="3"/>
  <c r="G12" i="3"/>
  <c r="E13" i="3"/>
  <c r="G13" i="3"/>
  <c r="E14" i="3"/>
  <c r="G14" i="3"/>
  <c r="E15" i="3"/>
  <c r="G15" i="3"/>
  <c r="E16" i="3"/>
  <c r="G16" i="3"/>
  <c r="E17" i="3"/>
  <c r="G17" i="3"/>
  <c r="E18" i="3"/>
  <c r="G18" i="3"/>
  <c r="E19" i="3"/>
  <c r="G19" i="3"/>
  <c r="E20" i="3"/>
  <c r="G20" i="3"/>
  <c r="E3" i="3"/>
  <c r="G3" i="3"/>
  <c r="E4" i="3"/>
  <c r="G4" i="3"/>
  <c r="E5" i="3"/>
  <c r="G5" i="3"/>
  <c r="E6" i="3"/>
  <c r="G6" i="3"/>
  <c r="E7" i="3"/>
  <c r="G7" i="3"/>
  <c r="L2" i="9"/>
  <c r="L3" i="9" s="1"/>
  <c r="K3" i="9"/>
  <c r="K4" i="9"/>
  <c r="D3" i="3" s="1"/>
  <c r="K5" i="9"/>
  <c r="D4" i="3" s="1"/>
  <c r="K6" i="9"/>
  <c r="K7" i="9"/>
  <c r="D5" i="3" s="1"/>
  <c r="B8" i="9"/>
  <c r="C8" i="9"/>
  <c r="K9" i="9"/>
  <c r="D6" i="3" s="1"/>
  <c r="K10" i="9"/>
  <c r="D7" i="3" s="1"/>
  <c r="K11" i="9"/>
  <c r="D8" i="3" s="1"/>
  <c r="K12" i="9"/>
  <c r="D9" i="3" s="1"/>
  <c r="K13" i="9"/>
  <c r="D10" i="3" s="1"/>
  <c r="K17" i="9"/>
  <c r="D11" i="3" s="1"/>
  <c r="K18" i="9"/>
  <c r="D12" i="3" s="1"/>
  <c r="K19" i="9"/>
  <c r="K20" i="9"/>
  <c r="D13" i="3" s="1"/>
  <c r="K21" i="9"/>
  <c r="D14" i="3" s="1"/>
  <c r="K22" i="9"/>
  <c r="D15" i="3" s="1"/>
  <c r="K23" i="9"/>
  <c r="K24" i="9"/>
  <c r="D16" i="3" s="1"/>
  <c r="K25" i="9"/>
  <c r="D17" i="3" s="1"/>
  <c r="K26" i="9"/>
  <c r="D18" i="3" s="1"/>
  <c r="K27" i="9"/>
  <c r="D19" i="3" s="1"/>
  <c r="K28" i="9"/>
  <c r="D20" i="3" s="1"/>
  <c r="F7" i="3" l="1"/>
  <c r="I7" i="3" s="1"/>
  <c r="F5" i="3"/>
  <c r="I5" i="3" s="1"/>
  <c r="F3" i="3"/>
  <c r="H3" i="3" s="1"/>
  <c r="F19" i="3"/>
  <c r="H19" i="3" s="1"/>
  <c r="F17" i="3"/>
  <c r="I17" i="3" s="1"/>
  <c r="F15" i="3"/>
  <c r="I15" i="3" s="1"/>
  <c r="F13" i="3"/>
  <c r="H13" i="3" s="1"/>
  <c r="F11" i="3"/>
  <c r="I11" i="3" s="1"/>
  <c r="F9" i="3"/>
  <c r="I9" i="3" s="1"/>
  <c r="F6" i="3"/>
  <c r="H6" i="3" s="1"/>
  <c r="F4" i="3"/>
  <c r="I4" i="3" s="1"/>
  <c r="F20" i="3"/>
  <c r="H20" i="3" s="1"/>
  <c r="F18" i="3"/>
  <c r="I18" i="3" s="1"/>
  <c r="F16" i="3"/>
  <c r="H16" i="3" s="1"/>
  <c r="F14" i="3"/>
  <c r="H14" i="3" s="1"/>
  <c r="F12" i="3"/>
  <c r="I12" i="3" s="1"/>
  <c r="F10" i="3"/>
  <c r="I10" i="3" s="1"/>
  <c r="F8" i="3"/>
  <c r="H8" i="3" s="1"/>
  <c r="I3" i="3"/>
  <c r="K16" i="9"/>
  <c r="K15" i="9"/>
  <c r="K8" i="9"/>
  <c r="K14" i="9"/>
  <c r="H10" i="3" l="1"/>
  <c r="H7" i="3"/>
  <c r="H9" i="3"/>
  <c r="H5" i="3"/>
  <c r="I6" i="3"/>
  <c r="I8" i="3"/>
  <c r="H17" i="3"/>
  <c r="H12" i="3"/>
  <c r="H4" i="3"/>
  <c r="H18" i="3"/>
  <c r="I19" i="3"/>
  <c r="H15" i="3"/>
  <c r="I16" i="3"/>
  <c r="I20" i="3"/>
  <c r="H11" i="3"/>
  <c r="I14" i="3"/>
  <c r="I13" i="3"/>
</calcChain>
</file>

<file path=xl/sharedStrings.xml><?xml version="1.0" encoding="utf-8"?>
<sst xmlns="http://schemas.openxmlformats.org/spreadsheetml/2006/main" count="158" uniqueCount="82">
  <si>
    <t>500,000 Model Plant</t>
  </si>
  <si>
    <t>Carbon Adsorber</t>
  </si>
  <si>
    <t>Surrogate Pvap (psia)</t>
  </si>
  <si>
    <t>Ship EmF (lb/1,000 gal)</t>
  </si>
  <si>
    <t>Barge EmF (lb/1,000 gal)</t>
  </si>
  <si>
    <t>Throughput (1,000 gal/yr)</t>
  </si>
  <si>
    <t>Loss (ton/yr)</t>
  </si>
  <si>
    <t>Capital (TCI) ($)</t>
  </si>
  <si>
    <t>Annual Op Costs (AOC) ($/yr)</t>
  </si>
  <si>
    <t>Total Annualized Cost (TAC) no Rec.Credit</t>
  </si>
  <si>
    <t>VOC Recovery Credit ($/yr)</t>
  </si>
  <si>
    <t>TAC w/ Recov ($/yr)</t>
  </si>
  <si>
    <t>VOC Cost Eff ($/ton)</t>
  </si>
  <si>
    <t>Thermal Oxidizer (70% Rec Eff)</t>
  </si>
  <si>
    <t>TAC (no Rec.) ($/yr)</t>
  </si>
  <si>
    <t>Interest</t>
  </si>
  <si>
    <t>EqLife</t>
  </si>
  <si>
    <t>years</t>
  </si>
  <si>
    <t>CRF</t>
  </si>
  <si>
    <t>VOC_Credit</t>
  </si>
  <si>
    <t>per ton</t>
  </si>
  <si>
    <t>Thermal Oxid/Flare (0% Rec Eff)</t>
  </si>
  <si>
    <t>Cntrl_Eff</t>
  </si>
  <si>
    <t>Chemicals</t>
  </si>
  <si>
    <t>Antoine's Equation Constants</t>
  </si>
  <si>
    <t>Temp (degC)</t>
  </si>
  <si>
    <t>Temp (degR)</t>
  </si>
  <si>
    <t>A
dimensionless</t>
  </si>
  <si>
    <t>B
degrees C</t>
  </si>
  <si>
    <t>C
degrees C</t>
  </si>
  <si>
    <t>MW</t>
  </si>
  <si>
    <t>Liquid Density (lb/gal)</t>
  </si>
  <si>
    <t>Source</t>
  </si>
  <si>
    <t>Product Stored Category for 7.1-10</t>
  </si>
  <si>
    <t>Acetaldehye</t>
  </si>
  <si>
    <t>Table 7.1-3</t>
  </si>
  <si>
    <t>Single-component stocks</t>
  </si>
  <si>
    <t>Acetone</t>
  </si>
  <si>
    <t>Benzene</t>
  </si>
  <si>
    <t>Butane (n)</t>
  </si>
  <si>
    <t>Chloroform</t>
  </si>
  <si>
    <t>Crude (RVP5)</t>
  </si>
  <si>
    <t>Table 7.1-2</t>
  </si>
  <si>
    <t>Crude oil</t>
  </si>
  <si>
    <t>Cyclohexane</t>
  </si>
  <si>
    <t>Diethylamine</t>
  </si>
  <si>
    <t>Ethyl acetate</t>
  </si>
  <si>
    <t>Ethyl alcohol</t>
  </si>
  <si>
    <t>Ethyl benzene</t>
  </si>
  <si>
    <t>Gasoline (RVP7)</t>
  </si>
  <si>
    <t>Gasoline</t>
  </si>
  <si>
    <t>Gasoline (RVP10)</t>
  </si>
  <si>
    <t>Gasoline (RVP13)</t>
  </si>
  <si>
    <t>Heptane</t>
  </si>
  <si>
    <t>Hexane</t>
  </si>
  <si>
    <t>Isopentane</t>
  </si>
  <si>
    <t>Methacrylonitrile</t>
  </si>
  <si>
    <t>Methyl isobutyl ketone</t>
  </si>
  <si>
    <t>Methylene chloride</t>
  </si>
  <si>
    <t>Pentane</t>
  </si>
  <si>
    <t>Toluene</t>
  </si>
  <si>
    <t>1,1,1,-trichloroethane</t>
  </si>
  <si>
    <t>Trichloroethylene</t>
  </si>
  <si>
    <t>Vinyl acetate</t>
  </si>
  <si>
    <t>O-xylene</t>
  </si>
  <si>
    <t>..</t>
  </si>
  <si>
    <t>.</t>
  </si>
  <si>
    <t>Commodities</t>
  </si>
  <si>
    <t>Saturation Factor (S)</t>
  </si>
  <si>
    <t>True Vapor Pressure (P)</t>
  </si>
  <si>
    <t>Molecular Weight</t>
  </si>
  <si>
    <t>Temperature</t>
  </si>
  <si>
    <t>Density</t>
  </si>
  <si>
    <t>Loading Loss (ships)</t>
  </si>
  <si>
    <t>Loading Loss (Barges)</t>
  </si>
  <si>
    <t>ships</t>
  </si>
  <si>
    <t>barges</t>
  </si>
  <si>
    <t>psia</t>
  </si>
  <si>
    <t>lb/lb-mole</t>
  </si>
  <si>
    <t>°R</t>
  </si>
  <si>
    <t>lb/gal</t>
  </si>
  <si>
    <t>lb/1000 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</si>
</sst>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0"/>
    <numFmt numFmtId="165" formatCode="0.0%"/>
    <numFmt numFmtId="166" formatCode="0.000"/>
    <numFmt numFmtId="167" formatCode="0.0"/>
    <numFmt numFmtId="168" formatCode="&quot;$&quot;#,##0"/>
  </numFmts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C00000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D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6" fillId="0" borderId="0" xfId="0" applyFont="1"/>
    <xf numFmtId="0" fontId="0" fillId="0" borderId="1" xfId="0" applyBorder="1"/>
    <xf numFmtId="0" fontId="4" fillId="0" borderId="0" xfId="0" applyFont="1"/>
    <xf numFmtId="0" fontId="0" fillId="0" borderId="0" xfId="0" applyAlignment="1">
      <alignment horizontal="center"/>
    </xf>
    <xf numFmtId="166" fontId="0" fillId="0" borderId="0" xfId="0" applyNumberFormat="1"/>
    <xf numFmtId="166" fontId="9" fillId="0" borderId="0" xfId="0" applyNumberFormat="1" applyFont="1"/>
    <xf numFmtId="166" fontId="5" fillId="0" borderId="0" xfId="0" applyNumberFormat="1" applyFont="1"/>
    <xf numFmtId="2" fontId="5" fillId="0" borderId="0" xfId="0" applyNumberFormat="1" applyFont="1"/>
    <xf numFmtId="0" fontId="5" fillId="0" borderId="0" xfId="0" applyFont="1" applyAlignment="1">
      <alignment wrapText="1"/>
    </xf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0" fillId="5" borderId="0" xfId="0" applyFill="1"/>
    <xf numFmtId="2" fontId="0" fillId="3" borderId="0" xfId="0" applyNumberFormat="1" applyFill="1"/>
    <xf numFmtId="166" fontId="0" fillId="3" borderId="0" xfId="0" applyNumberFormat="1" applyFill="1"/>
    <xf numFmtId="0" fontId="4" fillId="3" borderId="0" xfId="0" applyFont="1" applyFill="1"/>
    <xf numFmtId="2" fontId="0" fillId="0" borderId="0" xfId="0" applyNumberFormat="1"/>
    <xf numFmtId="2" fontId="0" fillId="4" borderId="0" xfId="0" applyNumberFormat="1" applyFill="1"/>
    <xf numFmtId="166" fontId="0" fillId="4" borderId="0" xfId="0" applyNumberFormat="1" applyFill="1"/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8" fillId="0" borderId="1" xfId="0" applyFont="1" applyBorder="1"/>
    <xf numFmtId="166" fontId="2" fillId="0" borderId="0" xfId="0" applyNumberFormat="1" applyFont="1" applyFill="1" applyBorder="1" applyAlignment="1"/>
    <xf numFmtId="167" fontId="0" fillId="0" borderId="0" xfId="0" applyNumberFormat="1"/>
    <xf numFmtId="0" fontId="0" fillId="0" borderId="0" xfId="0" applyAlignment="1">
      <alignment wrapText="1"/>
    </xf>
    <xf numFmtId="165" fontId="0" fillId="0" borderId="0" xfId="1" applyNumberFormat="1" applyFont="1"/>
    <xf numFmtId="164" fontId="0" fillId="0" borderId="0" xfId="0" applyNumberFormat="1"/>
    <xf numFmtId="6" fontId="0" fillId="0" borderId="0" xfId="0" applyNumberFormat="1"/>
    <xf numFmtId="168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Emissions as  Fxn</a:t>
            </a:r>
            <a:r>
              <a:rPr lang="en-US" baseline="0"/>
              <a:t> of Pvap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Barges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9295188872316071"/>
                  <c:y val="2.6014181300310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'Loading Loss'!$D$3:$D$20</c:f>
              <c:numCache>
                <c:formatCode>General</c:formatCode>
                <c:ptCount val="18"/>
                <c:pt idx="0">
                  <c:v>3.571275508853395</c:v>
                </c:pt>
                <c:pt idx="1">
                  <c:v>1.4558174694085073</c:v>
                </c:pt>
                <c:pt idx="2">
                  <c:v>3.0200354296802501</c:v>
                </c:pt>
                <c:pt idx="3">
                  <c:v>1.4991863387395719</c:v>
                </c:pt>
                <c:pt idx="4">
                  <c:v>3.4114366060343024</c:v>
                </c:pt>
                <c:pt idx="5">
                  <c:v>1.4271582098909725</c:v>
                </c:pt>
                <c:pt idx="6">
                  <c:v>0.851079228542579</c:v>
                </c:pt>
                <c:pt idx="7">
                  <c:v>0.13638173602848419</c:v>
                </c:pt>
                <c:pt idx="8">
                  <c:v>0.68472065071709942</c:v>
                </c:pt>
                <c:pt idx="9">
                  <c:v>2.3465270895147698</c:v>
                </c:pt>
                <c:pt idx="10">
                  <c:v>1.0951759841028121</c:v>
                </c:pt>
                <c:pt idx="11">
                  <c:v>0.28532832966507277</c:v>
                </c:pt>
                <c:pt idx="12">
                  <c:v>6.7900872669430443</c:v>
                </c:pt>
                <c:pt idx="13">
                  <c:v>0.42251153276030806</c:v>
                </c:pt>
                <c:pt idx="14">
                  <c:v>2.0417283431001576</c:v>
                </c:pt>
                <c:pt idx="15">
                  <c:v>1.0360385252716744</c:v>
                </c:pt>
                <c:pt idx="16">
                  <c:v>1.7427395850574172</c:v>
                </c:pt>
                <c:pt idx="17">
                  <c:v>9.4381905027368179E-2</c:v>
                </c:pt>
              </c:numCache>
            </c:numRef>
          </c:xVal>
          <c:yVal>
            <c:numRef>
              <c:f>'Loading Loss'!$I$3:$I$20</c:f>
              <c:numCache>
                <c:formatCode>0.000</c:formatCode>
                <c:ptCount val="18"/>
                <c:pt idx="0">
                  <c:v>2.4489256847702126</c:v>
                </c:pt>
                <c:pt idx="1">
                  <c:v>1.3425770136565573</c:v>
                </c:pt>
                <c:pt idx="2">
                  <c:v>4.2566628733455989</c:v>
                </c:pt>
                <c:pt idx="3">
                  <c:v>1.4896594154142708</c:v>
                </c:pt>
                <c:pt idx="4">
                  <c:v>2.9458993482027092</c:v>
                </c:pt>
                <c:pt idx="5">
                  <c:v>1.4846461775576878</c:v>
                </c:pt>
                <c:pt idx="6">
                  <c:v>0.46292842300547626</c:v>
                </c:pt>
                <c:pt idx="7">
                  <c:v>0.17095573509033707</c:v>
                </c:pt>
                <c:pt idx="8">
                  <c:v>0.81004060743939665</c:v>
                </c:pt>
                <c:pt idx="9">
                  <c:v>2.3875787509208508</c:v>
                </c:pt>
                <c:pt idx="10">
                  <c:v>0.86749573160998583</c:v>
                </c:pt>
                <c:pt idx="11">
                  <c:v>0.33741536312534437</c:v>
                </c:pt>
                <c:pt idx="12">
                  <c:v>6.8086674534322116</c:v>
                </c:pt>
                <c:pt idx="13">
                  <c:v>0.45963428786129912</c:v>
                </c:pt>
                <c:pt idx="14">
                  <c:v>3.2157289117068717</c:v>
                </c:pt>
                <c:pt idx="15">
                  <c:v>1.6071775625577047</c:v>
                </c:pt>
                <c:pt idx="16">
                  <c:v>1.7713763696389879</c:v>
                </c:pt>
                <c:pt idx="17">
                  <c:v>0.11830856845677767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E3-49A0-BF26-AA0921C245F4}"/>
            </c:ext>
          </c:extLst>
        </c:ser>
        <c:ser>
          <c:idx val="0"/>
          <c:order val="1"/>
          <c:tx>
            <c:v>Ships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6.4334615284445479E-2"/>
                  <c:y val="-1.1262621723763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'Loading Loss'!$D$3:$D$20</c:f>
              <c:numCache>
                <c:formatCode>General</c:formatCode>
                <c:ptCount val="18"/>
                <c:pt idx="0">
                  <c:v>3.571275508853395</c:v>
                </c:pt>
                <c:pt idx="1">
                  <c:v>1.4558174694085073</c:v>
                </c:pt>
                <c:pt idx="2">
                  <c:v>3.0200354296802501</c:v>
                </c:pt>
                <c:pt idx="3">
                  <c:v>1.4991863387395719</c:v>
                </c:pt>
                <c:pt idx="4">
                  <c:v>3.4114366060343024</c:v>
                </c:pt>
                <c:pt idx="5">
                  <c:v>1.4271582098909725</c:v>
                </c:pt>
                <c:pt idx="6">
                  <c:v>0.851079228542579</c:v>
                </c:pt>
                <c:pt idx="7">
                  <c:v>0.13638173602848419</c:v>
                </c:pt>
                <c:pt idx="8">
                  <c:v>0.68472065071709942</c:v>
                </c:pt>
                <c:pt idx="9">
                  <c:v>2.3465270895147698</c:v>
                </c:pt>
                <c:pt idx="10">
                  <c:v>1.0951759841028121</c:v>
                </c:pt>
                <c:pt idx="11">
                  <c:v>0.28532832966507277</c:v>
                </c:pt>
                <c:pt idx="12">
                  <c:v>6.7900872669430443</c:v>
                </c:pt>
                <c:pt idx="13">
                  <c:v>0.42251153276030806</c:v>
                </c:pt>
                <c:pt idx="14">
                  <c:v>2.0417283431001576</c:v>
                </c:pt>
                <c:pt idx="15">
                  <c:v>1.0360385252716744</c:v>
                </c:pt>
                <c:pt idx="16">
                  <c:v>1.7427395850574172</c:v>
                </c:pt>
                <c:pt idx="17">
                  <c:v>9.4381905027368179E-2</c:v>
                </c:pt>
              </c:numCache>
            </c:numRef>
          </c:xVal>
          <c:yVal>
            <c:numRef>
              <c:f>'Loading Loss'!$H$3:$H$20</c:f>
              <c:numCache>
                <c:formatCode>0.000</c:formatCode>
                <c:ptCount val="18"/>
                <c:pt idx="0">
                  <c:v>0.97957027390808515</c:v>
                </c:pt>
                <c:pt idx="1">
                  <c:v>0.53703080546262294</c:v>
                </c:pt>
                <c:pt idx="2">
                  <c:v>1.7026651493382394</c:v>
                </c:pt>
                <c:pt idx="3">
                  <c:v>0.59586376616570835</c:v>
                </c:pt>
                <c:pt idx="4">
                  <c:v>1.1783597392810838</c:v>
                </c:pt>
                <c:pt idx="5">
                  <c:v>0.59385847102307499</c:v>
                </c:pt>
                <c:pt idx="6">
                  <c:v>0.18517136920219054</c:v>
                </c:pt>
                <c:pt idx="7">
                  <c:v>6.8382294036134827E-2</c:v>
                </c:pt>
                <c:pt idx="8">
                  <c:v>0.32401624297575865</c:v>
                </c:pt>
                <c:pt idx="9">
                  <c:v>0.95503150036834039</c:v>
                </c:pt>
                <c:pt idx="10">
                  <c:v>0.3469982926439944</c:v>
                </c:pt>
                <c:pt idx="11">
                  <c:v>0.13496614525013775</c:v>
                </c:pt>
                <c:pt idx="12">
                  <c:v>2.7234669813728849</c:v>
                </c:pt>
                <c:pt idx="13">
                  <c:v>0.18385371514451967</c:v>
                </c:pt>
                <c:pt idx="14">
                  <c:v>1.2862915646827489</c:v>
                </c:pt>
                <c:pt idx="15">
                  <c:v>0.64287102502308202</c:v>
                </c:pt>
                <c:pt idx="16">
                  <c:v>0.70855054785559513</c:v>
                </c:pt>
                <c:pt idx="17">
                  <c:v>4.7323427382711079E-2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CE3-49A0-BF26-AA0921C24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321304"/>
        <c:axId val="875322744"/>
      </c:scatterChart>
      <c:valAx>
        <c:axId val="87532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Vapor 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22744"/>
        <c:crosses val="autoZero"/>
        <c:crossBetween val="midCat"/>
      </c:valAx>
      <c:valAx>
        <c:axId val="87532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Emission Factor (lb/1,0000 gal)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21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82550</xdr:colOff>
      <xdr:row>3</xdr:row>
      <xdr:rowOff>57148</xdr:rowOff>
    </xdr:from>
    <xdr:to>
      <xdr:col>17</xdr:col>
      <xdr:colOff>504825</xdr:colOff>
      <xdr:row>23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8278D0-B75E-1A8A-D148-8C2F418E6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</xdr:row>
      <xdr:rowOff>19050</xdr:rowOff>
    </xdr:from>
    <xdr:to>
      <xdr:col>22</xdr:col>
      <xdr:colOff>552450</xdr:colOff>
      <xdr:row>53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5C4514-BFEF-C40C-1DEC-672D3C3F2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200025"/>
          <a:ext cx="12982575" cy="950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C7A7-126D-446D-B7DE-42FFA41A0B95}">
  <dimension ref="A1:K21"/>
  <sheetViews>
    <sheetView tabSelected="1" workbookViewId="0">
      <selection activeCell="C22" sqref="C22"/>
    </sheetView>
  </sheetViews>
  <sheetFormatPr defaultRowHeight="14.4" x14ac:dyDescent="0.3"/>
  <cols>
    <col min="1" max="1" width="17.109375" customWidth="1"/>
    <col min="2" max="3" width="15.6640625" bestFit="1" customWidth="1"/>
    <col min="4" max="5" width="13.33203125" customWidth="1"/>
    <col min="6" max="6" width="15.33203125" bestFit="1" customWidth="1"/>
    <col min="7" max="7" width="16.33203125" customWidth="1"/>
    <col min="8" max="8" width="19" customWidth="1"/>
    <col min="9" max="9" width="14.88671875" customWidth="1"/>
    <col min="10" max="10" width="17.44140625" customWidth="1"/>
    <col min="11" max="11" width="13.109375" customWidth="1"/>
    <col min="12" max="12" width="12.33203125" bestFit="1" customWidth="1"/>
    <col min="13" max="13" width="14.5546875" customWidth="1"/>
    <col min="15" max="15" width="12.33203125" bestFit="1" customWidth="1"/>
  </cols>
  <sheetData>
    <row r="1" spans="1:11" ht="15" thickBo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7"/>
    </row>
    <row r="2" spans="1:11" x14ac:dyDescent="0.3">
      <c r="F2" s="5" t="s">
        <v>1</v>
      </c>
    </row>
    <row r="3" spans="1:11" ht="28.8" x14ac:dyDescent="0.3">
      <c r="A3" s="30" t="s">
        <v>2</v>
      </c>
      <c r="B3" s="30" t="s">
        <v>3</v>
      </c>
      <c r="C3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</row>
    <row r="4" spans="1:11" ht="14.1" customHeight="1" x14ac:dyDescent="0.3">
      <c r="A4" s="29">
        <v>0.5</v>
      </c>
      <c r="B4">
        <f>0.4*A4</f>
        <v>0.2</v>
      </c>
      <c r="C4" s="29">
        <f>A4*1</f>
        <v>0.5</v>
      </c>
      <c r="D4">
        <v>500000</v>
      </c>
      <c r="E4">
        <f>(B4+C4)/2*D4/2000</f>
        <v>87.5</v>
      </c>
      <c r="F4" s="34">
        <v>3773295</v>
      </c>
      <c r="G4" s="34">
        <v>358223</v>
      </c>
      <c r="H4" s="34">
        <f>F4*CRF+G4</f>
        <v>734139.76931424625</v>
      </c>
      <c r="I4" s="34">
        <f>E4*VOC_Credit*(Cntrl_Eff)</f>
        <v>56017.5</v>
      </c>
      <c r="J4" s="34">
        <f>H4-I4</f>
        <v>678122.26931424625</v>
      </c>
      <c r="K4" s="34">
        <f>J4/E4</f>
        <v>7749.9687921628147</v>
      </c>
    </row>
    <row r="5" spans="1:11" x14ac:dyDescent="0.3">
      <c r="A5" s="29">
        <v>1</v>
      </c>
      <c r="B5">
        <f t="shared" ref="B5:B7" si="0">0.4*A5</f>
        <v>0.4</v>
      </c>
      <c r="C5" s="29">
        <f t="shared" ref="C5:C7" si="1">A5*1</f>
        <v>1</v>
      </c>
      <c r="D5">
        <v>500000</v>
      </c>
      <c r="E5">
        <f t="shared" ref="E5:E7" si="2">(B5+C5)/2*D5/2000</f>
        <v>175</v>
      </c>
      <c r="F5" s="34">
        <v>3773295</v>
      </c>
      <c r="G5" s="34">
        <v>358223</v>
      </c>
      <c r="H5" s="34">
        <f>F5*CRF+G5</f>
        <v>734139.76931424625</v>
      </c>
      <c r="I5" s="34">
        <f>E5*VOC_Credit*(Cntrl_Eff)</f>
        <v>112035</v>
      </c>
      <c r="J5" s="34">
        <f t="shared" ref="J5:J7" si="3">H5-I5</f>
        <v>622104.76931424625</v>
      </c>
      <c r="K5" s="34">
        <f t="shared" ref="K5:K7" si="4">J5/E5</f>
        <v>3554.884396081407</v>
      </c>
    </row>
    <row r="6" spans="1:11" x14ac:dyDescent="0.3">
      <c r="A6" s="29">
        <v>1.5</v>
      </c>
      <c r="B6">
        <f t="shared" si="0"/>
        <v>0.60000000000000009</v>
      </c>
      <c r="C6" s="29">
        <f t="shared" si="1"/>
        <v>1.5</v>
      </c>
      <c r="D6">
        <v>500000</v>
      </c>
      <c r="E6">
        <f t="shared" si="2"/>
        <v>262.5</v>
      </c>
      <c r="F6" s="34">
        <v>3773295</v>
      </c>
      <c r="G6" s="34">
        <v>358223</v>
      </c>
      <c r="H6" s="34">
        <f>F6*CRF+G6</f>
        <v>734139.76931424625</v>
      </c>
      <c r="I6" s="34">
        <f>E6*VOC_Credit*(Cntrl_Eff)</f>
        <v>168052.5</v>
      </c>
      <c r="J6" s="34">
        <f t="shared" si="3"/>
        <v>566087.26931424625</v>
      </c>
      <c r="K6" s="34">
        <f t="shared" si="4"/>
        <v>2156.5229307209379</v>
      </c>
    </row>
    <row r="7" spans="1:11" x14ac:dyDescent="0.3">
      <c r="A7" s="29">
        <v>3</v>
      </c>
      <c r="B7">
        <f t="shared" si="0"/>
        <v>1.2000000000000002</v>
      </c>
      <c r="C7" s="29">
        <f t="shared" si="1"/>
        <v>3</v>
      </c>
      <c r="D7">
        <v>500000</v>
      </c>
      <c r="E7">
        <f t="shared" si="2"/>
        <v>525</v>
      </c>
      <c r="F7" s="34">
        <v>3773295</v>
      </c>
      <c r="G7" s="34">
        <v>358223</v>
      </c>
      <c r="H7" s="34">
        <f>F7*CRF+G7</f>
        <v>734139.76931424625</v>
      </c>
      <c r="I7" s="34">
        <f>E7*VOC_Credit*(Cntrl_Eff)</f>
        <v>336105</v>
      </c>
      <c r="J7" s="34">
        <f t="shared" si="3"/>
        <v>398034.76931424625</v>
      </c>
      <c r="K7" s="34">
        <f t="shared" si="4"/>
        <v>758.16146536046904</v>
      </c>
    </row>
    <row r="9" spans="1:11" x14ac:dyDescent="0.3">
      <c r="F9" s="5" t="s">
        <v>13</v>
      </c>
    </row>
    <row r="10" spans="1:11" ht="28.8" x14ac:dyDescent="0.3">
      <c r="E10" s="30" t="s">
        <v>2</v>
      </c>
      <c r="F10" s="30" t="s">
        <v>7</v>
      </c>
      <c r="G10" s="30" t="s">
        <v>8</v>
      </c>
      <c r="H10" s="30" t="s">
        <v>14</v>
      </c>
      <c r="I10" s="30" t="s">
        <v>12</v>
      </c>
    </row>
    <row r="11" spans="1:11" x14ac:dyDescent="0.3">
      <c r="A11" s="29"/>
      <c r="E11" s="29">
        <v>0.5</v>
      </c>
      <c r="F11" s="34">
        <v>945594</v>
      </c>
      <c r="G11" s="34">
        <v>161309</v>
      </c>
      <c r="H11" s="34">
        <f>F11*CRF+G11</f>
        <v>255514.36734152387</v>
      </c>
      <c r="I11" s="34">
        <f>H11/E4*Cntrl_Eff</f>
        <v>2832.5592722431788</v>
      </c>
      <c r="J11" s="34"/>
      <c r="K11" s="34"/>
    </row>
    <row r="12" spans="1:11" x14ac:dyDescent="0.3">
      <c r="A12" s="29" t="s">
        <v>15</v>
      </c>
      <c r="B12" s="31">
        <v>5.5E-2</v>
      </c>
      <c r="E12" s="29">
        <v>1</v>
      </c>
      <c r="F12" s="34">
        <v>945594</v>
      </c>
      <c r="G12" s="34">
        <v>161309</v>
      </c>
      <c r="H12" s="34">
        <f>F12*CRF+G12</f>
        <v>255514.36734152387</v>
      </c>
      <c r="I12" s="34">
        <f>H12/E5*Cntrl_Eff</f>
        <v>1416.2796361215894</v>
      </c>
      <c r="J12" s="34"/>
      <c r="K12" s="34"/>
    </row>
    <row r="13" spans="1:11" x14ac:dyDescent="0.3">
      <c r="A13" s="29" t="s">
        <v>16</v>
      </c>
      <c r="B13">
        <v>15</v>
      </c>
      <c r="C13" t="s">
        <v>17</v>
      </c>
      <c r="E13" s="29">
        <v>1.5</v>
      </c>
      <c r="F13" s="34">
        <v>945594</v>
      </c>
      <c r="G13" s="34">
        <v>161309</v>
      </c>
      <c r="H13" s="34">
        <f>F13*CRF+G13</f>
        <v>255514.36734152387</v>
      </c>
      <c r="I13" s="34">
        <f>H13/E6*Cntrl_Eff</f>
        <v>944.18642408105961</v>
      </c>
      <c r="J13" s="34"/>
      <c r="K13" s="34"/>
    </row>
    <row r="14" spans="1:11" x14ac:dyDescent="0.3">
      <c r="A14" s="29" t="s">
        <v>18</v>
      </c>
      <c r="B14" s="32">
        <f>(Interest*(1+Interest)^EqLife)/(((1+Interest)^EqLife)-1)</f>
        <v>9.9625597604811239E-2</v>
      </c>
      <c r="E14" s="29">
        <v>3</v>
      </c>
      <c r="F14" s="34">
        <v>945594</v>
      </c>
      <c r="G14" s="34">
        <v>161309</v>
      </c>
      <c r="H14" s="34">
        <f>F14*CRF+G14</f>
        <v>255514.36734152387</v>
      </c>
      <c r="I14" s="34">
        <f>H14/E7*Cntrl_Eff</f>
        <v>472.09321204052981</v>
      </c>
      <c r="J14" s="34"/>
      <c r="K14" s="34"/>
    </row>
    <row r="16" spans="1:11" x14ac:dyDescent="0.3">
      <c r="A16" s="29" t="s">
        <v>19</v>
      </c>
      <c r="B16" s="33">
        <v>660</v>
      </c>
      <c r="C16" t="s">
        <v>20</v>
      </c>
      <c r="F16" s="5" t="s">
        <v>21</v>
      </c>
    </row>
    <row r="17" spans="1:9" ht="28.8" x14ac:dyDescent="0.3">
      <c r="A17" s="29" t="s">
        <v>22</v>
      </c>
      <c r="B17" s="31">
        <v>0.97</v>
      </c>
      <c r="E17" s="30" t="s">
        <v>2</v>
      </c>
      <c r="F17" s="30" t="s">
        <v>7</v>
      </c>
      <c r="G17" s="30" t="s">
        <v>8</v>
      </c>
      <c r="H17" s="30" t="s">
        <v>14</v>
      </c>
      <c r="I17" s="30" t="s">
        <v>12</v>
      </c>
    </row>
    <row r="18" spans="1:9" x14ac:dyDescent="0.3">
      <c r="E18" s="29">
        <v>0.5</v>
      </c>
      <c r="F18" s="34">
        <v>397135</v>
      </c>
      <c r="G18" s="34">
        <v>371992</v>
      </c>
      <c r="H18" s="34">
        <f>F18*CRF+G18</f>
        <v>411556.81170478673</v>
      </c>
      <c r="I18" s="34">
        <f>H18/E4*Cntrl_Eff</f>
        <v>4562.4012268987781</v>
      </c>
    </row>
    <row r="19" spans="1:9" x14ac:dyDescent="0.3">
      <c r="E19" s="29">
        <v>1</v>
      </c>
      <c r="F19" s="34">
        <v>397135</v>
      </c>
      <c r="G19" s="34">
        <v>371992</v>
      </c>
      <c r="H19" s="34">
        <f>F19*CRF+G19</f>
        <v>411556.81170478673</v>
      </c>
      <c r="I19" s="34">
        <f>H19/E5*Cntrl_Eff</f>
        <v>2281.200613449389</v>
      </c>
    </row>
    <row r="20" spans="1:9" x14ac:dyDescent="0.3">
      <c r="E20" s="29">
        <v>1.5</v>
      </c>
      <c r="F20" s="34">
        <v>397135</v>
      </c>
      <c r="G20" s="34">
        <v>371992</v>
      </c>
      <c r="H20" s="34">
        <f>F20*CRF+G20</f>
        <v>411556.81170478673</v>
      </c>
      <c r="I20" s="34">
        <f>H20/E6*Cntrl_Eff</f>
        <v>1520.8004089662595</v>
      </c>
    </row>
    <row r="21" spans="1:9" x14ac:dyDescent="0.3">
      <c r="E21" s="29">
        <v>3</v>
      </c>
      <c r="F21" s="34">
        <v>397135</v>
      </c>
      <c r="G21" s="34">
        <v>371992</v>
      </c>
      <c r="H21" s="34">
        <f>F21*CRF+G21</f>
        <v>411556.81170478673</v>
      </c>
      <c r="I21" s="34">
        <f>H21/E7*Cntrl_Eff</f>
        <v>760.40020448312976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FE09-1BAB-4341-BC2A-E69D3847F38F}">
  <dimension ref="A1:M45"/>
  <sheetViews>
    <sheetView topLeftCell="I1" workbookViewId="0">
      <selection activeCell="K3" sqref="K3"/>
    </sheetView>
  </sheetViews>
  <sheetFormatPr defaultRowHeight="14.4" x14ac:dyDescent="0.3"/>
  <cols>
    <col min="1" max="1" width="63.6640625" customWidth="1"/>
    <col min="2" max="2" width="35" customWidth="1"/>
    <col min="3" max="3" width="19.109375" customWidth="1"/>
    <col min="4" max="4" width="21.5546875" customWidth="1"/>
    <col min="5" max="5" width="18.5546875" customWidth="1"/>
    <col min="6" max="6" width="13.5546875" customWidth="1"/>
    <col min="7" max="7" width="15.6640625" customWidth="1"/>
    <col min="8" max="8" width="15.44140625" customWidth="1"/>
    <col min="9" max="9" width="19.88671875" customWidth="1"/>
    <col min="10" max="10" width="12.6640625" bestFit="1" customWidth="1"/>
    <col min="11" max="11" width="10.6640625" bestFit="1" customWidth="1"/>
    <col min="12" max="12" width="12" bestFit="1" customWidth="1"/>
    <col min="13" max="13" width="11" bestFit="1" customWidth="1"/>
    <col min="14" max="14" width="12.6640625" bestFit="1" customWidth="1"/>
    <col min="15" max="15" width="12" bestFit="1" customWidth="1"/>
    <col min="16" max="16" width="11" bestFit="1" customWidth="1"/>
    <col min="17" max="17" width="12.6640625" bestFit="1" customWidth="1"/>
    <col min="18" max="19" width="12" bestFit="1" customWidth="1"/>
    <col min="20" max="20" width="11" bestFit="1" customWidth="1"/>
    <col min="21" max="21" width="12.6640625" bestFit="1" customWidth="1"/>
    <col min="22" max="22" width="12" bestFit="1" customWidth="1"/>
    <col min="23" max="23" width="11" bestFit="1" customWidth="1"/>
    <col min="24" max="24" width="12.6640625" bestFit="1" customWidth="1"/>
    <col min="25" max="25" width="12" bestFit="1" customWidth="1"/>
    <col min="26" max="27" width="12.6640625" bestFit="1" customWidth="1"/>
  </cols>
  <sheetData>
    <row r="1" spans="1:12" ht="27" x14ac:dyDescent="0.3">
      <c r="A1" s="27" t="s">
        <v>23</v>
      </c>
      <c r="B1" s="38" t="s">
        <v>24</v>
      </c>
      <c r="C1" s="38"/>
      <c r="D1" s="38"/>
      <c r="E1" s="6"/>
      <c r="F1" s="6"/>
      <c r="K1" s="24" t="s">
        <v>25</v>
      </c>
      <c r="L1" s="24" t="s">
        <v>26</v>
      </c>
    </row>
    <row r="2" spans="1:12" ht="27" x14ac:dyDescent="0.3">
      <c r="B2" s="25" t="s">
        <v>27</v>
      </c>
      <c r="C2" s="25" t="s">
        <v>28</v>
      </c>
      <c r="D2" s="25" t="s">
        <v>29</v>
      </c>
      <c r="E2" s="26" t="s">
        <v>30</v>
      </c>
      <c r="F2" s="25" t="s">
        <v>31</v>
      </c>
      <c r="G2" s="24" t="s">
        <v>32</v>
      </c>
      <c r="H2" s="8"/>
      <c r="I2" s="24" t="s">
        <v>33</v>
      </c>
      <c r="K2">
        <v>20</v>
      </c>
      <c r="L2">
        <f>K2*9/5+32+459.67</f>
        <v>527.67000000000007</v>
      </c>
    </row>
    <row r="3" spans="1:12" x14ac:dyDescent="0.3">
      <c r="A3" s="16" t="s">
        <v>34</v>
      </c>
      <c r="B3" s="16">
        <v>8.0630000000000006</v>
      </c>
      <c r="C3" s="16">
        <v>1637.1</v>
      </c>
      <c r="D3" s="16">
        <v>295.47000000000003</v>
      </c>
      <c r="E3" s="16">
        <v>44.05</v>
      </c>
      <c r="F3" s="16">
        <v>6.54</v>
      </c>
      <c r="G3" s="7" t="s">
        <v>35</v>
      </c>
      <c r="I3" t="s">
        <v>36</v>
      </c>
      <c r="K3">
        <f t="shared" ref="K3:K28" si="0">IF(I3=$I$3,(10^(B3-(C3/($K$2+D3)))*(14.696/760)),EXP(B3-C3/($L$2)))</f>
        <v>14.453918716419508</v>
      </c>
      <c r="L3">
        <f>L2-459.67</f>
        <v>68.000000000000057</v>
      </c>
    </row>
    <row r="4" spans="1:12" x14ac:dyDescent="0.3">
      <c r="A4" s="16" t="s">
        <v>37</v>
      </c>
      <c r="B4" s="16">
        <v>7.3</v>
      </c>
      <c r="C4" s="16">
        <v>1312.3</v>
      </c>
      <c r="D4" s="16">
        <v>240.71</v>
      </c>
      <c r="E4" s="16">
        <v>58.08</v>
      </c>
      <c r="F4" s="16">
        <v>6.55</v>
      </c>
      <c r="G4" s="7" t="s">
        <v>35</v>
      </c>
      <c r="I4" t="s">
        <v>36</v>
      </c>
      <c r="K4">
        <f t="shared" si="0"/>
        <v>3.571275508853395</v>
      </c>
    </row>
    <row r="5" spans="1:12" x14ac:dyDescent="0.3">
      <c r="A5" s="14" t="s">
        <v>38</v>
      </c>
      <c r="B5" s="14">
        <v>6.9059999999999997</v>
      </c>
      <c r="C5" s="14">
        <v>1211</v>
      </c>
      <c r="D5" s="14">
        <v>220.79</v>
      </c>
      <c r="E5" s="14">
        <v>78.11</v>
      </c>
      <c r="F5" s="14">
        <v>7.32</v>
      </c>
      <c r="G5" s="7" t="s">
        <v>35</v>
      </c>
      <c r="I5" t="s">
        <v>36</v>
      </c>
      <c r="K5">
        <f t="shared" si="0"/>
        <v>1.4558174694085073</v>
      </c>
    </row>
    <row r="6" spans="1:12" x14ac:dyDescent="0.3">
      <c r="A6" s="16" t="s">
        <v>39</v>
      </c>
      <c r="B6" s="16">
        <v>6.7249999999999996</v>
      </c>
      <c r="C6" s="16">
        <v>909.7</v>
      </c>
      <c r="D6" s="16">
        <v>237</v>
      </c>
      <c r="E6" s="16">
        <v>58.12</v>
      </c>
      <c r="F6" s="16">
        <v>4.78</v>
      </c>
      <c r="G6" s="7" t="s">
        <v>35</v>
      </c>
      <c r="I6" t="s">
        <v>36</v>
      </c>
      <c r="K6">
        <f t="shared" si="0"/>
        <v>29.627624724441532</v>
      </c>
    </row>
    <row r="7" spans="1:12" x14ac:dyDescent="0.3">
      <c r="A7" t="s">
        <v>40</v>
      </c>
      <c r="B7">
        <v>7.0830000000000002</v>
      </c>
      <c r="C7">
        <v>1233.0999999999999</v>
      </c>
      <c r="D7">
        <v>232.2</v>
      </c>
      <c r="E7">
        <v>119.38</v>
      </c>
      <c r="F7">
        <v>12.38</v>
      </c>
      <c r="G7" s="7" t="s">
        <v>35</v>
      </c>
      <c r="I7" t="s">
        <v>36</v>
      </c>
      <c r="K7">
        <f t="shared" si="0"/>
        <v>3.0200354296802501</v>
      </c>
    </row>
    <row r="8" spans="1:12" x14ac:dyDescent="0.3">
      <c r="A8" s="7" t="s">
        <v>41</v>
      </c>
      <c r="B8" s="9">
        <f>12.82-0.9672*LN(5)</f>
        <v>11.263351651093739</v>
      </c>
      <c r="C8" s="21">
        <f>7261-1216*LN(5)</f>
        <v>5303.9234984801342</v>
      </c>
      <c r="E8">
        <v>50</v>
      </c>
      <c r="F8">
        <v>7.1</v>
      </c>
      <c r="G8" s="7" t="s">
        <v>42</v>
      </c>
      <c r="I8" t="s">
        <v>43</v>
      </c>
      <c r="K8">
        <f t="shared" si="0"/>
        <v>3.3593911424240717</v>
      </c>
    </row>
    <row r="9" spans="1:12" x14ac:dyDescent="0.3">
      <c r="A9" s="16" t="s">
        <v>44</v>
      </c>
      <c r="B9" s="23">
        <v>6.8449999999999998</v>
      </c>
      <c r="C9" s="22">
        <v>1203.5</v>
      </c>
      <c r="D9" s="16">
        <v>222.86</v>
      </c>
      <c r="E9" s="16">
        <v>84.16</v>
      </c>
      <c r="F9" s="16">
        <v>6.46</v>
      </c>
      <c r="G9" s="7" t="s">
        <v>35</v>
      </c>
      <c r="I9" t="s">
        <v>36</v>
      </c>
      <c r="K9">
        <f t="shared" si="0"/>
        <v>1.4991863387395719</v>
      </c>
    </row>
    <row r="10" spans="1:12" x14ac:dyDescent="0.3">
      <c r="A10" t="s">
        <v>45</v>
      </c>
      <c r="B10">
        <v>5.7370000000000001</v>
      </c>
      <c r="C10">
        <v>559.1</v>
      </c>
      <c r="D10">
        <v>140.18</v>
      </c>
      <c r="E10">
        <v>73.14</v>
      </c>
      <c r="F10">
        <v>5.89</v>
      </c>
      <c r="G10" s="7" t="s">
        <v>35</v>
      </c>
      <c r="I10" t="s">
        <v>36</v>
      </c>
      <c r="K10">
        <f t="shared" si="0"/>
        <v>3.4114366060343024</v>
      </c>
    </row>
    <row r="11" spans="1:12" x14ac:dyDescent="0.3">
      <c r="A11" t="s">
        <v>46</v>
      </c>
      <c r="B11">
        <v>7.1029999999999998</v>
      </c>
      <c r="C11">
        <v>1245.7</v>
      </c>
      <c r="D11">
        <v>217.96</v>
      </c>
      <c r="E11">
        <v>88.11</v>
      </c>
      <c r="F11">
        <v>7.51</v>
      </c>
      <c r="G11" s="7" t="s">
        <v>35</v>
      </c>
      <c r="I11" t="s">
        <v>36</v>
      </c>
      <c r="K11">
        <f t="shared" si="0"/>
        <v>1.4271582098909725</v>
      </c>
    </row>
    <row r="12" spans="1:12" x14ac:dyDescent="0.3">
      <c r="A12" s="14" t="s">
        <v>47</v>
      </c>
      <c r="B12" s="14">
        <v>8.2469999999999999</v>
      </c>
      <c r="C12" s="14">
        <v>1670.4</v>
      </c>
      <c r="D12" s="14">
        <v>232.96</v>
      </c>
      <c r="E12" s="14">
        <v>46.07</v>
      </c>
      <c r="F12" s="14">
        <v>6.59</v>
      </c>
      <c r="G12" s="7" t="s">
        <v>35</v>
      </c>
      <c r="I12" t="s">
        <v>36</v>
      </c>
      <c r="K12">
        <f t="shared" si="0"/>
        <v>0.851079228542579</v>
      </c>
    </row>
    <row r="13" spans="1:12" x14ac:dyDescent="0.3">
      <c r="A13" s="16" t="s">
        <v>48</v>
      </c>
      <c r="B13" s="16">
        <v>6.95</v>
      </c>
      <c r="C13" s="16">
        <v>1419.3</v>
      </c>
      <c r="D13" s="16">
        <v>212.61</v>
      </c>
      <c r="E13" s="16">
        <v>106.17</v>
      </c>
      <c r="F13" s="16">
        <v>7.24</v>
      </c>
      <c r="G13" s="7" t="s">
        <v>35</v>
      </c>
      <c r="I13" t="s">
        <v>36</v>
      </c>
      <c r="K13">
        <f t="shared" si="0"/>
        <v>0.13638173602848419</v>
      </c>
    </row>
    <row r="14" spans="1:12" x14ac:dyDescent="0.3">
      <c r="A14" s="20" t="s">
        <v>49</v>
      </c>
      <c r="B14" s="19">
        <v>11.833</v>
      </c>
      <c r="C14" s="18">
        <v>5500.6</v>
      </c>
      <c r="D14" s="14"/>
      <c r="E14" s="14">
        <v>68</v>
      </c>
      <c r="F14" s="14">
        <v>5.6</v>
      </c>
      <c r="G14" s="7" t="s">
        <v>42</v>
      </c>
      <c r="I14" t="s">
        <v>50</v>
      </c>
      <c r="K14">
        <f t="shared" si="0"/>
        <v>4.0905595533362451</v>
      </c>
    </row>
    <row r="15" spans="1:12" x14ac:dyDescent="0.3">
      <c r="A15" s="7" t="s">
        <v>51</v>
      </c>
      <c r="B15" s="9">
        <v>11.724</v>
      </c>
      <c r="C15" s="21">
        <v>5237.3</v>
      </c>
      <c r="E15">
        <v>66</v>
      </c>
      <c r="F15">
        <v>5.6</v>
      </c>
      <c r="G15" s="7" t="s">
        <v>42</v>
      </c>
      <c r="I15" t="s">
        <v>50</v>
      </c>
      <c r="K15">
        <f t="shared" si="0"/>
        <v>6.0415939705885515</v>
      </c>
    </row>
    <row r="16" spans="1:12" x14ac:dyDescent="0.3">
      <c r="A16" s="20" t="s">
        <v>52</v>
      </c>
      <c r="B16" s="19">
        <v>11.644</v>
      </c>
      <c r="C16" s="18">
        <v>5043.6000000000004</v>
      </c>
      <c r="D16" s="14"/>
      <c r="E16" s="14">
        <v>62</v>
      </c>
      <c r="F16" s="14">
        <v>5.6</v>
      </c>
      <c r="G16" s="7" t="s">
        <v>42</v>
      </c>
      <c r="I16" t="s">
        <v>50</v>
      </c>
      <c r="K16">
        <f t="shared" si="0"/>
        <v>8.0506543076646988</v>
      </c>
    </row>
    <row r="17" spans="1:13" x14ac:dyDescent="0.3">
      <c r="A17" s="14" t="s">
        <v>53</v>
      </c>
      <c r="B17" s="14">
        <v>6.9029999999999996</v>
      </c>
      <c r="C17" s="14">
        <v>1268.5999999999999</v>
      </c>
      <c r="D17" s="14">
        <v>216.95</v>
      </c>
      <c r="E17" s="14">
        <v>100.2</v>
      </c>
      <c r="F17" s="14">
        <v>5.71</v>
      </c>
      <c r="G17" s="7" t="s">
        <v>35</v>
      </c>
      <c r="I17" t="s">
        <v>36</v>
      </c>
      <c r="K17" s="17">
        <f t="shared" si="0"/>
        <v>0.68472065071709942</v>
      </c>
    </row>
    <row r="18" spans="1:13" x14ac:dyDescent="0.3">
      <c r="A18" s="14" t="s">
        <v>54</v>
      </c>
      <c r="B18" s="14">
        <v>6.8780000000000001</v>
      </c>
      <c r="C18" s="14">
        <v>1171.5</v>
      </c>
      <c r="D18" s="14">
        <v>224.37</v>
      </c>
      <c r="E18" s="14">
        <v>86.18</v>
      </c>
      <c r="F18" s="14">
        <v>5.47</v>
      </c>
      <c r="G18" s="16" t="s">
        <v>35</v>
      </c>
      <c r="I18" t="s">
        <v>36</v>
      </c>
      <c r="K18">
        <f t="shared" si="0"/>
        <v>2.3465270895147698</v>
      </c>
    </row>
    <row r="19" spans="1:13" x14ac:dyDescent="0.3">
      <c r="A19" s="14" t="s">
        <v>55</v>
      </c>
      <c r="B19" s="14">
        <v>6.79</v>
      </c>
      <c r="C19" s="14">
        <v>1020</v>
      </c>
      <c r="D19" s="14">
        <v>233.1</v>
      </c>
      <c r="E19" s="14">
        <v>72.150000000000006</v>
      </c>
      <c r="F19" s="14">
        <v>5.18</v>
      </c>
      <c r="G19" s="7" t="s">
        <v>35</v>
      </c>
      <c r="I19" t="s">
        <v>36</v>
      </c>
      <c r="K19">
        <f t="shared" si="0"/>
        <v>11.126482622145909</v>
      </c>
    </row>
    <row r="20" spans="1:13" x14ac:dyDescent="0.3">
      <c r="A20" s="16" t="s">
        <v>56</v>
      </c>
      <c r="B20" s="16">
        <v>6.9989999999999997</v>
      </c>
      <c r="C20" s="16">
        <v>1353.6</v>
      </c>
      <c r="D20" s="16">
        <v>238.03</v>
      </c>
      <c r="E20" s="16">
        <v>67.09</v>
      </c>
      <c r="F20" s="16">
        <v>6.68</v>
      </c>
      <c r="G20" s="7" t="s">
        <v>35</v>
      </c>
      <c r="I20" t="s">
        <v>36</v>
      </c>
      <c r="K20">
        <f t="shared" si="0"/>
        <v>1.0951759841028121</v>
      </c>
    </row>
    <row r="21" spans="1:13" x14ac:dyDescent="0.3">
      <c r="A21" s="14" t="s">
        <v>57</v>
      </c>
      <c r="B21" s="14">
        <v>6.8280000000000003</v>
      </c>
      <c r="C21" s="14">
        <v>1254.0999999999999</v>
      </c>
      <c r="D21" s="14">
        <v>201.61</v>
      </c>
      <c r="E21" s="14">
        <v>100.16</v>
      </c>
      <c r="F21" s="14">
        <v>6.65</v>
      </c>
      <c r="G21" s="7" t="s">
        <v>35</v>
      </c>
      <c r="I21" t="s">
        <v>36</v>
      </c>
      <c r="K21">
        <f t="shared" si="0"/>
        <v>0.28532832966507277</v>
      </c>
    </row>
    <row r="22" spans="1:13" x14ac:dyDescent="0.3">
      <c r="A22" t="s">
        <v>58</v>
      </c>
      <c r="B22">
        <v>7.4119999999999999</v>
      </c>
      <c r="C22">
        <v>1327</v>
      </c>
      <c r="D22">
        <v>252.68</v>
      </c>
      <c r="E22">
        <v>84.93</v>
      </c>
      <c r="F22">
        <v>11.07</v>
      </c>
      <c r="G22" s="7" t="s">
        <v>35</v>
      </c>
      <c r="I22" t="s">
        <v>36</v>
      </c>
      <c r="K22">
        <f t="shared" si="0"/>
        <v>6.7900872669430443</v>
      </c>
    </row>
    <row r="23" spans="1:13" x14ac:dyDescent="0.3">
      <c r="A23" s="16" t="s">
        <v>59</v>
      </c>
      <c r="B23" s="16">
        <v>6.8639999999999999</v>
      </c>
      <c r="C23" s="16">
        <v>1070.5999999999999</v>
      </c>
      <c r="D23" s="16">
        <v>232.7</v>
      </c>
      <c r="E23" s="16">
        <v>72.150000000000006</v>
      </c>
      <c r="F23" s="16">
        <v>5.23</v>
      </c>
      <c r="G23" s="15" t="s">
        <v>35</v>
      </c>
      <c r="I23" t="s">
        <v>36</v>
      </c>
      <c r="K23">
        <f t="shared" si="0"/>
        <v>8.1986304052542298</v>
      </c>
    </row>
    <row r="24" spans="1:13" x14ac:dyDescent="0.3">
      <c r="A24" t="s">
        <v>60</v>
      </c>
      <c r="B24">
        <v>7.0170000000000003</v>
      </c>
      <c r="C24">
        <v>1377.6</v>
      </c>
      <c r="D24">
        <v>222.64</v>
      </c>
      <c r="E24">
        <v>92.14</v>
      </c>
      <c r="F24">
        <v>7.24</v>
      </c>
      <c r="G24" s="7" t="s">
        <v>35</v>
      </c>
      <c r="I24" t="s">
        <v>36</v>
      </c>
      <c r="K24">
        <f t="shared" si="0"/>
        <v>0.42251153276030806</v>
      </c>
    </row>
    <row r="25" spans="1:13" x14ac:dyDescent="0.3">
      <c r="A25" t="s">
        <v>61</v>
      </c>
      <c r="B25">
        <v>8.7609999999999992</v>
      </c>
      <c r="C25">
        <v>2210.1999999999998</v>
      </c>
      <c r="D25">
        <v>308.05</v>
      </c>
      <c r="E25">
        <v>133.4</v>
      </c>
      <c r="F25">
        <v>11.18</v>
      </c>
      <c r="G25" s="7" t="s">
        <v>35</v>
      </c>
      <c r="I25" t="s">
        <v>36</v>
      </c>
      <c r="K25">
        <f t="shared" si="0"/>
        <v>2.0417283431001576</v>
      </c>
    </row>
    <row r="26" spans="1:13" x14ac:dyDescent="0.3">
      <c r="A26" t="s">
        <v>62</v>
      </c>
      <c r="B26">
        <v>6.4290000000000003</v>
      </c>
      <c r="C26">
        <v>974.5</v>
      </c>
      <c r="D26">
        <v>187.34</v>
      </c>
      <c r="E26">
        <v>131.38999999999999</v>
      </c>
      <c r="F26">
        <v>12.22</v>
      </c>
      <c r="G26" s="7" t="s">
        <v>35</v>
      </c>
      <c r="I26" t="s">
        <v>36</v>
      </c>
      <c r="K26">
        <f t="shared" si="0"/>
        <v>1.0360385252716744</v>
      </c>
    </row>
    <row r="27" spans="1:13" x14ac:dyDescent="0.3">
      <c r="A27" t="s">
        <v>63</v>
      </c>
      <c r="B27">
        <v>7.2149999999999999</v>
      </c>
      <c r="C27">
        <v>1299.0999999999999</v>
      </c>
      <c r="D27">
        <v>226.97</v>
      </c>
      <c r="E27">
        <v>86.09</v>
      </c>
      <c r="F27">
        <v>7.78</v>
      </c>
      <c r="G27" s="7" t="s">
        <v>35</v>
      </c>
      <c r="I27" t="s">
        <v>36</v>
      </c>
      <c r="K27">
        <f t="shared" si="0"/>
        <v>1.7427395850574172</v>
      </c>
    </row>
    <row r="28" spans="1:13" x14ac:dyDescent="0.3">
      <c r="A28" s="14" t="s">
        <v>64</v>
      </c>
      <c r="B28" s="14">
        <v>6.9989999999999997</v>
      </c>
      <c r="C28" s="14">
        <v>1474.7</v>
      </c>
      <c r="D28" s="14">
        <v>213.69</v>
      </c>
      <c r="E28" s="14">
        <v>106.17</v>
      </c>
      <c r="F28" s="14">
        <v>7.35</v>
      </c>
      <c r="G28" s="7" t="s">
        <v>35</v>
      </c>
      <c r="I28" t="s">
        <v>36</v>
      </c>
      <c r="K28">
        <f t="shared" si="0"/>
        <v>9.4381905027368179E-2</v>
      </c>
    </row>
    <row r="29" spans="1:13" x14ac:dyDescent="0.3">
      <c r="A29" s="13"/>
      <c r="B29" s="12"/>
      <c r="C29" s="11"/>
      <c r="D29" s="11"/>
      <c r="E29" s="10"/>
      <c r="F29" s="10"/>
      <c r="G29" s="10"/>
      <c r="H29" s="10"/>
      <c r="I29" s="10"/>
      <c r="J29" s="10"/>
      <c r="K29" s="9"/>
      <c r="L29" s="9"/>
      <c r="M29" s="9"/>
    </row>
    <row r="45" spans="1:2" x14ac:dyDescent="0.3">
      <c r="A45" t="s">
        <v>65</v>
      </c>
      <c r="B45" t="s">
        <v>66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4886-A1C2-43F2-B83A-DB00995D57EE}">
  <dimension ref="A1:S20"/>
  <sheetViews>
    <sheetView workbookViewId="0">
      <selection activeCell="H6" sqref="H6"/>
    </sheetView>
  </sheetViews>
  <sheetFormatPr defaultRowHeight="14.4" x14ac:dyDescent="0.3"/>
  <cols>
    <col min="1" max="1" width="18.88671875" bestFit="1" customWidth="1"/>
    <col min="2" max="3" width="10.88671875" bestFit="1" customWidth="1"/>
    <col min="5" max="5" width="9.88671875" bestFit="1" customWidth="1"/>
    <col min="6" max="6" width="12.33203125" bestFit="1" customWidth="1"/>
    <col min="8" max="9" width="11.109375" bestFit="1" customWidth="1"/>
    <col min="10" max="10" width="10.88671875" bestFit="1" customWidth="1"/>
    <col min="13" max="13" width="19.33203125" bestFit="1" customWidth="1"/>
    <col min="14" max="15" width="11.109375" bestFit="1" customWidth="1"/>
  </cols>
  <sheetData>
    <row r="1" spans="1:19" ht="57.6" x14ac:dyDescent="0.3">
      <c r="A1" s="1" t="s">
        <v>67</v>
      </c>
      <c r="B1" s="2" t="s">
        <v>68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4"/>
      <c r="K1" s="4"/>
      <c r="L1" s="4"/>
      <c r="M1" s="4"/>
      <c r="N1" s="4"/>
      <c r="O1" s="4"/>
      <c r="P1" s="4"/>
      <c r="Q1" s="4"/>
    </row>
    <row r="2" spans="1:19" x14ac:dyDescent="0.3">
      <c r="A2" s="1"/>
      <c r="B2" s="3" t="s">
        <v>75</v>
      </c>
      <c r="C2" s="3" t="s">
        <v>76</v>
      </c>
      <c r="D2" s="3" t="s">
        <v>77</v>
      </c>
      <c r="E2" s="3" t="s">
        <v>78</v>
      </c>
      <c r="F2" s="3" t="s">
        <v>79</v>
      </c>
      <c r="G2" s="3" t="s">
        <v>80</v>
      </c>
      <c r="H2" s="3" t="s">
        <v>81</v>
      </c>
      <c r="I2" s="3" t="s">
        <v>81</v>
      </c>
      <c r="J2" s="4"/>
      <c r="K2" s="4"/>
      <c r="L2" s="4"/>
      <c r="M2" s="4"/>
      <c r="N2" s="4"/>
      <c r="O2" s="4"/>
      <c r="P2" s="4"/>
      <c r="Q2" s="4"/>
    </row>
    <row r="3" spans="1:19" x14ac:dyDescent="0.3">
      <c r="A3" s="16" t="s">
        <v>37</v>
      </c>
      <c r="B3" s="4">
        <v>0.2</v>
      </c>
      <c r="C3" s="4">
        <v>0.5</v>
      </c>
      <c r="D3" s="4">
        <f t="shared" ref="D3:D20" si="0">VLOOKUP($A3,DataProp,11,FALSE)</f>
        <v>3.571275508853395</v>
      </c>
      <c r="E3" s="4">
        <f t="shared" ref="E3:E20" si="1">VLOOKUP($A3,DataProp,5,FALSE)</f>
        <v>58.08</v>
      </c>
      <c r="F3" s="4">
        <f>'Pvap Calcs'!$L$2</f>
        <v>527.67000000000007</v>
      </c>
      <c r="G3" s="4">
        <f t="shared" ref="G3:G20" si="2">VLOOKUP($A3,DataProp,6,FALSE)</f>
        <v>6.55</v>
      </c>
      <c r="H3" s="28">
        <f>12.46*B3*$D3*$E3/$F3</f>
        <v>0.97957027390808515</v>
      </c>
      <c r="I3" s="28">
        <f t="shared" ref="I3:I7" si="3">12.46*C3*$D3*$E3/$F3</f>
        <v>2.4489256847702126</v>
      </c>
      <c r="J3" s="4"/>
      <c r="K3" s="4"/>
      <c r="L3" s="4"/>
      <c r="M3" s="4"/>
      <c r="N3" s="4"/>
      <c r="O3" s="4"/>
      <c r="P3" s="4"/>
      <c r="Q3" s="4"/>
    </row>
    <row r="4" spans="1:19" x14ac:dyDescent="0.3">
      <c r="A4" s="14" t="s">
        <v>38</v>
      </c>
      <c r="B4" s="4">
        <v>0.2</v>
      </c>
      <c r="C4" s="4">
        <v>0.5</v>
      </c>
      <c r="D4" s="4">
        <f t="shared" si="0"/>
        <v>1.4558174694085073</v>
      </c>
      <c r="E4" s="4">
        <f t="shared" si="1"/>
        <v>78.11</v>
      </c>
      <c r="F4" s="4">
        <f>'Pvap Calcs'!$L$2</f>
        <v>527.67000000000007</v>
      </c>
      <c r="G4" s="4">
        <f t="shared" si="2"/>
        <v>7.32</v>
      </c>
      <c r="H4" s="28">
        <f t="shared" ref="H4:H7" si="4">12.46*B4*$D4*$E4/$F4</f>
        <v>0.53703080546262294</v>
      </c>
      <c r="I4" s="28">
        <f t="shared" si="3"/>
        <v>1.3425770136565573</v>
      </c>
      <c r="J4" s="4"/>
      <c r="K4" s="4"/>
      <c r="L4" s="4"/>
      <c r="M4" s="4"/>
      <c r="N4" s="4"/>
      <c r="O4" s="4"/>
      <c r="P4" s="4"/>
      <c r="Q4" s="4"/>
    </row>
    <row r="5" spans="1:19" x14ac:dyDescent="0.3">
      <c r="A5" t="s">
        <v>40</v>
      </c>
      <c r="B5" s="4">
        <v>0.2</v>
      </c>
      <c r="C5" s="4">
        <v>0.5</v>
      </c>
      <c r="D5" s="4">
        <f t="shared" si="0"/>
        <v>3.0200354296802501</v>
      </c>
      <c r="E5" s="4">
        <f t="shared" si="1"/>
        <v>119.38</v>
      </c>
      <c r="F5" s="4">
        <f>'Pvap Calcs'!$L$2</f>
        <v>527.67000000000007</v>
      </c>
      <c r="G5" s="4">
        <f t="shared" si="2"/>
        <v>12.38</v>
      </c>
      <c r="H5" s="28">
        <f t="shared" si="4"/>
        <v>1.7026651493382394</v>
      </c>
      <c r="I5" s="28">
        <f t="shared" si="3"/>
        <v>4.2566628733455989</v>
      </c>
      <c r="J5" s="4"/>
      <c r="K5" s="4"/>
      <c r="L5" s="4"/>
      <c r="M5" s="4"/>
      <c r="N5" s="4"/>
      <c r="O5" s="4"/>
      <c r="R5" s="4"/>
      <c r="S5" s="4"/>
    </row>
    <row r="6" spans="1:19" x14ac:dyDescent="0.3">
      <c r="A6" s="16" t="s">
        <v>44</v>
      </c>
      <c r="B6" s="4">
        <v>0.2</v>
      </c>
      <c r="C6" s="4">
        <v>0.5</v>
      </c>
      <c r="D6" s="4">
        <f t="shared" si="0"/>
        <v>1.4991863387395719</v>
      </c>
      <c r="E6" s="4">
        <f t="shared" si="1"/>
        <v>84.16</v>
      </c>
      <c r="F6" s="4">
        <f>'Pvap Calcs'!$L$2</f>
        <v>527.67000000000007</v>
      </c>
      <c r="G6" s="4">
        <f t="shared" si="2"/>
        <v>6.46</v>
      </c>
      <c r="H6" s="28">
        <f t="shared" si="4"/>
        <v>0.59586376616570835</v>
      </c>
      <c r="I6" s="28">
        <f t="shared" si="3"/>
        <v>1.4896594154142708</v>
      </c>
      <c r="J6" s="4"/>
      <c r="K6" s="4"/>
      <c r="L6" s="4"/>
      <c r="M6" s="4"/>
      <c r="N6" s="4"/>
      <c r="O6" s="4"/>
      <c r="R6" s="4"/>
      <c r="S6" s="4"/>
    </row>
    <row r="7" spans="1:19" x14ac:dyDescent="0.3">
      <c r="A7" t="s">
        <v>45</v>
      </c>
      <c r="B7" s="4">
        <v>0.2</v>
      </c>
      <c r="C7" s="4">
        <v>0.5</v>
      </c>
      <c r="D7" s="4">
        <f t="shared" si="0"/>
        <v>3.4114366060343024</v>
      </c>
      <c r="E7" s="4">
        <f t="shared" si="1"/>
        <v>73.14</v>
      </c>
      <c r="F7" s="4">
        <f>'Pvap Calcs'!$L$2</f>
        <v>527.67000000000007</v>
      </c>
      <c r="G7" s="4">
        <f t="shared" si="2"/>
        <v>5.89</v>
      </c>
      <c r="H7" s="28">
        <f t="shared" si="4"/>
        <v>1.1783597392810838</v>
      </c>
      <c r="I7" s="28">
        <f t="shared" si="3"/>
        <v>2.9458993482027092</v>
      </c>
      <c r="J7" s="4"/>
      <c r="K7" s="4"/>
      <c r="L7" s="4"/>
      <c r="M7" s="4"/>
      <c r="N7" s="4"/>
      <c r="O7" s="4"/>
      <c r="R7" s="4"/>
      <c r="S7" s="4"/>
    </row>
    <row r="8" spans="1:19" x14ac:dyDescent="0.3">
      <c r="A8" t="s">
        <v>46</v>
      </c>
      <c r="B8" s="4">
        <v>0.2</v>
      </c>
      <c r="C8" s="4">
        <v>0.5</v>
      </c>
      <c r="D8" s="4">
        <f t="shared" si="0"/>
        <v>1.4271582098909725</v>
      </c>
      <c r="E8" s="4">
        <f t="shared" si="1"/>
        <v>88.11</v>
      </c>
      <c r="F8" s="4">
        <f>'Pvap Calcs'!$L$2</f>
        <v>527.67000000000007</v>
      </c>
      <c r="G8" s="4">
        <f t="shared" si="2"/>
        <v>7.51</v>
      </c>
      <c r="H8" s="28">
        <f t="shared" ref="H8:H20" si="5">12.46*B8*$D8*$E8/$F8</f>
        <v>0.59385847102307499</v>
      </c>
      <c r="I8" s="28">
        <f t="shared" ref="I8:I20" si="6">12.46*C8*$D8*$E8/$F8</f>
        <v>1.4846461775576878</v>
      </c>
      <c r="J8" s="4"/>
      <c r="K8" s="4"/>
      <c r="L8" s="4"/>
      <c r="M8" s="4"/>
      <c r="N8" s="4"/>
      <c r="O8" s="4"/>
      <c r="P8" s="4"/>
      <c r="Q8" s="4"/>
    </row>
    <row r="9" spans="1:19" x14ac:dyDescent="0.3">
      <c r="A9" s="14" t="s">
        <v>47</v>
      </c>
      <c r="B9" s="4">
        <v>0.2</v>
      </c>
      <c r="C9" s="4">
        <v>0.5</v>
      </c>
      <c r="D9" s="4">
        <f t="shared" si="0"/>
        <v>0.851079228542579</v>
      </c>
      <c r="E9" s="4">
        <f t="shared" si="1"/>
        <v>46.07</v>
      </c>
      <c r="F9" s="4">
        <f>'Pvap Calcs'!$L$2</f>
        <v>527.67000000000007</v>
      </c>
      <c r="G9" s="4">
        <f t="shared" si="2"/>
        <v>6.59</v>
      </c>
      <c r="H9" s="28">
        <f t="shared" si="5"/>
        <v>0.18517136920219054</v>
      </c>
      <c r="I9" s="28">
        <f t="shared" si="6"/>
        <v>0.46292842300547626</v>
      </c>
      <c r="J9" s="4"/>
      <c r="K9" s="4"/>
      <c r="L9" s="4"/>
      <c r="M9" s="4"/>
      <c r="N9" s="4"/>
      <c r="O9" s="4"/>
      <c r="P9" s="4"/>
      <c r="Q9" s="4"/>
    </row>
    <row r="10" spans="1:19" x14ac:dyDescent="0.3">
      <c r="A10" s="16" t="s">
        <v>48</v>
      </c>
      <c r="B10" s="4">
        <v>0.2</v>
      </c>
      <c r="C10" s="4">
        <v>0.5</v>
      </c>
      <c r="D10" s="4">
        <f t="shared" si="0"/>
        <v>0.13638173602848419</v>
      </c>
      <c r="E10" s="4">
        <f t="shared" si="1"/>
        <v>106.17</v>
      </c>
      <c r="F10" s="4">
        <f>'Pvap Calcs'!$L$2</f>
        <v>527.67000000000007</v>
      </c>
      <c r="G10" s="4">
        <f t="shared" si="2"/>
        <v>7.24</v>
      </c>
      <c r="H10" s="28">
        <f t="shared" si="5"/>
        <v>6.8382294036134827E-2</v>
      </c>
      <c r="I10" s="28">
        <f t="shared" si="6"/>
        <v>0.17095573509033707</v>
      </c>
    </row>
    <row r="11" spans="1:19" x14ac:dyDescent="0.3">
      <c r="A11" s="14" t="s">
        <v>53</v>
      </c>
      <c r="B11" s="4">
        <v>0.2</v>
      </c>
      <c r="C11" s="4">
        <v>0.5</v>
      </c>
      <c r="D11" s="4">
        <f t="shared" si="0"/>
        <v>0.68472065071709942</v>
      </c>
      <c r="E11" s="4">
        <f t="shared" si="1"/>
        <v>100.2</v>
      </c>
      <c r="F11" s="4">
        <f>'Pvap Calcs'!$L$2</f>
        <v>527.67000000000007</v>
      </c>
      <c r="G11" s="4">
        <f t="shared" si="2"/>
        <v>5.71</v>
      </c>
      <c r="H11" s="28">
        <f t="shared" si="5"/>
        <v>0.32401624297575865</v>
      </c>
      <c r="I11" s="28">
        <f t="shared" si="6"/>
        <v>0.81004060743939665</v>
      </c>
    </row>
    <row r="12" spans="1:19" x14ac:dyDescent="0.3">
      <c r="A12" s="14" t="s">
        <v>54</v>
      </c>
      <c r="B12" s="4">
        <v>0.2</v>
      </c>
      <c r="C12" s="4">
        <v>0.5</v>
      </c>
      <c r="D12" s="4">
        <f t="shared" si="0"/>
        <v>2.3465270895147698</v>
      </c>
      <c r="E12" s="4">
        <f t="shared" si="1"/>
        <v>86.18</v>
      </c>
      <c r="F12" s="4">
        <f>'Pvap Calcs'!$L$2</f>
        <v>527.67000000000007</v>
      </c>
      <c r="G12" s="4">
        <f t="shared" si="2"/>
        <v>5.47</v>
      </c>
      <c r="H12" s="28">
        <f t="shared" si="5"/>
        <v>0.95503150036834039</v>
      </c>
      <c r="I12" s="28">
        <f t="shared" si="6"/>
        <v>2.3875787509208508</v>
      </c>
    </row>
    <row r="13" spans="1:19" x14ac:dyDescent="0.3">
      <c r="A13" s="16" t="s">
        <v>56</v>
      </c>
      <c r="B13" s="4">
        <v>0.2</v>
      </c>
      <c r="C13" s="4">
        <v>0.5</v>
      </c>
      <c r="D13" s="4">
        <f t="shared" si="0"/>
        <v>1.0951759841028121</v>
      </c>
      <c r="E13" s="4">
        <f t="shared" si="1"/>
        <v>67.09</v>
      </c>
      <c r="F13" s="4">
        <f>'Pvap Calcs'!$L$2</f>
        <v>527.67000000000007</v>
      </c>
      <c r="G13" s="4">
        <f t="shared" si="2"/>
        <v>6.68</v>
      </c>
      <c r="H13" s="28">
        <f t="shared" si="5"/>
        <v>0.3469982926439944</v>
      </c>
      <c r="I13" s="28">
        <f t="shared" si="6"/>
        <v>0.86749573160998583</v>
      </c>
    </row>
    <row r="14" spans="1:19" x14ac:dyDescent="0.3">
      <c r="A14" s="14" t="s">
        <v>57</v>
      </c>
      <c r="B14" s="4">
        <v>0.2</v>
      </c>
      <c r="C14" s="4">
        <v>0.5</v>
      </c>
      <c r="D14" s="4">
        <f t="shared" si="0"/>
        <v>0.28532832966507277</v>
      </c>
      <c r="E14" s="4">
        <f t="shared" si="1"/>
        <v>100.16</v>
      </c>
      <c r="F14" s="4">
        <f>'Pvap Calcs'!$L$2</f>
        <v>527.67000000000007</v>
      </c>
      <c r="G14" s="4">
        <f t="shared" si="2"/>
        <v>6.65</v>
      </c>
      <c r="H14" s="28">
        <f t="shared" si="5"/>
        <v>0.13496614525013775</v>
      </c>
      <c r="I14" s="28">
        <f t="shared" si="6"/>
        <v>0.33741536312534437</v>
      </c>
    </row>
    <row r="15" spans="1:19" x14ac:dyDescent="0.3">
      <c r="A15" t="s">
        <v>58</v>
      </c>
      <c r="B15" s="4">
        <v>0.2</v>
      </c>
      <c r="C15" s="4">
        <v>0.5</v>
      </c>
      <c r="D15" s="4">
        <f t="shared" si="0"/>
        <v>6.7900872669430443</v>
      </c>
      <c r="E15" s="4">
        <f t="shared" si="1"/>
        <v>84.93</v>
      </c>
      <c r="F15" s="4">
        <f>'Pvap Calcs'!$L$2</f>
        <v>527.67000000000007</v>
      </c>
      <c r="G15" s="4">
        <f t="shared" si="2"/>
        <v>11.07</v>
      </c>
      <c r="H15" s="28">
        <f t="shared" si="5"/>
        <v>2.7234669813728849</v>
      </c>
      <c r="I15" s="28">
        <f t="shared" si="6"/>
        <v>6.8086674534322116</v>
      </c>
    </row>
    <row r="16" spans="1:19" x14ac:dyDescent="0.3">
      <c r="A16" t="s">
        <v>60</v>
      </c>
      <c r="B16" s="4">
        <v>0.2</v>
      </c>
      <c r="C16" s="4">
        <v>0.5</v>
      </c>
      <c r="D16" s="4">
        <f t="shared" si="0"/>
        <v>0.42251153276030806</v>
      </c>
      <c r="E16" s="4">
        <f t="shared" si="1"/>
        <v>92.14</v>
      </c>
      <c r="F16" s="4">
        <f>'Pvap Calcs'!$L$2</f>
        <v>527.67000000000007</v>
      </c>
      <c r="G16" s="4">
        <f t="shared" si="2"/>
        <v>7.24</v>
      </c>
      <c r="H16" s="28">
        <f t="shared" si="5"/>
        <v>0.18385371514451967</v>
      </c>
      <c r="I16" s="28">
        <f t="shared" si="6"/>
        <v>0.45963428786129912</v>
      </c>
    </row>
    <row r="17" spans="1:9" x14ac:dyDescent="0.3">
      <c r="A17" t="s">
        <v>61</v>
      </c>
      <c r="B17" s="4">
        <v>0.2</v>
      </c>
      <c r="C17" s="4">
        <v>0.5</v>
      </c>
      <c r="D17" s="4">
        <f t="shared" si="0"/>
        <v>2.0417283431001576</v>
      </c>
      <c r="E17" s="4">
        <f t="shared" si="1"/>
        <v>133.4</v>
      </c>
      <c r="F17" s="4">
        <f>'Pvap Calcs'!$L$2</f>
        <v>527.67000000000007</v>
      </c>
      <c r="G17" s="4">
        <f t="shared" si="2"/>
        <v>11.18</v>
      </c>
      <c r="H17" s="28">
        <f t="shared" si="5"/>
        <v>1.2862915646827489</v>
      </c>
      <c r="I17" s="28">
        <f t="shared" si="6"/>
        <v>3.2157289117068717</v>
      </c>
    </row>
    <row r="18" spans="1:9" x14ac:dyDescent="0.3">
      <c r="A18" t="s">
        <v>62</v>
      </c>
      <c r="B18" s="4">
        <v>0.2</v>
      </c>
      <c r="C18" s="4">
        <v>0.5</v>
      </c>
      <c r="D18" s="4">
        <f t="shared" si="0"/>
        <v>1.0360385252716744</v>
      </c>
      <c r="E18" s="4">
        <f t="shared" si="1"/>
        <v>131.38999999999999</v>
      </c>
      <c r="F18" s="4">
        <f>'Pvap Calcs'!$L$2</f>
        <v>527.67000000000007</v>
      </c>
      <c r="G18" s="4">
        <f t="shared" si="2"/>
        <v>12.22</v>
      </c>
      <c r="H18" s="28">
        <f t="shared" si="5"/>
        <v>0.64287102502308202</v>
      </c>
      <c r="I18" s="28">
        <f t="shared" si="6"/>
        <v>1.6071775625577047</v>
      </c>
    </row>
    <row r="19" spans="1:9" x14ac:dyDescent="0.3">
      <c r="A19" t="s">
        <v>63</v>
      </c>
      <c r="B19" s="4">
        <v>0.2</v>
      </c>
      <c r="C19" s="4">
        <v>0.5</v>
      </c>
      <c r="D19" s="4">
        <f t="shared" si="0"/>
        <v>1.7427395850574172</v>
      </c>
      <c r="E19" s="4">
        <f t="shared" si="1"/>
        <v>86.09</v>
      </c>
      <c r="F19" s="4">
        <f>'Pvap Calcs'!$L$2</f>
        <v>527.67000000000007</v>
      </c>
      <c r="G19" s="4">
        <f t="shared" si="2"/>
        <v>7.78</v>
      </c>
      <c r="H19" s="28">
        <f t="shared" si="5"/>
        <v>0.70855054785559513</v>
      </c>
      <c r="I19" s="28">
        <f t="shared" si="6"/>
        <v>1.7713763696389879</v>
      </c>
    </row>
    <row r="20" spans="1:9" x14ac:dyDescent="0.3">
      <c r="A20" s="14" t="s">
        <v>64</v>
      </c>
      <c r="B20" s="4">
        <v>0.2</v>
      </c>
      <c r="C20" s="4">
        <v>0.5</v>
      </c>
      <c r="D20" s="4">
        <f t="shared" si="0"/>
        <v>9.4381905027368179E-2</v>
      </c>
      <c r="E20" s="4">
        <f t="shared" si="1"/>
        <v>106.17</v>
      </c>
      <c r="F20" s="4">
        <f>'Pvap Calcs'!$L$2</f>
        <v>527.67000000000007</v>
      </c>
      <c r="G20" s="4">
        <f t="shared" si="2"/>
        <v>7.35</v>
      </c>
      <c r="H20" s="28">
        <f t="shared" si="5"/>
        <v>4.7323427382711079E-2</v>
      </c>
      <c r="I20" s="28">
        <f t="shared" si="6"/>
        <v>0.11830856845677767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0271-19B1-4FD6-B0A9-4A2BC2AA674F}">
  <dimension ref="A1"/>
  <sheetViews>
    <sheetView topLeftCell="A51" workbookViewId="0">
      <selection activeCell="W15" sqref="W15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CEB5CD14E544C890619B1F504DD44" ma:contentTypeVersion="12" ma:contentTypeDescription="Create a new document." ma:contentTypeScope="" ma:versionID="7885eb2a9d71f4f3de64996143593645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bd6563f2-84fd-49bb-ba49-e16e67e66c70" xmlns:ns6="88ca8544-bb20-4614-9b73-bf8401c81147" targetNamespace="http://schemas.microsoft.com/office/2006/metadata/properties" ma:root="true" ma:fieldsID="ec2196ef3727cc2b6ab09906bcc1f931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bd6563f2-84fd-49bb-ba49-e16e67e66c70"/>
    <xsd:import namespace="88ca8544-bb20-4614-9b73-bf8401c81147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MediaServiceSearchProperties" minOccurs="0"/>
                <xsd:element ref="ns5:MediaServiceDateTaken" minOccurs="0"/>
                <xsd:element ref="ns5:MediaServiceGenerationTime" minOccurs="0"/>
                <xsd:element ref="ns5:MediaServiceEventHashCode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2416a9ae-61a2-4525-842e-f75ab01c9399}" ma:internalName="TaxCatchAllLabel" ma:readOnly="true" ma:showField="CatchAllDataLabel" ma:web="88ca8544-bb20-4614-9b73-bf8401c81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2416a9ae-61a2-4525-842e-f75ab01c9399}" ma:internalName="TaxCatchAll" ma:showField="CatchAllData" ma:web="88ca8544-bb20-4614-9b73-bf8401c81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563f2-84fd-49bb-ba49-e16e67e66c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a8544-bb20-4614-9b73-bf8401c81147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2025-02-14T00:18:27+00:00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7E5302E5-1D47-4D46-830E-1626343EE1F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51C215F-8933-4089-B2C6-5826030CE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bd6563f2-84fd-49bb-ba49-e16e67e66c70"/>
    <ds:schemaRef ds:uri="88ca8544-bb20-4614-9b73-bf8401c81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816915-A5F9-4BD4-A6BB-D34EAB90EE7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4A30DC6-A6F6-4A6B-88A6-B65F8F0BDCC9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500000MP</vt:lpstr>
      <vt:lpstr>Pvap Calcs</vt:lpstr>
      <vt:lpstr>Loading Loss</vt:lpstr>
      <vt:lpstr>AP-42</vt:lpstr>
      <vt:lpstr>Cntrl_Eff</vt:lpstr>
      <vt:lpstr>CRF</vt:lpstr>
      <vt:lpstr>DataProp</vt:lpstr>
      <vt:lpstr>EqLife</vt:lpstr>
      <vt:lpstr>Interest</vt:lpstr>
      <vt:lpstr>VOC_Credit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Clemens, Fallon</dc:creator>
  <cp:keywords/>
  <dc:description/>
  <cp:lastModifiedBy>Clemens, Fallon</cp:lastModifiedBy>
  <cp:revision/>
  <dcterms:created xsi:type="dcterms:W3CDTF">2025-02-03T23:57:57Z</dcterms:created>
  <dcterms:modified xsi:type="dcterms:W3CDTF">2026-01-13T20:46:54Z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0x01010089ACEB5CD14E544C890619B1F504DD44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</Properties>
</file>